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updateLinks="never" codeName="ThisWorkbook" defaultThemeVersion="124226"/>
  <mc:AlternateContent xmlns:mc="http://schemas.openxmlformats.org/markup-compatibility/2006">
    <mc:Choice Requires="x15">
      <x15ac:absPath xmlns:x15ac="http://schemas.microsoft.com/office/spreadsheetml/2010/11/ac" url="\\svrshir07\RES_Shirehall$\FinanceEducation\SCHOOLS\Special Budgets\2023-24\Budget Notes and Individual Sheets\"/>
    </mc:Choice>
  </mc:AlternateContent>
  <xr:revisionPtr revIDLastSave="0" documentId="13_ncr:1_{0F68FABA-CD18-4C01-A3AA-B780AEF0AE3E}" xr6:coauthVersionLast="47" xr6:coauthVersionMax="47" xr10:uidLastSave="{00000000-0000-0000-0000-000000000000}"/>
  <workbookProtection workbookAlgorithmName="SHA-512" workbookHashValue="65OcqyLxQWAUYKgVQgNo1OJoBVnCm3jUXkhDK4BXWuQmz0uem6CoivYdxbcghVp/eoyYiX1iGfNQ5rit0OB7mA==" workbookSaltValue="JSSVN4/gg3Lmz+3c9Ke3Jg==" workbookSpinCount="100000" lockStructure="1"/>
  <bookViews>
    <workbookView xWindow="-110" yWindow="-110" windowWidth="19420" windowHeight="10420" firstSheet="1" activeTab="1" xr2:uid="{00000000-000D-0000-FFFF-FFFF00000000}"/>
  </bookViews>
  <sheets>
    <sheet name="Calculator" sheetId="1" state="hidden" r:id="rId1"/>
    <sheet name="Notes" sheetId="11" r:id="rId2"/>
    <sheet name="Key Figures" sheetId="8" r:id="rId3"/>
    <sheet name="ISB" sheetId="10" r:id="rId4"/>
    <sheet name="Sheet2" sheetId="4" state="hidden" r:id="rId5"/>
    <sheet name="Sheet1" sheetId="7" state="hidden" r:id="rId6"/>
    <sheet name="Sheet3" sheetId="12" state="hidden" r:id="rId7"/>
    <sheet name="14-15 Budget working" sheetId="13" state="hidden" r:id="rId8"/>
    <sheet name="Sheet7" sheetId="17" state="hidden" r:id="rId9"/>
    <sheet name="Monthly Calculator" sheetId="6" r:id="rId10"/>
    <sheet name="MFG" sheetId="18" r:id="rId11"/>
    <sheet name="Rates" sheetId="3" state="hidden" r:id="rId12"/>
    <sheet name="Rates to apply" sheetId="2" state="hidden" r:id="rId13"/>
    <sheet name="Sheet4" sheetId="19" state="hidden" r:id="rId14"/>
    <sheet name="Sheet5" sheetId="20" state="hidden" r:id="rId15"/>
    <sheet name="Analysis" sheetId="21" state="hidden" r:id="rId16"/>
    <sheet name="MFG Calc 1718" sheetId="24" state="hidden" r:id="rId17"/>
  </sheets>
  <externalReferences>
    <externalReference r:id="rId18"/>
    <externalReference r:id="rId19"/>
  </externalReferences>
  <definedNames>
    <definedName name="_xlnm.Print_Area" localSheetId="7">'14-15 Budget working'!$A$1:$BT$27</definedName>
    <definedName name="_xlnm.Print_Area" localSheetId="15">Analysis!$A$1:$DA$27</definedName>
    <definedName name="_xlnm.Print_Area" localSheetId="0">Calculator!$A$1:$R$30</definedName>
    <definedName name="_xlnm.Print_Area" localSheetId="3">ISB!$A$1:$J$43</definedName>
    <definedName name="_xlnm.Print_Area" localSheetId="10">MFG!$A$1:$M$45</definedName>
    <definedName name="_xlnm.Print_Area" localSheetId="9">'Monthly Calculator'!$A$1:$S$35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F39" i="10"/>
  <c r="F35" i="10"/>
  <c r="F34" i="10"/>
  <c r="F33" i="10"/>
  <c r="F32" i="10"/>
  <c r="F31" i="10"/>
  <c r="F30" i="10"/>
  <c r="F29" i="10"/>
  <c r="F28" i="10"/>
  <c r="F27" i="10"/>
  <c r="F26" i="10"/>
  <c r="F25" i="10"/>
  <c r="F24" i="10"/>
  <c r="F23" i="10"/>
  <c r="F22" i="10"/>
  <c r="F21" i="10"/>
  <c r="F20" i="10"/>
  <c r="F14" i="10"/>
  <c r="F12" i="10"/>
  <c r="F11" i="10"/>
  <c r="AQ23" i="3"/>
  <c r="N21" i="3" l="1"/>
  <c r="N20" i="3" l="1"/>
  <c r="AK19" i="3" l="1"/>
  <c r="N15" i="3" l="1"/>
  <c r="N13" i="3" l="1"/>
  <c r="N12" i="3" l="1"/>
  <c r="N11" i="3" l="1"/>
  <c r="BT11" i="3" l="1"/>
  <c r="BV11" i="3"/>
  <c r="CB11" i="3"/>
  <c r="BV12" i="3"/>
  <c r="BT14" i="3"/>
  <c r="BV14" i="3"/>
  <c r="BX14" i="3"/>
  <c r="BZ14" i="3"/>
  <c r="CB14" i="3"/>
  <c r="BT16" i="3"/>
  <c r="BV16" i="3"/>
  <c r="BX16" i="3"/>
  <c r="BZ16" i="3"/>
  <c r="CB16" i="3"/>
  <c r="BT17" i="3"/>
  <c r="BV17" i="3"/>
  <c r="CB17" i="3"/>
  <c r="BX18" i="3"/>
  <c r="CB20" i="3"/>
  <c r="BT22" i="3"/>
  <c r="BV22" i="3"/>
  <c r="BX22" i="3"/>
  <c r="BZ22" i="3"/>
  <c r="CB22" i="3"/>
  <c r="BT23" i="3"/>
  <c r="BV23" i="3"/>
  <c r="BX23" i="3"/>
  <c r="BZ23" i="3"/>
  <c r="CB23" i="3"/>
  <c r="CB10" i="3" l="1"/>
  <c r="BZ10" i="3"/>
  <c r="BX10" i="3"/>
  <c r="BV10" i="3"/>
  <c r="BT10" i="3"/>
  <c r="D33" i="10" l="1"/>
  <c r="D29" i="10"/>
  <c r="D25" i="10"/>
  <c r="C8" i="10"/>
  <c r="AI10" i="3" l="1"/>
  <c r="AJ10" i="3"/>
  <c r="AK10" i="3"/>
  <c r="AL10" i="3"/>
  <c r="AM10" i="3"/>
  <c r="AN10" i="3"/>
  <c r="AO10" i="3"/>
  <c r="AP10" i="3"/>
  <c r="AQ10" i="3"/>
  <c r="AR10" i="3"/>
  <c r="AI11" i="3"/>
  <c r="AJ11" i="3"/>
  <c r="AK11" i="3"/>
  <c r="AL11" i="3"/>
  <c r="AM11" i="3"/>
  <c r="BX11" i="3" s="1"/>
  <c r="AN11" i="3"/>
  <c r="AO11" i="3"/>
  <c r="BZ11" i="3" s="1"/>
  <c r="AP11" i="3"/>
  <c r="AQ11" i="3"/>
  <c r="AR11" i="3"/>
  <c r="W24" i="3"/>
  <c r="F25" i="3" l="1"/>
  <c r="H4" i="3" l="1"/>
  <c r="H34" i="10" l="1"/>
  <c r="H30" i="10"/>
  <c r="H26" i="10"/>
  <c r="H22" i="10"/>
  <c r="G34" i="10" l="1"/>
  <c r="G30" i="10"/>
  <c r="G26" i="10"/>
  <c r="G22" i="10"/>
  <c r="H27" i="10"/>
  <c r="H28" i="10"/>
  <c r="H29" i="10"/>
  <c r="H31" i="10"/>
  <c r="H32" i="10"/>
  <c r="H33" i="10"/>
  <c r="H35" i="10"/>
  <c r="H23" i="10"/>
  <c r="G45" i="10" l="1"/>
  <c r="AH30" i="3"/>
  <c r="AH31" i="3"/>
  <c r="AH32" i="3"/>
  <c r="AH33" i="3"/>
  <c r="AH34" i="3"/>
  <c r="AH35" i="3"/>
  <c r="AH36" i="3"/>
  <c r="AH37" i="3"/>
  <c r="AH38" i="3"/>
  <c r="AH39" i="3"/>
  <c r="AH29" i="3"/>
  <c r="L10" i="18" l="1"/>
  <c r="E25" i="18" l="1"/>
  <c r="L25" i="18"/>
  <c r="E32" i="18"/>
  <c r="D32" i="18" s="1"/>
  <c r="E24" i="18"/>
  <c r="L24" i="18"/>
  <c r="E31" i="18"/>
  <c r="D31" i="18" s="1"/>
  <c r="E23" i="18"/>
  <c r="D23" i="18" s="1"/>
  <c r="L23" i="18"/>
  <c r="E26" i="18"/>
  <c r="E30" i="18"/>
  <c r="L32" i="18"/>
  <c r="K32" i="18" s="1"/>
  <c r="E29" i="18"/>
  <c r="D29" i="18" s="1"/>
  <c r="L31" i="18"/>
  <c r="K31" i="18" s="1"/>
  <c r="L29" i="18"/>
  <c r="K29" i="18" s="1"/>
  <c r="L26" i="18"/>
  <c r="K26" i="18" s="1"/>
  <c r="E28" i="18"/>
  <c r="D28" i="18" s="1"/>
  <c r="L30" i="18"/>
  <c r="E27" i="18"/>
  <c r="D37" i="18"/>
  <c r="D38" i="18"/>
  <c r="J39" i="18"/>
  <c r="D40" i="18"/>
  <c r="K25" i="18"/>
  <c r="K24" i="18"/>
  <c r="K30" i="18"/>
  <c r="D27" i="18"/>
  <c r="D26" i="18"/>
  <c r="D25" i="18"/>
  <c r="D24" i="18"/>
  <c r="D30" i="18"/>
  <c r="AI12" i="3"/>
  <c r="BT12" i="3" s="1"/>
  <c r="AJ12" i="3"/>
  <c r="AK12" i="3"/>
  <c r="AL12" i="3"/>
  <c r="AM12" i="3"/>
  <c r="BX12" i="3" s="1"/>
  <c r="AN12" i="3"/>
  <c r="AO12" i="3"/>
  <c r="BZ12" i="3" s="1"/>
  <c r="AP12" i="3"/>
  <c r="AQ12" i="3"/>
  <c r="CB12" i="3" s="1"/>
  <c r="AR12" i="3"/>
  <c r="AI13" i="3"/>
  <c r="BT13" i="3" s="1"/>
  <c r="AJ13" i="3"/>
  <c r="AK13" i="3"/>
  <c r="BV13" i="3" s="1"/>
  <c r="AL13" i="3"/>
  <c r="AM13" i="3"/>
  <c r="BX13" i="3" s="1"/>
  <c r="AN13" i="3"/>
  <c r="AO13" i="3"/>
  <c r="BZ13" i="3" s="1"/>
  <c r="AP13" i="3"/>
  <c r="AQ13" i="3"/>
  <c r="CB13" i="3" s="1"/>
  <c r="AR13" i="3"/>
  <c r="AI14" i="3"/>
  <c r="AJ14" i="3"/>
  <c r="AK14" i="3"/>
  <c r="AL14" i="3"/>
  <c r="AM14" i="3"/>
  <c r="AN14" i="3"/>
  <c r="AO14" i="3"/>
  <c r="AP14" i="3"/>
  <c r="AQ14" i="3"/>
  <c r="AR14" i="3"/>
  <c r="AI15" i="3"/>
  <c r="BT15" i="3" s="1"/>
  <c r="AJ15" i="3"/>
  <c r="AK15" i="3"/>
  <c r="BV15" i="3" s="1"/>
  <c r="AL15" i="3"/>
  <c r="AM15" i="3"/>
  <c r="BX15" i="3" s="1"/>
  <c r="AN15" i="3"/>
  <c r="AO15" i="3"/>
  <c r="BZ15" i="3" s="1"/>
  <c r="AP15" i="3"/>
  <c r="AQ15" i="3"/>
  <c r="CB15" i="3" s="1"/>
  <c r="AR15" i="3"/>
  <c r="AI17" i="3"/>
  <c r="AJ17" i="3"/>
  <c r="AK17" i="3"/>
  <c r="AL17" i="3"/>
  <c r="AM17" i="3"/>
  <c r="BX17" i="3" s="1"/>
  <c r="AN17" i="3"/>
  <c r="AO17" i="3"/>
  <c r="BZ17" i="3" s="1"/>
  <c r="AP17" i="3"/>
  <c r="AQ17" i="3"/>
  <c r="AR17" i="3"/>
  <c r="AI18" i="3"/>
  <c r="BT18" i="3" s="1"/>
  <c r="AJ18" i="3"/>
  <c r="AK18" i="3"/>
  <c r="BV18" i="3" s="1"/>
  <c r="AL18" i="3"/>
  <c r="AO18" i="3"/>
  <c r="BZ18" i="3" s="1"/>
  <c r="AP18" i="3"/>
  <c r="AQ18" i="3"/>
  <c r="CB18" i="3" s="1"/>
  <c r="AR18" i="3"/>
  <c r="AI19" i="3"/>
  <c r="BT19" i="3" s="1"/>
  <c r="AJ19" i="3"/>
  <c r="BV19" i="3"/>
  <c r="AL19" i="3"/>
  <c r="AM19" i="3"/>
  <c r="BX19" i="3" s="1"/>
  <c r="AN19" i="3"/>
  <c r="AO19" i="3"/>
  <c r="BZ19" i="3" s="1"/>
  <c r="AP19" i="3"/>
  <c r="AQ19" i="3"/>
  <c r="CB19" i="3" s="1"/>
  <c r="AR19" i="3"/>
  <c r="AI20" i="3"/>
  <c r="BT20" i="3" s="1"/>
  <c r="K23" i="18" s="1"/>
  <c r="AJ20" i="3"/>
  <c r="AK20" i="3"/>
  <c r="BV20" i="3" s="1"/>
  <c r="AL20" i="3"/>
  <c r="AM20" i="3"/>
  <c r="BX20" i="3" s="1"/>
  <c r="AN20" i="3"/>
  <c r="AO20" i="3"/>
  <c r="BZ20" i="3" s="1"/>
  <c r="AP20" i="3"/>
  <c r="AQ20" i="3"/>
  <c r="AR20" i="3"/>
  <c r="AI21" i="3"/>
  <c r="BT21" i="3" s="1"/>
  <c r="AJ21" i="3"/>
  <c r="AK21" i="3"/>
  <c r="BV21" i="3" s="1"/>
  <c r="AL21" i="3"/>
  <c r="AM21" i="3"/>
  <c r="BX21" i="3" s="1"/>
  <c r="AN21" i="3"/>
  <c r="AO21" i="3"/>
  <c r="BZ21" i="3" s="1"/>
  <c r="AP21" i="3"/>
  <c r="AQ21" i="3"/>
  <c r="CB21" i="3" s="1"/>
  <c r="AR21" i="3"/>
  <c r="AI22" i="3"/>
  <c r="AJ22" i="3"/>
  <c r="AK22" i="3"/>
  <c r="AL22" i="3"/>
  <c r="AM22" i="3"/>
  <c r="AN22" i="3"/>
  <c r="AO22" i="3"/>
  <c r="AP22" i="3"/>
  <c r="AQ22" i="3"/>
  <c r="AR22" i="3"/>
  <c r="C7" i="6" l="1"/>
  <c r="Q12" i="6" l="1"/>
  <c r="Q11" i="6"/>
  <c r="R26" i="6"/>
  <c r="R24" i="6"/>
  <c r="R22" i="6"/>
  <c r="R20" i="6"/>
  <c r="G31" i="10" l="1"/>
  <c r="J21" i="24" l="1"/>
  <c r="J20" i="24"/>
  <c r="F21" i="24"/>
  <c r="F8" i="24"/>
  <c r="D12" i="24" l="1"/>
  <c r="AF18" i="17"/>
  <c r="AD18" i="17"/>
  <c r="AC18" i="17"/>
  <c r="AB18" i="17"/>
  <c r="AA18" i="17"/>
  <c r="AF17" i="17"/>
  <c r="AF15" i="17"/>
  <c r="AF14" i="17"/>
  <c r="AF13" i="17"/>
  <c r="AF12" i="17"/>
  <c r="AF11" i="17"/>
  <c r="AF9" i="17"/>
  <c r="AF8" i="17"/>
  <c r="AF7" i="17"/>
  <c r="AF6" i="17"/>
  <c r="V9" i="17"/>
  <c r="V7" i="17"/>
  <c r="S15" i="17"/>
  <c r="R15" i="17"/>
  <c r="Q15" i="17"/>
  <c r="P15" i="17"/>
  <c r="O15" i="17"/>
  <c r="S13" i="17"/>
  <c r="S11" i="17"/>
  <c r="Q11" i="17"/>
  <c r="P11" i="17"/>
  <c r="O11" i="17"/>
  <c r="S8" i="17"/>
  <c r="K18" i="17"/>
  <c r="K16" i="17"/>
  <c r="L15" i="17"/>
  <c r="K15" i="17"/>
  <c r="K13" i="17"/>
  <c r="K12" i="17"/>
  <c r="L9" i="17"/>
  <c r="K8" i="17"/>
  <c r="L7" i="17"/>
  <c r="L6" i="17"/>
  <c r="I18" i="17"/>
  <c r="H18" i="17"/>
  <c r="F18" i="17"/>
  <c r="E18" i="17"/>
  <c r="D18" i="17"/>
  <c r="C18" i="17"/>
  <c r="H17" i="17"/>
  <c r="I16" i="17"/>
  <c r="H16" i="17"/>
  <c r="H15" i="17"/>
  <c r="G15" i="17"/>
  <c r="H14" i="17"/>
  <c r="G14" i="17"/>
  <c r="H13" i="17"/>
  <c r="H12" i="17"/>
  <c r="G12" i="17"/>
  <c r="H11" i="17"/>
  <c r="H9" i="17"/>
  <c r="H8" i="17"/>
  <c r="H7" i="17"/>
  <c r="H6" i="17"/>
  <c r="E12" i="10" l="1"/>
  <c r="E11" i="10"/>
  <c r="G11" i="10" s="1"/>
  <c r="L11" i="13"/>
  <c r="AB11" i="13" s="1"/>
  <c r="AP11" i="13" s="1"/>
  <c r="AP18" i="17"/>
  <c r="AO18" i="17"/>
  <c r="AN18" i="17"/>
  <c r="AM18" i="17"/>
  <c r="M100" i="24"/>
  <c r="AC99" i="24"/>
  <c r="AC98" i="24"/>
  <c r="AC97" i="24"/>
  <c r="U97" i="24"/>
  <c r="AC96" i="24"/>
  <c r="AC95" i="24"/>
  <c r="U95" i="24"/>
  <c r="AC94" i="24"/>
  <c r="AC93" i="24"/>
  <c r="U93" i="24"/>
  <c r="AC92" i="24"/>
  <c r="AC91" i="24"/>
  <c r="U91" i="24"/>
  <c r="AC90" i="24"/>
  <c r="AC53" i="24"/>
  <c r="AB53" i="24"/>
  <c r="AA53" i="24"/>
  <c r="Y53" i="24"/>
  <c r="W53" i="24"/>
  <c r="U53" i="24"/>
  <c r="S53" i="24"/>
  <c r="Q53" i="24"/>
  <c r="O53" i="24"/>
  <c r="M53" i="24"/>
  <c r="L53" i="24" s="1"/>
  <c r="L54" i="24" s="1"/>
  <c r="K53" i="24"/>
  <c r="I53" i="24"/>
  <c r="G53" i="24"/>
  <c r="F53" i="24" s="1"/>
  <c r="E53" i="24"/>
  <c r="AB52" i="24"/>
  <c r="AC50" i="24"/>
  <c r="L49" i="24"/>
  <c r="AA99" i="24"/>
  <c r="Y99" i="24"/>
  <c r="W99" i="24"/>
  <c r="U99" i="24"/>
  <c r="S99" i="24"/>
  <c r="Q99" i="24"/>
  <c r="O99" i="24"/>
  <c r="M99" i="24"/>
  <c r="K99" i="24"/>
  <c r="I99" i="24"/>
  <c r="G99" i="24"/>
  <c r="E99" i="24"/>
  <c r="AA98" i="24"/>
  <c r="Y98" i="24"/>
  <c r="W98" i="24"/>
  <c r="U98" i="24"/>
  <c r="Q98" i="24"/>
  <c r="O98" i="24"/>
  <c r="M98" i="24"/>
  <c r="I98" i="24"/>
  <c r="G98" i="24"/>
  <c r="E98" i="24"/>
  <c r="J48" i="24"/>
  <c r="AA97" i="24"/>
  <c r="Y97" i="24"/>
  <c r="W97" i="24"/>
  <c r="S97" i="24"/>
  <c r="Q97" i="24"/>
  <c r="O97" i="24"/>
  <c r="K97" i="24"/>
  <c r="I97" i="24"/>
  <c r="G97" i="24"/>
  <c r="AA96" i="24"/>
  <c r="Y96" i="24"/>
  <c r="W96" i="24"/>
  <c r="U96" i="24"/>
  <c r="S96" i="24"/>
  <c r="Q96" i="24"/>
  <c r="O96" i="24"/>
  <c r="M96" i="24"/>
  <c r="K96" i="24"/>
  <c r="I96" i="24"/>
  <c r="G96" i="24"/>
  <c r="E96" i="24"/>
  <c r="T46" i="24"/>
  <c r="S95" i="24"/>
  <c r="Q95" i="24"/>
  <c r="O95" i="24"/>
  <c r="M95" i="24"/>
  <c r="K95" i="24"/>
  <c r="I95" i="24"/>
  <c r="G95" i="24"/>
  <c r="E95" i="24"/>
  <c r="W94" i="24"/>
  <c r="O94" i="24"/>
  <c r="M94" i="24"/>
  <c r="K94" i="24"/>
  <c r="G94" i="24"/>
  <c r="AB43" i="24"/>
  <c r="AA93" i="24"/>
  <c r="Y93" i="24"/>
  <c r="W93" i="24"/>
  <c r="Q93" i="24"/>
  <c r="I93" i="24"/>
  <c r="G93" i="24"/>
  <c r="AA92" i="24"/>
  <c r="Y92" i="24"/>
  <c r="W92" i="24"/>
  <c r="U92" i="24"/>
  <c r="S92" i="24"/>
  <c r="Q92" i="24"/>
  <c r="O92" i="24"/>
  <c r="M92" i="24"/>
  <c r="K92" i="24"/>
  <c r="I92" i="24"/>
  <c r="G92" i="24"/>
  <c r="E92" i="24"/>
  <c r="T42" i="24"/>
  <c r="AB41" i="24"/>
  <c r="W91" i="24"/>
  <c r="S91" i="24"/>
  <c r="O91" i="24"/>
  <c r="M91" i="24"/>
  <c r="K91" i="24"/>
  <c r="I91" i="24"/>
  <c r="G91" i="24"/>
  <c r="E91" i="24"/>
  <c r="Y90" i="24"/>
  <c r="Q90" i="24"/>
  <c r="AB39" i="24"/>
  <c r="AF23" i="24"/>
  <c r="AF22" i="24"/>
  <c r="AF21" i="24"/>
  <c r="V15" i="17"/>
  <c r="V12" i="17"/>
  <c r="V10" i="17"/>
  <c r="V6" i="17"/>
  <c r="AF20" i="24"/>
  <c r="I23" i="17"/>
  <c r="AF16" i="24"/>
  <c r="AF15" i="24"/>
  <c r="S14" i="17"/>
  <c r="S10" i="17"/>
  <c r="S9" i="17"/>
  <c r="O15" i="20" s="1"/>
  <c r="AE15" i="20" s="1"/>
  <c r="Z17" i="21" s="1"/>
  <c r="S7" i="17"/>
  <c r="S6" i="17"/>
  <c r="O12" i="20" s="1"/>
  <c r="AE12" i="20" s="1"/>
  <c r="AF14" i="24"/>
  <c r="N21" i="20"/>
  <c r="AD21" i="20" s="1"/>
  <c r="X23" i="21" s="1"/>
  <c r="N20" i="20"/>
  <c r="AD20" i="20" s="1"/>
  <c r="X22" i="21" s="1"/>
  <c r="G14" i="24"/>
  <c r="M6" i="17"/>
  <c r="AF13" i="24"/>
  <c r="R12" i="17"/>
  <c r="R7" i="17"/>
  <c r="R6" i="17"/>
  <c r="AF12" i="24"/>
  <c r="L22" i="20"/>
  <c r="AB22" i="20" s="1"/>
  <c r="T24" i="21" s="1"/>
  <c r="AF11" i="24"/>
  <c r="Q9" i="17"/>
  <c r="K15" i="20" s="1"/>
  <c r="AA15" i="20" s="1"/>
  <c r="R17" i="21" s="1"/>
  <c r="AF10" i="24"/>
  <c r="AF9" i="24"/>
  <c r="I23" i="20"/>
  <c r="Y23" i="20" s="1"/>
  <c r="N25" i="21" s="1"/>
  <c r="I21" i="20"/>
  <c r="Y21" i="20" s="1"/>
  <c r="N23" i="21" s="1"/>
  <c r="I20" i="20"/>
  <c r="Y20" i="20" s="1"/>
  <c r="N22" i="21" s="1"/>
  <c r="P12" i="17"/>
  <c r="P10" i="17"/>
  <c r="I16" i="20" s="1"/>
  <c r="P9" i="17"/>
  <c r="I15" i="20" s="1"/>
  <c r="Y15" i="20" s="1"/>
  <c r="P7" i="17"/>
  <c r="P6" i="17"/>
  <c r="AF8" i="24"/>
  <c r="H24" i="20"/>
  <c r="AF7" i="24"/>
  <c r="G21" i="20"/>
  <c r="W21" i="20" s="1"/>
  <c r="J23" i="21" s="1"/>
  <c r="O10" i="17"/>
  <c r="O7" i="17"/>
  <c r="G13" i="20" s="1"/>
  <c r="W13" i="20" s="1"/>
  <c r="J15" i="21" s="1"/>
  <c r="AF6" i="24"/>
  <c r="E13" i="24"/>
  <c r="AP6" i="17" s="1"/>
  <c r="U10" i="24"/>
  <c r="AA10" i="24"/>
  <c r="K11" i="24"/>
  <c r="AO9" i="17" s="1"/>
  <c r="O13" i="24"/>
  <c r="F41" i="24"/>
  <c r="T41" i="24"/>
  <c r="M50" i="24"/>
  <c r="T43" i="24"/>
  <c r="Q9" i="24"/>
  <c r="AN12" i="17" s="1"/>
  <c r="K10" i="24"/>
  <c r="K14" i="24"/>
  <c r="M7" i="24"/>
  <c r="AM10" i="17" s="1"/>
  <c r="AA14" i="24"/>
  <c r="M10" i="24"/>
  <c r="M15" i="24"/>
  <c r="AQ10" i="17" s="1"/>
  <c r="AA15" i="24"/>
  <c r="D45" i="24"/>
  <c r="G9" i="24"/>
  <c r="AN7" i="17" s="1"/>
  <c r="Y6" i="24"/>
  <c r="AK16" i="17"/>
  <c r="W7" i="24"/>
  <c r="AM15" i="17" s="1"/>
  <c r="N52" i="24"/>
  <c r="Y8" i="24"/>
  <c r="W14" i="24"/>
  <c r="AE15" i="17" s="1"/>
  <c r="AK15" i="17" s="1"/>
  <c r="M8" i="24"/>
  <c r="Y10" i="24"/>
  <c r="U11" i="24"/>
  <c r="G12" i="24"/>
  <c r="AK7" i="17" s="1"/>
  <c r="Q13" i="24"/>
  <c r="AP12" i="17" s="1"/>
  <c r="G15" i="24"/>
  <c r="AQ7" i="17" s="1"/>
  <c r="E10" i="24"/>
  <c r="U9" i="24"/>
  <c r="G7" i="24"/>
  <c r="AM7" i="17" s="1"/>
  <c r="K9" i="24"/>
  <c r="AN9" i="17" s="1"/>
  <c r="Q10" i="24"/>
  <c r="W12" i="24"/>
  <c r="G13" i="24"/>
  <c r="AP7" i="17"/>
  <c r="O14" i="24"/>
  <c r="V39" i="24"/>
  <c r="U7" i="24"/>
  <c r="S10" i="24"/>
  <c r="Y15" i="24"/>
  <c r="P40" i="24"/>
  <c r="AB45" i="24"/>
  <c r="W13" i="24"/>
  <c r="AP15" i="17" s="1"/>
  <c r="S14" i="24"/>
  <c r="Z48" i="24"/>
  <c r="AB48" i="24"/>
  <c r="S22" i="20"/>
  <c r="Q6" i="24"/>
  <c r="K7" i="24"/>
  <c r="AM9" i="17" s="1"/>
  <c r="O9" i="17"/>
  <c r="G15" i="20" s="1"/>
  <c r="W15" i="20" s="1"/>
  <c r="J17" i="21" s="1"/>
  <c r="G8" i="24"/>
  <c r="Q8" i="24"/>
  <c r="AA8" i="24"/>
  <c r="W11" i="24"/>
  <c r="AO15" i="17" s="1"/>
  <c r="K21" i="20"/>
  <c r="AA21" i="20" s="1"/>
  <c r="R23" i="21" s="1"/>
  <c r="AA13" i="24"/>
  <c r="AP17" i="17" s="1"/>
  <c r="Q14" i="24"/>
  <c r="Y14" i="24"/>
  <c r="X18" i="24"/>
  <c r="X23" i="24" s="1"/>
  <c r="X114" i="24" s="1"/>
  <c r="L41" i="24"/>
  <c r="R43" i="24"/>
  <c r="N45" i="24"/>
  <c r="L46" i="24"/>
  <c r="R47" i="24"/>
  <c r="D48" i="24"/>
  <c r="N48" i="24"/>
  <c r="G6" i="24"/>
  <c r="R18" i="24"/>
  <c r="R23" i="24"/>
  <c r="R114" i="24" s="1"/>
  <c r="S8" i="24"/>
  <c r="H19" i="20"/>
  <c r="X19" i="20" s="1"/>
  <c r="L21" i="21" s="1"/>
  <c r="AE10" i="24"/>
  <c r="K12" i="24"/>
  <c r="L15" i="20"/>
  <c r="AB15" i="20" s="1"/>
  <c r="Q15" i="24"/>
  <c r="AQ12" i="17" s="1"/>
  <c r="S12" i="17"/>
  <c r="O18" i="20" s="1"/>
  <c r="AE18" i="20" s="1"/>
  <c r="Z20" i="21" s="1"/>
  <c r="AE21" i="24"/>
  <c r="AG21" i="24" s="1"/>
  <c r="K10" i="17"/>
  <c r="S16" i="20" s="1"/>
  <c r="L10" i="17"/>
  <c r="D41" i="24"/>
  <c r="V41" i="24"/>
  <c r="D43" i="24"/>
  <c r="F45" i="24"/>
  <c r="M8" i="17"/>
  <c r="M11" i="24"/>
  <c r="AO10" i="17" s="1"/>
  <c r="Q10" i="17"/>
  <c r="S13" i="24"/>
  <c r="S15" i="24"/>
  <c r="O19" i="20"/>
  <c r="AE19" i="20" s="1"/>
  <c r="Z21" i="21" s="1"/>
  <c r="K11" i="17"/>
  <c r="T17" i="20"/>
  <c r="P53" i="24"/>
  <c r="N41" i="24"/>
  <c r="F48" i="24"/>
  <c r="E8" i="24"/>
  <c r="AE7" i="24"/>
  <c r="O6" i="17"/>
  <c r="E7" i="24"/>
  <c r="AM6" i="17" s="1"/>
  <c r="Y7" i="24"/>
  <c r="W9" i="24"/>
  <c r="AN15" i="17" s="1"/>
  <c r="O10" i="24"/>
  <c r="Y12" i="24"/>
  <c r="U13" i="24"/>
  <c r="AE20" i="24"/>
  <c r="X41" i="24"/>
  <c r="AB18" i="24"/>
  <c r="AB23" i="24"/>
  <c r="AB114" i="24" s="1"/>
  <c r="O8" i="24"/>
  <c r="T18" i="24"/>
  <c r="T23" i="24" s="1"/>
  <c r="T114" i="24" s="1"/>
  <c r="M12" i="24"/>
  <c r="L16" i="20"/>
  <c r="AB16" i="20" s="1"/>
  <c r="T18" i="21" s="1"/>
  <c r="M9" i="24"/>
  <c r="AN10" i="17" s="1"/>
  <c r="G10" i="24"/>
  <c r="W10" i="24"/>
  <c r="AQ8" i="17"/>
  <c r="K6" i="24"/>
  <c r="F15" i="20"/>
  <c r="P18" i="24"/>
  <c r="P23" i="24" s="1"/>
  <c r="O12" i="17"/>
  <c r="AA7" i="24"/>
  <c r="AM17" i="17" s="1"/>
  <c r="K8" i="24"/>
  <c r="W8" i="24"/>
  <c r="Q11" i="24"/>
  <c r="AO12" i="17"/>
  <c r="Q12" i="17"/>
  <c r="O12" i="24"/>
  <c r="AA12" i="24"/>
  <c r="AE13" i="24"/>
  <c r="R9" i="17"/>
  <c r="M15" i="20" s="1"/>
  <c r="AC15" i="20" s="1"/>
  <c r="V17" i="21" s="1"/>
  <c r="E14" i="24"/>
  <c r="M14" i="24"/>
  <c r="U14" i="24"/>
  <c r="AE14" i="17" s="1"/>
  <c r="AC14" i="24"/>
  <c r="AE18" i="17" s="1"/>
  <c r="AK18" i="17" s="1"/>
  <c r="U15" i="24"/>
  <c r="AQ14" i="17" s="1"/>
  <c r="AE16" i="24"/>
  <c r="P41" i="24"/>
  <c r="J45" i="24"/>
  <c r="T45" i="24"/>
  <c r="D46" i="24"/>
  <c r="J47" i="24"/>
  <c r="T48" i="24"/>
  <c r="U12" i="24"/>
  <c r="AB42" i="24"/>
  <c r="AA11" i="24"/>
  <c r="AO17" i="17" s="1"/>
  <c r="K23" i="20"/>
  <c r="AA23" i="20" s="1"/>
  <c r="R25" i="21" s="1"/>
  <c r="W6" i="24"/>
  <c r="O7" i="24"/>
  <c r="AM11" i="17" s="1"/>
  <c r="U8" i="24"/>
  <c r="O11" i="24"/>
  <c r="AO11" i="17" s="1"/>
  <c r="M6" i="24"/>
  <c r="S7" i="24"/>
  <c r="G19" i="20"/>
  <c r="W19" i="20" s="1"/>
  <c r="J21" i="21" s="1"/>
  <c r="AE11" i="24"/>
  <c r="Q6" i="17"/>
  <c r="K12" i="20" s="1"/>
  <c r="AA12" i="20" s="1"/>
  <c r="S11" i="24"/>
  <c r="Q12" i="24"/>
  <c r="M13" i="24"/>
  <c r="AP10" i="17"/>
  <c r="R10" i="17"/>
  <c r="AE14" i="24"/>
  <c r="K15" i="24"/>
  <c r="AQ9" i="17" s="1"/>
  <c r="M16" i="24"/>
  <c r="H41" i="24"/>
  <c r="AB44" i="24"/>
  <c r="AB47" i="24"/>
  <c r="O6" i="24"/>
  <c r="Z18" i="24"/>
  <c r="Z23" i="24" s="1"/>
  <c r="H18" i="24"/>
  <c r="H23" i="24" s="1"/>
  <c r="AE9" i="24"/>
  <c r="G11" i="24"/>
  <c r="AO7" i="17" s="1"/>
  <c r="Q7" i="17"/>
  <c r="S12" i="24"/>
  <c r="L19" i="20"/>
  <c r="AB19" i="20" s="1"/>
  <c r="T21" i="21" s="1"/>
  <c r="E15" i="24"/>
  <c r="AQ6" i="17" s="1"/>
  <c r="L45" i="24"/>
  <c r="V45" i="24"/>
  <c r="L48" i="24"/>
  <c r="V48" i="24"/>
  <c r="D18" i="24"/>
  <c r="D23" i="24" s="1"/>
  <c r="D114" i="24" s="1"/>
  <c r="AE8" i="24"/>
  <c r="Y9" i="24"/>
  <c r="AW16" i="17" s="1"/>
  <c r="V18" i="24"/>
  <c r="V23" i="24" s="1"/>
  <c r="V114" i="24" s="1"/>
  <c r="L52" i="24"/>
  <c r="L39" i="24"/>
  <c r="M90" i="24"/>
  <c r="AB40" i="24"/>
  <c r="N40" i="24"/>
  <c r="Q94" i="24"/>
  <c r="P43" i="24"/>
  <c r="AE12" i="24"/>
  <c r="E12" i="24"/>
  <c r="J18" i="24"/>
  <c r="J23" i="24" s="1"/>
  <c r="J114" i="24" s="1"/>
  <c r="S93" i="24"/>
  <c r="R53" i="24"/>
  <c r="P44" i="24"/>
  <c r="T44" i="24"/>
  <c r="L44" i="24"/>
  <c r="F44" i="24"/>
  <c r="E93" i="24"/>
  <c r="S6" i="24"/>
  <c r="AK13" i="17"/>
  <c r="AA6" i="24"/>
  <c r="Y11" i="24"/>
  <c r="N18" i="24"/>
  <c r="F40" i="24"/>
  <c r="T40" i="24"/>
  <c r="S90" i="24"/>
  <c r="S50" i="24"/>
  <c r="R39" i="24"/>
  <c r="R52" i="24"/>
  <c r="R54" i="24" s="1"/>
  <c r="H40" i="24"/>
  <c r="R40" i="24"/>
  <c r="W95" i="24"/>
  <c r="AA9" i="24"/>
  <c r="AN17" i="17" s="1"/>
  <c r="E9" i="24"/>
  <c r="AN6" i="17" s="1"/>
  <c r="E90" i="24"/>
  <c r="D39" i="24"/>
  <c r="D52" i="24"/>
  <c r="E50" i="24"/>
  <c r="U50" i="24"/>
  <c r="T53" i="24" s="1"/>
  <c r="T54" i="24" s="1"/>
  <c r="U90" i="24"/>
  <c r="T39" i="24"/>
  <c r="I94" i="24"/>
  <c r="H43" i="24"/>
  <c r="Y94" i="24"/>
  <c r="X43" i="24"/>
  <c r="S9" i="24"/>
  <c r="E6" i="24"/>
  <c r="U6" i="24"/>
  <c r="AE6" i="24"/>
  <c r="Q7" i="24"/>
  <c r="AM12" i="17" s="1"/>
  <c r="E11" i="24"/>
  <c r="AO6" i="17" s="1"/>
  <c r="K13" i="24"/>
  <c r="AP9" i="17" s="1"/>
  <c r="F39" i="24"/>
  <c r="J40" i="24"/>
  <c r="K93" i="24"/>
  <c r="J53" i="24"/>
  <c r="J42" i="24"/>
  <c r="Z43" i="24"/>
  <c r="AA94" i="24"/>
  <c r="L18" i="24"/>
  <c r="L23" i="24"/>
  <c r="L114" i="24" s="1"/>
  <c r="O9" i="24"/>
  <c r="AN11" i="17" s="1"/>
  <c r="Y13" i="24"/>
  <c r="W15" i="24"/>
  <c r="AQ15" i="17" s="1"/>
  <c r="O15" i="24"/>
  <c r="AQ11" i="17" s="1"/>
  <c r="I90" i="24"/>
  <c r="H52" i="24"/>
  <c r="I50" i="24"/>
  <c r="H39" i="24"/>
  <c r="Y91" i="24"/>
  <c r="X40" i="24"/>
  <c r="X53" i="24"/>
  <c r="L42" i="24"/>
  <c r="M93" i="24"/>
  <c r="AC15" i="24"/>
  <c r="AQ18" i="17" s="1"/>
  <c r="F18" i="24"/>
  <c r="F23" i="24" s="1"/>
  <c r="F114" i="24" s="1"/>
  <c r="AE15" i="24"/>
  <c r="AE22" i="24"/>
  <c r="K90" i="24"/>
  <c r="K50" i="24"/>
  <c r="J52" i="24"/>
  <c r="J39" i="24"/>
  <c r="AA90" i="24"/>
  <c r="AA50" i="24"/>
  <c r="Z52" i="24"/>
  <c r="Z54" i="24" s="1"/>
  <c r="Z39" i="24"/>
  <c r="AA91" i="24"/>
  <c r="Z40" i="24"/>
  <c r="Z53" i="24"/>
  <c r="AB46" i="24"/>
  <c r="Z46" i="24"/>
  <c r="X46" i="24"/>
  <c r="D40" i="24"/>
  <c r="L40" i="24"/>
  <c r="J41" i="24"/>
  <c r="R41" i="24"/>
  <c r="Z41" i="24"/>
  <c r="J44" i="24"/>
  <c r="H45" i="24"/>
  <c r="P45" i="24"/>
  <c r="X45" i="24"/>
  <c r="V46" i="24"/>
  <c r="H48" i="24"/>
  <c r="P48" i="24"/>
  <c r="X48" i="24"/>
  <c r="P52" i="24"/>
  <c r="N53" i="24"/>
  <c r="V53" i="24"/>
  <c r="G90" i="24"/>
  <c r="W90" i="24"/>
  <c r="Q91" i="24"/>
  <c r="S94" i="24"/>
  <c r="P39" i="24"/>
  <c r="X39" i="24"/>
  <c r="V40" i="24"/>
  <c r="P42" i="24"/>
  <c r="F43" i="24"/>
  <c r="N43" i="24"/>
  <c r="V43" i="24"/>
  <c r="F46" i="24"/>
  <c r="N46" i="24"/>
  <c r="D47" i="24"/>
  <c r="L47" i="24"/>
  <c r="T47" i="24"/>
  <c r="O50" i="24"/>
  <c r="W50" i="24"/>
  <c r="O93" i="24"/>
  <c r="U94" i="24"/>
  <c r="Y95" i="24"/>
  <c r="R45" i="24"/>
  <c r="Z45" i="24"/>
  <c r="R48" i="24"/>
  <c r="G50" i="24"/>
  <c r="V52" i="24"/>
  <c r="V54" i="24" s="1"/>
  <c r="H53" i="24"/>
  <c r="AA95" i="24"/>
  <c r="H46" i="24"/>
  <c r="P46" i="24"/>
  <c r="F47" i="24"/>
  <c r="N47" i="24"/>
  <c r="V47" i="24"/>
  <c r="Q50" i="24"/>
  <c r="Y50" i="24"/>
  <c r="F52" i="24"/>
  <c r="X52" i="24"/>
  <c r="E97" i="24"/>
  <c r="K98" i="24"/>
  <c r="O90" i="24"/>
  <c r="J43" i="24"/>
  <c r="J46" i="24"/>
  <c r="R46" i="24"/>
  <c r="H47" i="24"/>
  <c r="P47" i="24"/>
  <c r="X47" i="24"/>
  <c r="E94" i="24"/>
  <c r="E101" i="24" s="1"/>
  <c r="E115" i="24" s="1"/>
  <c r="M97" i="24"/>
  <c r="S98" i="24"/>
  <c r="D53" i="24"/>
  <c r="N39" i="24"/>
  <c r="F42" i="24"/>
  <c r="L43" i="24"/>
  <c r="Z47" i="24"/>
  <c r="H42" i="24"/>
  <c r="X54" i="24"/>
  <c r="Q18" i="24"/>
  <c r="Q23" i="24" s="1"/>
  <c r="Q114" i="24" s="1"/>
  <c r="D42" i="24"/>
  <c r="N44" i="24"/>
  <c r="Z42" i="24"/>
  <c r="V44" i="24"/>
  <c r="Z44" i="24"/>
  <c r="H44" i="24"/>
  <c r="X44" i="24"/>
  <c r="V42" i="24"/>
  <c r="R44" i="24"/>
  <c r="X42" i="24"/>
  <c r="D44" i="24"/>
  <c r="R42" i="24"/>
  <c r="N42" i="24"/>
  <c r="J54" i="24"/>
  <c r="T20" i="13"/>
  <c r="U20" i="13"/>
  <c r="M20" i="13"/>
  <c r="P19" i="13"/>
  <c r="AW18" i="13"/>
  <c r="BF21" i="20" s="1"/>
  <c r="Q23" i="21" s="1"/>
  <c r="U17" i="13"/>
  <c r="P16" i="13"/>
  <c r="Q16" i="13"/>
  <c r="AU16" i="13"/>
  <c r="BD19" i="20" s="1"/>
  <c r="M21" i="21" s="1"/>
  <c r="AY15" i="13"/>
  <c r="BH18" i="20" s="1"/>
  <c r="U20" i="21" s="1"/>
  <c r="M15" i="13"/>
  <c r="K25" i="3"/>
  <c r="BA14" i="13"/>
  <c r="BJ17" i="20" s="1"/>
  <c r="Y19" i="21" s="1"/>
  <c r="AZ13" i="13"/>
  <c r="AX13" i="13"/>
  <c r="BG16" i="20" s="1"/>
  <c r="AV13" i="13"/>
  <c r="BE16" i="20" s="1"/>
  <c r="O18" i="21" s="1"/>
  <c r="BB12" i="13"/>
  <c r="BK15" i="20" s="1"/>
  <c r="AA17" i="21" s="1"/>
  <c r="AZ12" i="13"/>
  <c r="BI15" i="20" s="1"/>
  <c r="W17" i="21" s="1"/>
  <c r="AW12" i="13"/>
  <c r="BF15" i="20" s="1"/>
  <c r="Q17" i="21" s="1"/>
  <c r="T11" i="13"/>
  <c r="S11" i="13"/>
  <c r="U10" i="13"/>
  <c r="S10" i="13"/>
  <c r="O10" i="13"/>
  <c r="AY9" i="13"/>
  <c r="BH12" i="20" s="1"/>
  <c r="U14" i="21" s="1"/>
  <c r="BG26" i="21"/>
  <c r="CT19" i="21"/>
  <c r="CT20" i="21"/>
  <c r="CT21" i="21"/>
  <c r="CT22" i="21"/>
  <c r="CT23" i="21"/>
  <c r="CT24" i="21"/>
  <c r="CT25" i="21"/>
  <c r="CT26" i="21"/>
  <c r="CT17" i="21"/>
  <c r="CT18" i="21"/>
  <c r="CT16" i="21"/>
  <c r="CT15" i="21"/>
  <c r="CT14" i="21"/>
  <c r="CP15" i="21"/>
  <c r="CP16" i="21"/>
  <c r="CP17" i="21"/>
  <c r="CP18" i="21"/>
  <c r="CP19" i="21"/>
  <c r="CQ19" i="21" s="1"/>
  <c r="CR19" i="21" s="1"/>
  <c r="CP20" i="21"/>
  <c r="CP21" i="21"/>
  <c r="CP22" i="21"/>
  <c r="CP23" i="21"/>
  <c r="CQ23" i="21" s="1"/>
  <c r="CR23" i="21" s="1"/>
  <c r="CP24" i="21"/>
  <c r="CP25" i="21"/>
  <c r="CP26" i="21"/>
  <c r="CP14" i="21"/>
  <c r="CQ14" i="21" s="1"/>
  <c r="CR14" i="21" s="1"/>
  <c r="CQ7" i="21"/>
  <c r="CS15" i="21"/>
  <c r="CQ6" i="21"/>
  <c r="CS16" i="21" s="1"/>
  <c r="CG15" i="21"/>
  <c r="CG16" i="21"/>
  <c r="CG17" i="21"/>
  <c r="CG18" i="21"/>
  <c r="CG19" i="21"/>
  <c r="CG20" i="21"/>
  <c r="CG21" i="21"/>
  <c r="CG22" i="21"/>
  <c r="CG23" i="21"/>
  <c r="CG24" i="21"/>
  <c r="CG25" i="21"/>
  <c r="CG26" i="21"/>
  <c r="CG14" i="21"/>
  <c r="CC15" i="21"/>
  <c r="CC16" i="21"/>
  <c r="CC17" i="21"/>
  <c r="CC18" i="21"/>
  <c r="CC19" i="21"/>
  <c r="CC20" i="21"/>
  <c r="CC21" i="21"/>
  <c r="CC22" i="21"/>
  <c r="CD22" i="21" s="1"/>
  <c r="CE22" i="21" s="1"/>
  <c r="CC23" i="21"/>
  <c r="CC24" i="21"/>
  <c r="CC25" i="21"/>
  <c r="CC26" i="21"/>
  <c r="CD26" i="21" s="1"/>
  <c r="CE26" i="21" s="1"/>
  <c r="CC14" i="21"/>
  <c r="CD7" i="21"/>
  <c r="CF17" i="21" s="1"/>
  <c r="CD6" i="21"/>
  <c r="CF26" i="21" s="1"/>
  <c r="CF16" i="21"/>
  <c r="BT15" i="21"/>
  <c r="BT16" i="21"/>
  <c r="BT17" i="21"/>
  <c r="BT18" i="21"/>
  <c r="BT19" i="21"/>
  <c r="BT20" i="21"/>
  <c r="BT21" i="21"/>
  <c r="BT22" i="21"/>
  <c r="BT23" i="21"/>
  <c r="BT24" i="21"/>
  <c r="BT25" i="21"/>
  <c r="BT26" i="21"/>
  <c r="BT14" i="21"/>
  <c r="BP15" i="21"/>
  <c r="BP16" i="21"/>
  <c r="BP17" i="21"/>
  <c r="BQ17" i="21" s="1"/>
  <c r="BR17" i="21" s="1"/>
  <c r="BP18" i="21"/>
  <c r="BP19" i="21"/>
  <c r="BP20" i="21"/>
  <c r="BP21" i="21"/>
  <c r="BP22" i="21"/>
  <c r="BP23" i="21"/>
  <c r="BP24" i="21"/>
  <c r="BP25" i="21"/>
  <c r="BQ25" i="21" s="1"/>
  <c r="BR25" i="21" s="1"/>
  <c r="BP26" i="21"/>
  <c r="BP14" i="21"/>
  <c r="BQ7" i="21"/>
  <c r="BS15" i="21" s="1"/>
  <c r="BQ6" i="21"/>
  <c r="BS21" i="21" s="1"/>
  <c r="BG15" i="21"/>
  <c r="BG16" i="21"/>
  <c r="BG17" i="21"/>
  <c r="BG18" i="21"/>
  <c r="BG19" i="21"/>
  <c r="BG20" i="21"/>
  <c r="BG21" i="21"/>
  <c r="BG22" i="21"/>
  <c r="BG23" i="21"/>
  <c r="BG24" i="21"/>
  <c r="BG25" i="21"/>
  <c r="BG14" i="21"/>
  <c r="BC24" i="21"/>
  <c r="BC25" i="21"/>
  <c r="BC26" i="21"/>
  <c r="BC15" i="21"/>
  <c r="BD15" i="21" s="1"/>
  <c r="BE15" i="21" s="1"/>
  <c r="BC16" i="21"/>
  <c r="BC17" i="21"/>
  <c r="BC18" i="21"/>
  <c r="BC19" i="21"/>
  <c r="BD19" i="21" s="1"/>
  <c r="BE19" i="21" s="1"/>
  <c r="BC20" i="21"/>
  <c r="BC21" i="21"/>
  <c r="BC22" i="21"/>
  <c r="BC23" i="21"/>
  <c r="BD23" i="21" s="1"/>
  <c r="BE23" i="21" s="1"/>
  <c r="BC14" i="21"/>
  <c r="BD7" i="21"/>
  <c r="BF15" i="21"/>
  <c r="BD6" i="21"/>
  <c r="BF21" i="21" s="1"/>
  <c r="AT15" i="21"/>
  <c r="AT16" i="21"/>
  <c r="AT17" i="21"/>
  <c r="AT18" i="21"/>
  <c r="AT19" i="21"/>
  <c r="AT20" i="21"/>
  <c r="AT21" i="21"/>
  <c r="AT22" i="21"/>
  <c r="AT23" i="21"/>
  <c r="AT24" i="21"/>
  <c r="AT25" i="21"/>
  <c r="AT26" i="21"/>
  <c r="AT14" i="21"/>
  <c r="AP15" i="21"/>
  <c r="AP16" i="21"/>
  <c r="AP17" i="21"/>
  <c r="AP18" i="21"/>
  <c r="AP19" i="21"/>
  <c r="AP20" i="21"/>
  <c r="AP21" i="21"/>
  <c r="AP22" i="21"/>
  <c r="AP23" i="21"/>
  <c r="AQ23" i="21" s="1"/>
  <c r="AR23" i="21" s="1"/>
  <c r="AP24" i="21"/>
  <c r="AP25" i="21"/>
  <c r="AP26" i="21"/>
  <c r="AP14" i="21"/>
  <c r="AQ14" i="21" s="1"/>
  <c r="AR14" i="21" s="1"/>
  <c r="AQ7" i="21"/>
  <c r="AS22" i="21" s="1"/>
  <c r="AS17" i="21"/>
  <c r="AQ6" i="21"/>
  <c r="AS26" i="21" s="1"/>
  <c r="CN26" i="21"/>
  <c r="CA26" i="21"/>
  <c r="BN26" i="21"/>
  <c r="BA26" i="21"/>
  <c r="N73" i="18"/>
  <c r="N72" i="18"/>
  <c r="F26" i="21"/>
  <c r="AQ26" i="21" s="1"/>
  <c r="AR26" i="21" s="1"/>
  <c r="F15" i="21"/>
  <c r="BQ15" i="21" s="1"/>
  <c r="BR15" i="21" s="1"/>
  <c r="F16" i="21"/>
  <c r="CQ16" i="21" s="1"/>
  <c r="CR16" i="21" s="1"/>
  <c r="F17" i="21"/>
  <c r="CQ17" i="21" s="1"/>
  <c r="CR17" i="21" s="1"/>
  <c r="F18" i="21"/>
  <c r="F19" i="21"/>
  <c r="F20" i="21"/>
  <c r="CD20" i="21" s="1"/>
  <c r="CE20" i="21" s="1"/>
  <c r="F21" i="21"/>
  <c r="F22" i="21"/>
  <c r="F23" i="21"/>
  <c r="F24" i="21"/>
  <c r="AQ24" i="21" s="1"/>
  <c r="AR24" i="21" s="1"/>
  <c r="F25" i="21"/>
  <c r="BD25" i="21" s="1"/>
  <c r="BE25" i="21" s="1"/>
  <c r="F14" i="21"/>
  <c r="CD14" i="21" s="1"/>
  <c r="CE14" i="21" s="1"/>
  <c r="BA13" i="20"/>
  <c r="BA14" i="20"/>
  <c r="BA15" i="20"/>
  <c r="BA16" i="20"/>
  <c r="BA17" i="20"/>
  <c r="BA18" i="20"/>
  <c r="BA19" i="20"/>
  <c r="BA20" i="20"/>
  <c r="BA21" i="20"/>
  <c r="BA22" i="20"/>
  <c r="BA23" i="20"/>
  <c r="BA24" i="20"/>
  <c r="BA12" i="20"/>
  <c r="BL24" i="20"/>
  <c r="AC26" i="21" s="1"/>
  <c r="BL28" i="20"/>
  <c r="AG25" i="20"/>
  <c r="BL13" i="20"/>
  <c r="AC15" i="21"/>
  <c r="BL14" i="20"/>
  <c r="AC16" i="21"/>
  <c r="BL15" i="20"/>
  <c r="AC17" i="21" s="1"/>
  <c r="BL16" i="20"/>
  <c r="AC18" i="21"/>
  <c r="BL17" i="20"/>
  <c r="AC19" i="21"/>
  <c r="BL18" i="20"/>
  <c r="AC20" i="21"/>
  <c r="BL19" i="20"/>
  <c r="AC21" i="21" s="1"/>
  <c r="BL20" i="20"/>
  <c r="AC22" i="21"/>
  <c r="BL21" i="20"/>
  <c r="AC23" i="21"/>
  <c r="BL22" i="20"/>
  <c r="AC24" i="21"/>
  <c r="BL23" i="20"/>
  <c r="AC25" i="21" s="1"/>
  <c r="BL12" i="20"/>
  <c r="AC14" i="21"/>
  <c r="AS18" i="21"/>
  <c r="AQ25" i="21"/>
  <c r="AR25" i="21" s="1"/>
  <c r="AQ17" i="21"/>
  <c r="BD24" i="21"/>
  <c r="BE24" i="21" s="1"/>
  <c r="CF20" i="21"/>
  <c r="CF25" i="21"/>
  <c r="AS23" i="21"/>
  <c r="CD25" i="21"/>
  <c r="CE25" i="21" s="1"/>
  <c r="CD17" i="21"/>
  <c r="CE17" i="21" s="1"/>
  <c r="CF18" i="21"/>
  <c r="CS20" i="21"/>
  <c r="CF15" i="21"/>
  <c r="BQ14" i="21"/>
  <c r="BR14" i="21" s="1"/>
  <c r="CF19" i="21"/>
  <c r="AQ18" i="21"/>
  <c r="BD22" i="21"/>
  <c r="BE22" i="21"/>
  <c r="CF14" i="21"/>
  <c r="CD19" i="21"/>
  <c r="AS14" i="21"/>
  <c r="AQ19" i="21"/>
  <c r="AR19" i="21" s="1"/>
  <c r="CQ18" i="21"/>
  <c r="CR18" i="21" s="1"/>
  <c r="BD14" i="21"/>
  <c r="BD16" i="21"/>
  <c r="BE16" i="21" s="1"/>
  <c r="BF20" i="21"/>
  <c r="CQ21" i="21"/>
  <c r="CR21" i="21" s="1"/>
  <c r="CD18" i="21"/>
  <c r="CE18" i="21" s="1"/>
  <c r="BD17" i="21"/>
  <c r="BE17" i="21" s="1"/>
  <c r="CD23" i="21"/>
  <c r="BQ22" i="21"/>
  <c r="BR22" i="21" s="1"/>
  <c r="BS16" i="21"/>
  <c r="CS22" i="21"/>
  <c r="BS18" i="21"/>
  <c r="CF21" i="21"/>
  <c r="BS23" i="21"/>
  <c r="BF22" i="21"/>
  <c r="BS17" i="21"/>
  <c r="AS15" i="21"/>
  <c r="BF17" i="21"/>
  <c r="BS19" i="21"/>
  <c r="CS17" i="21"/>
  <c r="AS20" i="21"/>
  <c r="BF18" i="21"/>
  <c r="CF23" i="21"/>
  <c r="CS18" i="21"/>
  <c r="BS22" i="21"/>
  <c r="BQ23" i="21"/>
  <c r="BR23" i="21" s="1"/>
  <c r="CF24" i="21"/>
  <c r="BL26" i="20"/>
  <c r="CE19" i="21"/>
  <c r="CE23" i="21"/>
  <c r="BE14" i="21"/>
  <c r="AR17" i="21"/>
  <c r="AR18" i="21"/>
  <c r="H44" i="18"/>
  <c r="O24" i="20"/>
  <c r="AE24" i="20" s="1"/>
  <c r="Z26" i="21" s="1"/>
  <c r="M24" i="20"/>
  <c r="AC24" i="20" s="1"/>
  <c r="V26" i="21" s="1"/>
  <c r="K24" i="20"/>
  <c r="AA24" i="20" s="1"/>
  <c r="R26" i="21" s="1"/>
  <c r="I24" i="20"/>
  <c r="Y24" i="20" s="1"/>
  <c r="N26" i="21" s="1"/>
  <c r="G24" i="20"/>
  <c r="W24" i="20" s="1"/>
  <c r="J26" i="21" s="1"/>
  <c r="T24" i="20"/>
  <c r="S24" i="20"/>
  <c r="R24" i="20"/>
  <c r="Q24" i="20"/>
  <c r="P24" i="20"/>
  <c r="AF24" i="20" s="1"/>
  <c r="AB26" i="21" s="1"/>
  <c r="N24" i="20"/>
  <c r="AD24" i="20" s="1"/>
  <c r="X26" i="21" s="1"/>
  <c r="L24" i="20"/>
  <c r="AB24" i="20" s="1"/>
  <c r="T26" i="21" s="1"/>
  <c r="J24" i="20"/>
  <c r="Z24" i="20" s="1"/>
  <c r="P26" i="21" s="1"/>
  <c r="F24" i="20"/>
  <c r="V24" i="20" s="1"/>
  <c r="H26" i="21" s="1"/>
  <c r="O23" i="20"/>
  <c r="AE23" i="20" s="1"/>
  <c r="Z25" i="21" s="1"/>
  <c r="M23" i="20"/>
  <c r="AC23" i="20" s="1"/>
  <c r="V25" i="21" s="1"/>
  <c r="G23" i="20"/>
  <c r="W23" i="20" s="1"/>
  <c r="T23" i="20"/>
  <c r="S23" i="20"/>
  <c r="R23" i="20"/>
  <c r="Q23" i="20"/>
  <c r="P23" i="20"/>
  <c r="AF23" i="20" s="1"/>
  <c r="AB25" i="21" s="1"/>
  <c r="N23" i="20"/>
  <c r="AD23" i="20" s="1"/>
  <c r="X25" i="21" s="1"/>
  <c r="L23" i="20"/>
  <c r="AB23" i="20" s="1"/>
  <c r="T25" i="21" s="1"/>
  <c r="J23" i="20"/>
  <c r="Z23" i="20" s="1"/>
  <c r="P25" i="21" s="1"/>
  <c r="H23" i="20"/>
  <c r="X23" i="20" s="1"/>
  <c r="L25" i="21" s="1"/>
  <c r="F23" i="20"/>
  <c r="V23" i="20" s="1"/>
  <c r="H25" i="21" s="1"/>
  <c r="O22" i="20"/>
  <c r="AE22" i="20" s="1"/>
  <c r="Z24" i="21" s="1"/>
  <c r="M22" i="20"/>
  <c r="AC22" i="20" s="1"/>
  <c r="V24" i="21" s="1"/>
  <c r="I22" i="20"/>
  <c r="Y22" i="20" s="1"/>
  <c r="N24" i="21" s="1"/>
  <c r="G22" i="20"/>
  <c r="W22" i="20" s="1"/>
  <c r="J24" i="21" s="1"/>
  <c r="T22" i="20"/>
  <c r="R22" i="20"/>
  <c r="Q22" i="20"/>
  <c r="P22" i="20"/>
  <c r="AF22" i="20" s="1"/>
  <c r="AB24" i="21" s="1"/>
  <c r="AN24" i="21" s="1"/>
  <c r="N22" i="20"/>
  <c r="AD22" i="20" s="1"/>
  <c r="X24" i="21" s="1"/>
  <c r="H22" i="20"/>
  <c r="X22" i="20" s="1"/>
  <c r="L24" i="21" s="1"/>
  <c r="F22" i="20"/>
  <c r="V22" i="20" s="1"/>
  <c r="O21" i="20"/>
  <c r="AE21" i="20" s="1"/>
  <c r="Z23" i="21" s="1"/>
  <c r="M21" i="20"/>
  <c r="AC21" i="20" s="1"/>
  <c r="V23" i="21" s="1"/>
  <c r="T21" i="20"/>
  <c r="S21" i="20"/>
  <c r="R21" i="20"/>
  <c r="Q21" i="20"/>
  <c r="P21" i="20"/>
  <c r="AF21" i="20" s="1"/>
  <c r="AB23" i="21" s="1"/>
  <c r="AN23" i="21" s="1"/>
  <c r="L21" i="20"/>
  <c r="AB21" i="20" s="1"/>
  <c r="T23" i="21" s="1"/>
  <c r="J21" i="20"/>
  <c r="Z21" i="20" s="1"/>
  <c r="P23" i="21" s="1"/>
  <c r="F21" i="20"/>
  <c r="V21" i="20" s="1"/>
  <c r="O20" i="20"/>
  <c r="AE20" i="20" s="1"/>
  <c r="Z22" i="21" s="1"/>
  <c r="M20" i="20"/>
  <c r="AC20" i="20" s="1"/>
  <c r="V22" i="21" s="1"/>
  <c r="K20" i="20"/>
  <c r="AA20" i="20" s="1"/>
  <c r="R22" i="21" s="1"/>
  <c r="G20" i="20"/>
  <c r="W20" i="20"/>
  <c r="J22" i="21" s="1"/>
  <c r="T20" i="20"/>
  <c r="S20" i="20"/>
  <c r="R20" i="20"/>
  <c r="Q20" i="20"/>
  <c r="P20" i="20"/>
  <c r="AF20" i="20" s="1"/>
  <c r="AB22" i="21" s="1"/>
  <c r="L20" i="20"/>
  <c r="AB20" i="20" s="1"/>
  <c r="T22" i="21" s="1"/>
  <c r="J20" i="20"/>
  <c r="H20" i="20"/>
  <c r="X20" i="20" s="1"/>
  <c r="L22" i="21" s="1"/>
  <c r="F20" i="20"/>
  <c r="V20" i="20" s="1"/>
  <c r="H22" i="21" s="1"/>
  <c r="M19" i="20"/>
  <c r="AC19" i="20" s="1"/>
  <c r="V21" i="21" s="1"/>
  <c r="K19" i="20"/>
  <c r="AA19" i="20" s="1"/>
  <c r="R21" i="21" s="1"/>
  <c r="I19" i="20"/>
  <c r="Y19" i="20" s="1"/>
  <c r="N21" i="21" s="1"/>
  <c r="T19" i="20"/>
  <c r="S19" i="20"/>
  <c r="R19" i="20"/>
  <c r="Q19" i="20"/>
  <c r="P19" i="20"/>
  <c r="AF19" i="20" s="1"/>
  <c r="AB21" i="21" s="1"/>
  <c r="N19" i="20"/>
  <c r="AD19" i="20" s="1"/>
  <c r="X21" i="21" s="1"/>
  <c r="J19" i="20"/>
  <c r="Z19" i="20" s="1"/>
  <c r="P21" i="21" s="1"/>
  <c r="F19" i="20"/>
  <c r="V19" i="20" s="1"/>
  <c r="M18" i="20"/>
  <c r="AC18" i="20" s="1"/>
  <c r="V20" i="21" s="1"/>
  <c r="K18" i="20"/>
  <c r="AA18" i="20" s="1"/>
  <c r="R20" i="21" s="1"/>
  <c r="I18" i="20"/>
  <c r="Y18" i="20" s="1"/>
  <c r="N20" i="21" s="1"/>
  <c r="G18" i="20"/>
  <c r="W18" i="20" s="1"/>
  <c r="J20" i="21" s="1"/>
  <c r="T18" i="20"/>
  <c r="S18" i="20"/>
  <c r="R18" i="20"/>
  <c r="Q18" i="20"/>
  <c r="P18" i="20"/>
  <c r="AF18" i="20" s="1"/>
  <c r="AB20" i="21" s="1"/>
  <c r="AN20" i="21" s="1"/>
  <c r="N18" i="20"/>
  <c r="AD18" i="20" s="1"/>
  <c r="X20" i="21" s="1"/>
  <c r="L18" i="20"/>
  <c r="AB18" i="20" s="1"/>
  <c r="T20" i="21" s="1"/>
  <c r="J18" i="20"/>
  <c r="Z18" i="20" s="1"/>
  <c r="P20" i="21" s="1"/>
  <c r="H18" i="20"/>
  <c r="X18" i="20" s="1"/>
  <c r="L20" i="21" s="1"/>
  <c r="F18" i="20"/>
  <c r="V18" i="20" s="1"/>
  <c r="H20" i="21" s="1"/>
  <c r="O17" i="20"/>
  <c r="AE17" i="20" s="1"/>
  <c r="Z19" i="21" s="1"/>
  <c r="M17" i="20"/>
  <c r="AC17" i="20" s="1"/>
  <c r="V19" i="21" s="1"/>
  <c r="K17" i="20"/>
  <c r="AA17" i="20" s="1"/>
  <c r="R19" i="21" s="1"/>
  <c r="I17" i="20"/>
  <c r="Y17" i="20" s="1"/>
  <c r="N19" i="21" s="1"/>
  <c r="G17" i="20"/>
  <c r="W17" i="20" s="1"/>
  <c r="J19" i="21" s="1"/>
  <c r="S17" i="20"/>
  <c r="R17" i="20"/>
  <c r="Q17" i="20"/>
  <c r="P17" i="20"/>
  <c r="AF17" i="20" s="1"/>
  <c r="AB19" i="21" s="1"/>
  <c r="AN19" i="21" s="1"/>
  <c r="N17" i="20"/>
  <c r="AD17" i="20" s="1"/>
  <c r="X19" i="21" s="1"/>
  <c r="L17" i="20"/>
  <c r="AB17" i="20" s="1"/>
  <c r="T19" i="21" s="1"/>
  <c r="J17" i="20"/>
  <c r="Z17" i="20" s="1"/>
  <c r="P19" i="21" s="1"/>
  <c r="H17" i="20"/>
  <c r="X17" i="20" s="1"/>
  <c r="L19" i="21" s="1"/>
  <c r="F17" i="20"/>
  <c r="V17" i="20" s="1"/>
  <c r="H19" i="21" s="1"/>
  <c r="O16" i="20"/>
  <c r="AE16" i="20" s="1"/>
  <c r="Z18" i="21" s="1"/>
  <c r="M16" i="20"/>
  <c r="AC16" i="20" s="1"/>
  <c r="V18" i="21" s="1"/>
  <c r="K16" i="20"/>
  <c r="AA16" i="20" s="1"/>
  <c r="R18" i="21" s="1"/>
  <c r="G16" i="20"/>
  <c r="W16" i="20" s="1"/>
  <c r="J18" i="21" s="1"/>
  <c r="R16" i="20"/>
  <c r="Q16" i="20"/>
  <c r="P16" i="20"/>
  <c r="AF16" i="20" s="1"/>
  <c r="AB18" i="21" s="1"/>
  <c r="AN18" i="21" s="1"/>
  <c r="N16" i="20"/>
  <c r="AD16" i="20" s="1"/>
  <c r="X18" i="21" s="1"/>
  <c r="J16" i="20"/>
  <c r="Z16" i="20" s="1"/>
  <c r="P18" i="21" s="1"/>
  <c r="H16" i="20"/>
  <c r="X16" i="20" s="1"/>
  <c r="L18" i="21" s="1"/>
  <c r="F16" i="20"/>
  <c r="V16" i="20" s="1"/>
  <c r="S15" i="20"/>
  <c r="R15" i="20"/>
  <c r="Q15" i="20"/>
  <c r="P15" i="20"/>
  <c r="AF15" i="20" s="1"/>
  <c r="AB17" i="21" s="1"/>
  <c r="N15" i="20"/>
  <c r="AD15" i="20" s="1"/>
  <c r="X17" i="21" s="1"/>
  <c r="J15" i="20"/>
  <c r="Z15" i="20" s="1"/>
  <c r="H15" i="20"/>
  <c r="X15" i="20" s="1"/>
  <c r="L17" i="21" s="1"/>
  <c r="O14" i="20"/>
  <c r="AE14" i="20" s="1"/>
  <c r="Z16" i="21" s="1"/>
  <c r="M14" i="20"/>
  <c r="AC14" i="20" s="1"/>
  <c r="V16" i="21" s="1"/>
  <c r="K14" i="20"/>
  <c r="AA14" i="20" s="1"/>
  <c r="R16" i="21" s="1"/>
  <c r="I14" i="20"/>
  <c r="Y14" i="20" s="1"/>
  <c r="N16" i="21" s="1"/>
  <c r="G14" i="20"/>
  <c r="W14" i="20" s="1"/>
  <c r="J16" i="21" s="1"/>
  <c r="T14" i="20"/>
  <c r="S14" i="20"/>
  <c r="R14" i="20"/>
  <c r="Q14" i="20"/>
  <c r="P14" i="20"/>
  <c r="AF14" i="20" s="1"/>
  <c r="AB16" i="21" s="1"/>
  <c r="N14" i="20"/>
  <c r="AD14" i="20" s="1"/>
  <c r="X16" i="21" s="1"/>
  <c r="L14" i="20"/>
  <c r="AB14" i="20" s="1"/>
  <c r="T16" i="21" s="1"/>
  <c r="J14" i="20"/>
  <c r="Z14" i="20" s="1"/>
  <c r="P16" i="21" s="1"/>
  <c r="H14" i="20"/>
  <c r="X14" i="20" s="1"/>
  <c r="L16" i="21" s="1"/>
  <c r="F14" i="20"/>
  <c r="V14" i="20" s="1"/>
  <c r="H16" i="21" s="1"/>
  <c r="O13" i="20"/>
  <c r="AE13" i="20" s="1"/>
  <c r="Z15" i="21" s="1"/>
  <c r="M13" i="20"/>
  <c r="AC13" i="20" s="1"/>
  <c r="V15" i="21" s="1"/>
  <c r="K13" i="20"/>
  <c r="AA13" i="20" s="1"/>
  <c r="R15" i="21" s="1"/>
  <c r="I13" i="20"/>
  <c r="Y13" i="20" s="1"/>
  <c r="N15" i="21" s="1"/>
  <c r="T13" i="20"/>
  <c r="S13" i="20"/>
  <c r="R13" i="20"/>
  <c r="Q13" i="20"/>
  <c r="P13" i="20"/>
  <c r="AF13" i="20" s="1"/>
  <c r="AB15" i="21" s="1"/>
  <c r="AN15" i="21" s="1"/>
  <c r="N13" i="20"/>
  <c r="AD13" i="20" s="1"/>
  <c r="X15" i="21" s="1"/>
  <c r="L13" i="20"/>
  <c r="AB13" i="20"/>
  <c r="T15" i="21" s="1"/>
  <c r="J13" i="20"/>
  <c r="Z13" i="20" s="1"/>
  <c r="P15" i="21" s="1"/>
  <c r="H13" i="20"/>
  <c r="X13" i="20" s="1"/>
  <c r="L15" i="21" s="1"/>
  <c r="F13" i="20"/>
  <c r="V13" i="20" s="1"/>
  <c r="H15" i="21" s="1"/>
  <c r="AH20" i="17"/>
  <c r="AG20" i="17"/>
  <c r="L24" i="17"/>
  <c r="G12" i="20"/>
  <c r="W12" i="20" s="1"/>
  <c r="T12" i="20"/>
  <c r="S12" i="20"/>
  <c r="R12" i="20"/>
  <c r="P12" i="20"/>
  <c r="AF12" i="20" s="1"/>
  <c r="AB14" i="21" s="1"/>
  <c r="AN14" i="21" s="1"/>
  <c r="J12" i="20"/>
  <c r="Z12" i="20" s="1"/>
  <c r="P14" i="21" s="1"/>
  <c r="H12" i="20"/>
  <c r="X12" i="20" s="1"/>
  <c r="F12" i="20"/>
  <c r="V12" i="20" s="1"/>
  <c r="L27" i="17"/>
  <c r="L28" i="17" s="1"/>
  <c r="AJ20" i="17"/>
  <c r="K26" i="17"/>
  <c r="AI20" i="17"/>
  <c r="L26" i="17"/>
  <c r="J26" i="17"/>
  <c r="I24" i="17"/>
  <c r="Q12" i="20"/>
  <c r="L12" i="20"/>
  <c r="AB12" i="20" s="1"/>
  <c r="T14" i="21" s="1"/>
  <c r="I12" i="20"/>
  <c r="Y12" i="20" s="1"/>
  <c r="N14" i="21" s="1"/>
  <c r="K27" i="17"/>
  <c r="H27" i="17"/>
  <c r="I27" i="17"/>
  <c r="Y12" i="17"/>
  <c r="Y14" i="17"/>
  <c r="J27" i="17"/>
  <c r="J28" i="17" s="1"/>
  <c r="H23" i="17"/>
  <c r="Y11" i="17"/>
  <c r="I26" i="17"/>
  <c r="I28" i="17" s="1"/>
  <c r="Y8" i="17"/>
  <c r="M12" i="17"/>
  <c r="AY12" i="17" s="1"/>
  <c r="M14" i="17"/>
  <c r="M17" i="17"/>
  <c r="M7" i="17"/>
  <c r="K24" i="17"/>
  <c r="J23" i="17"/>
  <c r="H24" i="17"/>
  <c r="Y7" i="17"/>
  <c r="BS21" i="13"/>
  <c r="BT21" i="13" s="1"/>
  <c r="BS23" i="13"/>
  <c r="BT23" i="13" s="1"/>
  <c r="AT22" i="13"/>
  <c r="BC24" i="20" s="1"/>
  <c r="AU22" i="13"/>
  <c r="BD24" i="20" s="1"/>
  <c r="AV22" i="13"/>
  <c r="BE24" i="20" s="1"/>
  <c r="AW22" i="13"/>
  <c r="BF24" i="20" s="1"/>
  <c r="Q26" i="21" s="1"/>
  <c r="AX22" i="13"/>
  <c r="BG24" i="20" s="1"/>
  <c r="AY22" i="13"/>
  <c r="BH24" i="20" s="1"/>
  <c r="AZ22" i="13"/>
  <c r="BI24" i="20" s="1"/>
  <c r="BB22" i="13"/>
  <c r="BK24" i="20" s="1"/>
  <c r="AA26" i="21" s="1"/>
  <c r="AS22" i="13"/>
  <c r="BB24" i="20" s="1"/>
  <c r="BE10" i="13"/>
  <c r="BS10" i="13" s="1"/>
  <c r="BE11" i="13"/>
  <c r="BS11" i="13" s="1"/>
  <c r="BE12" i="13"/>
  <c r="BS12" i="13" s="1"/>
  <c r="BE13" i="13"/>
  <c r="BS13" i="13" s="1"/>
  <c r="BE14" i="13"/>
  <c r="BS14" i="13" s="1"/>
  <c r="BE15" i="13"/>
  <c r="BS15" i="13" s="1"/>
  <c r="BE16" i="13"/>
  <c r="BS16" i="13" s="1"/>
  <c r="BE17" i="13"/>
  <c r="BS17" i="13" s="1"/>
  <c r="BE18" i="13"/>
  <c r="BS18" i="13" s="1"/>
  <c r="BE19" i="13"/>
  <c r="BS19" i="13" s="1"/>
  <c r="BE20" i="13"/>
  <c r="BS20" i="13" s="1"/>
  <c r="BE9" i="13"/>
  <c r="BS9" i="13" s="1"/>
  <c r="BD22" i="13"/>
  <c r="AO24" i="13"/>
  <c r="AP21" i="13"/>
  <c r="F91" i="3"/>
  <c r="F74" i="3" s="1"/>
  <c r="F58" i="3" s="1"/>
  <c r="F89" i="3"/>
  <c r="F90" i="3" s="1"/>
  <c r="F87" i="3"/>
  <c r="F70" i="3" s="1"/>
  <c r="F54" i="3" s="1"/>
  <c r="F85" i="3"/>
  <c r="F68" i="3" s="1"/>
  <c r="F52" i="3" s="1"/>
  <c r="F83" i="3"/>
  <c r="F66" i="3" s="1"/>
  <c r="F50" i="3" s="1"/>
  <c r="G93" i="3"/>
  <c r="G76" i="3" s="1"/>
  <c r="G60" i="3" s="1"/>
  <c r="G44" i="3" s="1"/>
  <c r="F108" i="3"/>
  <c r="F106" i="3"/>
  <c r="F104" i="3"/>
  <c r="F102" i="3"/>
  <c r="F100" i="3"/>
  <c r="Z9" i="13"/>
  <c r="L22" i="13"/>
  <c r="AB22" i="13" s="1"/>
  <c r="L10" i="13"/>
  <c r="AB10" i="13" s="1"/>
  <c r="AP10" i="13" s="1"/>
  <c r="L12" i="13"/>
  <c r="AB12" i="13" s="1"/>
  <c r="AP12" i="13" s="1"/>
  <c r="L13" i="13"/>
  <c r="AB13" i="13" s="1"/>
  <c r="AP13" i="13" s="1"/>
  <c r="L14" i="13"/>
  <c r="AB14" i="13" s="1"/>
  <c r="AP14" i="13" s="1"/>
  <c r="L15" i="13"/>
  <c r="AB15" i="13" s="1"/>
  <c r="L16" i="13"/>
  <c r="AB16" i="13" s="1"/>
  <c r="AP16" i="13" s="1"/>
  <c r="L17" i="13"/>
  <c r="AB17" i="13" s="1"/>
  <c r="AP17" i="13" s="1"/>
  <c r="L18" i="13"/>
  <c r="AB18" i="13" s="1"/>
  <c r="AP18" i="13" s="1"/>
  <c r="L19" i="13"/>
  <c r="AB19" i="13" s="1"/>
  <c r="AP19" i="13" s="1"/>
  <c r="L20" i="13"/>
  <c r="AB20" i="13" s="1"/>
  <c r="AP20" i="13" s="1"/>
  <c r="AD6" i="13"/>
  <c r="AM21" i="13"/>
  <c r="AN21" i="13" s="1"/>
  <c r="W10" i="13"/>
  <c r="BD10" i="13" s="1"/>
  <c r="W11" i="13"/>
  <c r="BD11" i="13" s="1"/>
  <c r="W12" i="13"/>
  <c r="BD12" i="13" s="1"/>
  <c r="W13" i="13"/>
  <c r="BD13" i="13" s="1"/>
  <c r="W14" i="13"/>
  <c r="BD14" i="13" s="1"/>
  <c r="W15" i="13"/>
  <c r="BD15" i="13" s="1"/>
  <c r="W16" i="13"/>
  <c r="W17" i="13"/>
  <c r="BD17" i="13" s="1"/>
  <c r="W18" i="13"/>
  <c r="BD18" i="13" s="1"/>
  <c r="W19" i="13"/>
  <c r="BD19" i="13" s="1"/>
  <c r="W20" i="13"/>
  <c r="BD20" i="13" s="1"/>
  <c r="W9" i="13"/>
  <c r="BD9" i="13" s="1"/>
  <c r="AL6" i="13"/>
  <c r="AJ6" i="13"/>
  <c r="AH6" i="13"/>
  <c r="AF6" i="13"/>
  <c r="AL5" i="13"/>
  <c r="AL22" i="13" s="1"/>
  <c r="AJ5" i="13"/>
  <c r="AJ22" i="13" s="1"/>
  <c r="AH5" i="13"/>
  <c r="AF5" i="13"/>
  <c r="AF22" i="13" s="1"/>
  <c r="AD5" i="13"/>
  <c r="I24" i="13"/>
  <c r="J24" i="13"/>
  <c r="K24" i="13"/>
  <c r="Z22" i="13"/>
  <c r="Z20" i="13"/>
  <c r="Z19" i="13"/>
  <c r="Z18" i="13"/>
  <c r="Z17" i="13"/>
  <c r="Z16" i="13"/>
  <c r="Z15" i="13"/>
  <c r="Z14" i="13"/>
  <c r="Z13" i="13"/>
  <c r="Z12" i="13"/>
  <c r="Z11" i="13"/>
  <c r="Z10" i="13"/>
  <c r="Y24" i="13"/>
  <c r="X24" i="13"/>
  <c r="E24" i="13"/>
  <c r="D24" i="13"/>
  <c r="F20" i="13"/>
  <c r="H20" i="13" s="1"/>
  <c r="F19" i="13"/>
  <c r="G19" i="13" s="1"/>
  <c r="F18" i="13"/>
  <c r="H18" i="13" s="1"/>
  <c r="G18" i="13"/>
  <c r="F17" i="13"/>
  <c r="H17" i="13" s="1"/>
  <c r="F16" i="13"/>
  <c r="G16" i="13" s="1"/>
  <c r="F15" i="13"/>
  <c r="H15" i="13" s="1"/>
  <c r="F14" i="13"/>
  <c r="H14" i="13" s="1"/>
  <c r="F13" i="13"/>
  <c r="G13" i="13"/>
  <c r="F12" i="13"/>
  <c r="H12" i="13" s="1"/>
  <c r="F11" i="13"/>
  <c r="G11" i="13" s="1"/>
  <c r="F10" i="13"/>
  <c r="G10" i="13"/>
  <c r="F9" i="13"/>
  <c r="H9" i="13" s="1"/>
  <c r="G17" i="13"/>
  <c r="H13" i="13"/>
  <c r="H10" i="13"/>
  <c r="C33" i="10"/>
  <c r="C29" i="10"/>
  <c r="C25" i="10"/>
  <c r="C21" i="10"/>
  <c r="H25" i="10"/>
  <c r="H21" i="10"/>
  <c r="Q21" i="6"/>
  <c r="Q23" i="6"/>
  <c r="Q25" i="6"/>
  <c r="O19" i="4"/>
  <c r="K7" i="4"/>
  <c r="M7" i="4" s="1"/>
  <c r="K8" i="4"/>
  <c r="M8" i="4" s="1"/>
  <c r="K9" i="4"/>
  <c r="M9" i="4" s="1"/>
  <c r="K10" i="4"/>
  <c r="M10" i="4" s="1"/>
  <c r="K11" i="4"/>
  <c r="M11" i="4" s="1"/>
  <c r="K12" i="4"/>
  <c r="M12" i="4" s="1"/>
  <c r="K13" i="4"/>
  <c r="M13" i="4"/>
  <c r="K14" i="4"/>
  <c r="M14" i="4" s="1"/>
  <c r="K15" i="4"/>
  <c r="M15" i="4" s="1"/>
  <c r="K16" i="4"/>
  <c r="M16" i="4" s="1"/>
  <c r="K17" i="4"/>
  <c r="M17" i="4" s="1"/>
  <c r="K18" i="4"/>
  <c r="M18" i="4" s="1"/>
  <c r="K6" i="4"/>
  <c r="M6" i="4" s="1"/>
  <c r="E27" i="6"/>
  <c r="H24" i="10"/>
  <c r="H20" i="10"/>
  <c r="D19" i="4"/>
  <c r="I19" i="4"/>
  <c r="H15" i="7"/>
  <c r="G15" i="7"/>
  <c r="P27" i="6"/>
  <c r="O27" i="6"/>
  <c r="N27" i="6"/>
  <c r="M27" i="6"/>
  <c r="L27" i="6"/>
  <c r="K27" i="6"/>
  <c r="J27" i="6"/>
  <c r="I27" i="6"/>
  <c r="H27" i="6"/>
  <c r="G27" i="6"/>
  <c r="F27" i="6"/>
  <c r="Q19" i="6"/>
  <c r="Q26" i="1"/>
  <c r="Q25" i="1"/>
  <c r="Q19" i="1"/>
  <c r="Q11" i="1"/>
  <c r="Q12" i="1"/>
  <c r="Q13" i="1"/>
  <c r="Q14" i="1"/>
  <c r="Q15" i="1"/>
  <c r="Q16" i="1"/>
  <c r="Q17" i="1"/>
  <c r="Q18" i="1"/>
  <c r="Q10" i="1"/>
  <c r="F20" i="1"/>
  <c r="F22" i="1"/>
  <c r="G20" i="1"/>
  <c r="G22" i="1" s="1"/>
  <c r="H20" i="1"/>
  <c r="H22" i="1" s="1"/>
  <c r="I20" i="1"/>
  <c r="I22" i="1"/>
  <c r="J20" i="1"/>
  <c r="J22" i="1" s="1"/>
  <c r="K20" i="1"/>
  <c r="K22" i="1" s="1"/>
  <c r="L20" i="1"/>
  <c r="L22" i="1" s="1"/>
  <c r="M20" i="1"/>
  <c r="M22" i="1" s="1"/>
  <c r="N20" i="1"/>
  <c r="N22" i="1"/>
  <c r="O20" i="1"/>
  <c r="O22" i="1" s="1"/>
  <c r="P20" i="1"/>
  <c r="P22" i="1" s="1"/>
  <c r="E20" i="1"/>
  <c r="E22" i="1"/>
  <c r="R11" i="1"/>
  <c r="R12" i="1"/>
  <c r="R13" i="1"/>
  <c r="R14" i="1"/>
  <c r="R15" i="1"/>
  <c r="R16" i="1"/>
  <c r="R17" i="1"/>
  <c r="R18" i="1"/>
  <c r="R19" i="1"/>
  <c r="R10" i="1"/>
  <c r="B1" i="1"/>
  <c r="D22" i="1"/>
  <c r="Q5" i="1"/>
  <c r="R5" i="1" s="1"/>
  <c r="R28" i="1" s="1"/>
  <c r="C17" i="2"/>
  <c r="P21" i="1"/>
  <c r="N21" i="1"/>
  <c r="L21" i="1"/>
  <c r="J21" i="1"/>
  <c r="H21" i="1"/>
  <c r="F21" i="1"/>
  <c r="E21" i="1"/>
  <c r="O21" i="1"/>
  <c r="M21" i="1"/>
  <c r="K21" i="1"/>
  <c r="I21" i="1"/>
  <c r="G21" i="1"/>
  <c r="BE22" i="13"/>
  <c r="BA22" i="13"/>
  <c r="BJ24" i="20" s="1"/>
  <c r="Y26" i="21" s="1"/>
  <c r="V18" i="13"/>
  <c r="BB18" i="13"/>
  <c r="BK21" i="20" s="1"/>
  <c r="BB14" i="13"/>
  <c r="BK17" i="20" s="1"/>
  <c r="AA19" i="21" s="1"/>
  <c r="V14" i="13"/>
  <c r="V10" i="13"/>
  <c r="BB10" i="13"/>
  <c r="BK13" i="20" s="1"/>
  <c r="AA15" i="21" s="1"/>
  <c r="M16" i="13"/>
  <c r="O16" i="13"/>
  <c r="AU10" i="13"/>
  <c r="AT18" i="13"/>
  <c r="BC21" i="20" s="1"/>
  <c r="K23" i="21" s="1"/>
  <c r="N18" i="13"/>
  <c r="AW16" i="13"/>
  <c r="N13" i="13"/>
  <c r="AT13" i="13"/>
  <c r="BC16" i="20" s="1"/>
  <c r="K18" i="21" s="1"/>
  <c r="AT11" i="13"/>
  <c r="N11" i="13"/>
  <c r="AV18" i="13"/>
  <c r="P18" i="13"/>
  <c r="S15" i="13"/>
  <c r="AY10" i="13"/>
  <c r="R17" i="13"/>
  <c r="AX17" i="13"/>
  <c r="BG20" i="20" s="1"/>
  <c r="AX14" i="13"/>
  <c r="BG17" i="20" s="1"/>
  <c r="S19" i="21" s="1"/>
  <c r="R14" i="13"/>
  <c r="R12" i="13"/>
  <c r="AX12" i="13"/>
  <c r="AX9" i="13"/>
  <c r="R9" i="13"/>
  <c r="G29" i="10"/>
  <c r="BB19" i="13"/>
  <c r="BK22" i="20" s="1"/>
  <c r="AA24" i="21" s="1"/>
  <c r="V19" i="13"/>
  <c r="AZ11" i="13"/>
  <c r="BI14" i="20" s="1"/>
  <c r="M18" i="13"/>
  <c r="AS18" i="13"/>
  <c r="BB21" i="20" s="1"/>
  <c r="AV15" i="13"/>
  <c r="BE18" i="20" s="1"/>
  <c r="P15" i="13"/>
  <c r="V15" i="13"/>
  <c r="BB15" i="13"/>
  <c r="BK18" i="20" s="1"/>
  <c r="BB11" i="13"/>
  <c r="BK14" i="20" s="1"/>
  <c r="AA16" i="21" s="1"/>
  <c r="V11" i="13"/>
  <c r="N20" i="13"/>
  <c r="AT20" i="13"/>
  <c r="BC23" i="20" s="1"/>
  <c r="K25" i="21" s="1"/>
  <c r="O18" i="13"/>
  <c r="AU18" i="13"/>
  <c r="BD21" i="20" s="1"/>
  <c r="M23" i="21" s="1"/>
  <c r="O11" i="13"/>
  <c r="AU11" i="13"/>
  <c r="BD14" i="20" s="1"/>
  <c r="N16" i="13"/>
  <c r="AT16" i="13"/>
  <c r="BC19" i="20" s="1"/>
  <c r="AW14" i="13"/>
  <c r="BF17" i="20" s="1"/>
  <c r="Q19" i="21" s="1"/>
  <c r="Q14" i="13"/>
  <c r="AY19" i="13"/>
  <c r="BH22" i="20" s="1"/>
  <c r="U24" i="21" s="1"/>
  <c r="S19" i="13"/>
  <c r="AV16" i="13"/>
  <c r="BE19" i="20" s="1"/>
  <c r="AY11" i="13"/>
  <c r="BH14" i="20" s="1"/>
  <c r="U16" i="21" s="1"/>
  <c r="U18" i="13"/>
  <c r="BA18" i="13"/>
  <c r="BJ21" i="20" s="1"/>
  <c r="Y23" i="21" s="1"/>
  <c r="R10" i="13"/>
  <c r="AX10" i="13"/>
  <c r="BG13" i="20" s="1"/>
  <c r="AV10" i="13"/>
  <c r="BE13" i="20" s="1"/>
  <c r="O15" i="21" s="1"/>
  <c r="P10" i="13"/>
  <c r="V12" i="13"/>
  <c r="P17" i="13"/>
  <c r="AV17" i="13"/>
  <c r="O13" i="13"/>
  <c r="AU13" i="13"/>
  <c r="BD16" i="20" s="1"/>
  <c r="AW17" i="13"/>
  <c r="BF20" i="20" s="1"/>
  <c r="Q17" i="13"/>
  <c r="Q15" i="13"/>
  <c r="AW15" i="13"/>
  <c r="AT12" i="13"/>
  <c r="BC15" i="20" s="1"/>
  <c r="K17" i="21" s="1"/>
  <c r="N12" i="13"/>
  <c r="N9" i="13"/>
  <c r="AT9" i="13"/>
  <c r="BC12" i="20" s="1"/>
  <c r="K14" i="21" s="1"/>
  <c r="S17" i="13"/>
  <c r="AY17" i="13"/>
  <c r="BH20" i="20" s="1"/>
  <c r="U22" i="21" s="1"/>
  <c r="P12" i="13"/>
  <c r="AV12" i="13"/>
  <c r="BE15" i="20" s="1"/>
  <c r="O17" i="21" s="1"/>
  <c r="U16" i="13"/>
  <c r="BA16" i="13"/>
  <c r="BJ19" i="20" s="1"/>
  <c r="R13" i="13"/>
  <c r="O20" i="13"/>
  <c r="AU20" i="13"/>
  <c r="BD23" i="20" s="1"/>
  <c r="M25" i="21" s="1"/>
  <c r="P11" i="13"/>
  <c r="AV11" i="13"/>
  <c r="BE14" i="20" s="1"/>
  <c r="O16" i="21" s="1"/>
  <c r="T17" i="13"/>
  <c r="AZ17" i="13"/>
  <c r="BI20" i="20" s="1"/>
  <c r="T13" i="13"/>
  <c r="AZ9" i="13"/>
  <c r="BI12" i="20" s="1"/>
  <c r="W14" i="21" s="1"/>
  <c r="M12" i="13"/>
  <c r="AS12" i="13"/>
  <c r="BB15" i="20" s="1"/>
  <c r="AY13" i="13"/>
  <c r="BH16" i="20" s="1"/>
  <c r="S13" i="13"/>
  <c r="U13" i="13"/>
  <c r="BA13" i="13"/>
  <c r="BJ16" i="20" s="1"/>
  <c r="Y18" i="21" s="1"/>
  <c r="V20" i="13"/>
  <c r="BB20" i="13"/>
  <c r="BK23" i="20" s="1"/>
  <c r="AA25" i="21" s="1"/>
  <c r="AS20" i="13"/>
  <c r="V17" i="13"/>
  <c r="BB17" i="13"/>
  <c r="BK20" i="20" s="1"/>
  <c r="V13" i="13"/>
  <c r="BB13" i="13"/>
  <c r="BK16" i="20" s="1"/>
  <c r="AA18" i="21" s="1"/>
  <c r="V9" i="13"/>
  <c r="G33" i="10"/>
  <c r="Q25" i="3"/>
  <c r="BB9" i="13"/>
  <c r="BK12" i="20" s="1"/>
  <c r="N19" i="13"/>
  <c r="AT19" i="13"/>
  <c r="BC22" i="20" s="1"/>
  <c r="K24" i="21" s="1"/>
  <c r="AU14" i="13"/>
  <c r="BD17" i="20" s="1"/>
  <c r="M19" i="21" s="1"/>
  <c r="O14" i="13"/>
  <c r="AU9" i="13"/>
  <c r="BD12" i="20" s="1"/>
  <c r="M14" i="21" s="1"/>
  <c r="O9" i="13"/>
  <c r="N17" i="13"/>
  <c r="AT17" i="13"/>
  <c r="BC20" i="20" s="1"/>
  <c r="AT15" i="13"/>
  <c r="BC18" i="20" s="1"/>
  <c r="N15" i="13"/>
  <c r="Q13" i="13"/>
  <c r="AW13" i="13"/>
  <c r="BF16" i="20" s="1"/>
  <c r="Q18" i="21" s="1"/>
  <c r="R20" i="13"/>
  <c r="AX20" i="13"/>
  <c r="BG23" i="20" s="1"/>
  <c r="S25" i="21" s="1"/>
  <c r="P13" i="13"/>
  <c r="R15" i="13"/>
  <c r="AX15" i="13"/>
  <c r="BG18" i="20" s="1"/>
  <c r="AS15" i="13"/>
  <c r="BB18" i="20" s="1"/>
  <c r="I20" i="21" s="1"/>
  <c r="T12" i="13"/>
  <c r="AZ20" i="13"/>
  <c r="BI23" i="20" s="1"/>
  <c r="W25" i="21" s="1"/>
  <c r="AX16" i="13"/>
  <c r="BG19" i="20" s="1"/>
  <c r="S21" i="21" s="1"/>
  <c r="R16" i="13"/>
  <c r="U14" i="13"/>
  <c r="BA12" i="13"/>
  <c r="BJ15" i="20" s="1"/>
  <c r="Y17" i="21" s="1"/>
  <c r="U12" i="13"/>
  <c r="AS10" i="13"/>
  <c r="BB13" i="20" s="1"/>
  <c r="M10" i="13"/>
  <c r="T18" i="13"/>
  <c r="AZ18" i="13"/>
  <c r="BI21" i="20" s="1"/>
  <c r="W23" i="21" s="1"/>
  <c r="T14" i="13"/>
  <c r="AZ14" i="13"/>
  <c r="BI17" i="20" s="1"/>
  <c r="W19" i="21" s="1"/>
  <c r="T10" i="13"/>
  <c r="AZ10" i="13"/>
  <c r="BI13" i="20" s="1"/>
  <c r="M14" i="13"/>
  <c r="AS14" i="13"/>
  <c r="BB17" i="20" s="1"/>
  <c r="I19" i="21" s="1"/>
  <c r="M25" i="3"/>
  <c r="J25" i="3"/>
  <c r="AT14" i="13"/>
  <c r="BC17" i="20" s="1"/>
  <c r="T19" i="13"/>
  <c r="AZ19" i="13"/>
  <c r="BI22" i="20" s="1"/>
  <c r="W24" i="21" s="1"/>
  <c r="S20" i="13"/>
  <c r="AY20" i="13"/>
  <c r="BH23" i="20" s="1"/>
  <c r="U25" i="21" s="1"/>
  <c r="AU17" i="13"/>
  <c r="BD20" i="20" s="1"/>
  <c r="M22" i="21" s="1"/>
  <c r="O17" i="13"/>
  <c r="BA17" i="13"/>
  <c r="BJ20" i="20" s="1"/>
  <c r="Y22" i="21" s="1"/>
  <c r="Q10" i="13"/>
  <c r="AW10" i="13"/>
  <c r="BF13" i="20" s="1"/>
  <c r="R11" i="13"/>
  <c r="AX11" i="13"/>
  <c r="BG14" i="20" s="1"/>
  <c r="AT10" i="13"/>
  <c r="N10" i="13"/>
  <c r="S9" i="13"/>
  <c r="AV20" i="13"/>
  <c r="BE23" i="20" s="1"/>
  <c r="P20" i="13"/>
  <c r="S16" i="13"/>
  <c r="AY16" i="13"/>
  <c r="BH19" i="20" s="1"/>
  <c r="AU12" i="13"/>
  <c r="BD15" i="20" s="1"/>
  <c r="M17" i="21" s="1"/>
  <c r="O12" i="13"/>
  <c r="AV9" i="13"/>
  <c r="BE12" i="20" s="1"/>
  <c r="O14" i="21" s="1"/>
  <c r="P9" i="13"/>
  <c r="G25" i="10"/>
  <c r="S12" i="13"/>
  <c r="AY12" i="13"/>
  <c r="BH15" i="20" s="1"/>
  <c r="U17" i="21" s="1"/>
  <c r="BA19" i="13"/>
  <c r="BJ22" i="20" s="1"/>
  <c r="Y24" i="21" s="1"/>
  <c r="U19" i="13"/>
  <c r="S14" i="13"/>
  <c r="AY14" i="13"/>
  <c r="BH17" i="20" s="1"/>
  <c r="U19" i="21" s="1"/>
  <c r="AU15" i="13"/>
  <c r="BD18" i="20" s="1"/>
  <c r="M20" i="21" s="1"/>
  <c r="O15" i="13"/>
  <c r="R19" i="13"/>
  <c r="AX19" i="13"/>
  <c r="BG22" i="20" s="1"/>
  <c r="S24" i="21" s="1"/>
  <c r="Q18" i="13"/>
  <c r="AD22" i="13"/>
  <c r="AG22" i="13"/>
  <c r="AI22" i="13"/>
  <c r="AE22" i="13"/>
  <c r="AK22" i="13"/>
  <c r="AH22" i="13"/>
  <c r="AC22" i="13"/>
  <c r="AY16" i="20"/>
  <c r="AS16" i="20" s="1"/>
  <c r="AR20" i="13"/>
  <c r="AR10" i="13"/>
  <c r="AR16" i="13"/>
  <c r="AR9" i="13"/>
  <c r="AR15" i="13"/>
  <c r="AQ22" i="13"/>
  <c r="AQ15" i="13"/>
  <c r="AR14" i="13"/>
  <c r="AR13" i="13"/>
  <c r="AR19" i="13"/>
  <c r="AQ10" i="13"/>
  <c r="AQ12" i="13"/>
  <c r="AQ17" i="13"/>
  <c r="AR22" i="13"/>
  <c r="AR12" i="13"/>
  <c r="AR17" i="13"/>
  <c r="AQ13" i="13"/>
  <c r="AQ14" i="13"/>
  <c r="AQ19" i="13"/>
  <c r="AQ9" i="13"/>
  <c r="AQ16" i="13"/>
  <c r="AQ20" i="13"/>
  <c r="AR11" i="13"/>
  <c r="AQ11" i="13"/>
  <c r="AQ18" i="13"/>
  <c r="AR18" i="13"/>
  <c r="BF16" i="21" l="1"/>
  <c r="CQ24" i="21"/>
  <c r="CR24" i="21" s="1"/>
  <c r="AC28" i="21"/>
  <c r="BS25" i="21"/>
  <c r="BF24" i="21"/>
  <c r="CQ22" i="21"/>
  <c r="CR22" i="21" s="1"/>
  <c r="X50" i="24"/>
  <c r="X56" i="24" s="1"/>
  <c r="Q20" i="1"/>
  <c r="G14" i="13"/>
  <c r="Z24" i="13"/>
  <c r="BF14" i="21"/>
  <c r="BF23" i="21"/>
  <c r="BS24" i="21"/>
  <c r="BQ24" i="21"/>
  <c r="BR24" i="21" s="1"/>
  <c r="BQ16" i="21"/>
  <c r="BR16" i="21" s="1"/>
  <c r="BQ19" i="21"/>
  <c r="BR19" i="21" s="1"/>
  <c r="CD24" i="21"/>
  <c r="CE24" i="21" s="1"/>
  <c r="CD16" i="21"/>
  <c r="CE16" i="21" s="1"/>
  <c r="G9" i="13"/>
  <c r="AN16" i="21"/>
  <c r="AQ16" i="21"/>
  <c r="AR16" i="21" s="1"/>
  <c r="BF19" i="21"/>
  <c r="BD20" i="21"/>
  <c r="BE20" i="21" s="1"/>
  <c r="BQ26" i="21"/>
  <c r="BR26" i="21" s="1"/>
  <c r="BQ18" i="21"/>
  <c r="BR18" i="21" s="1"/>
  <c r="AD90" i="24"/>
  <c r="C24" i="17"/>
  <c r="AB54" i="24"/>
  <c r="P54" i="24"/>
  <c r="AG13" i="24"/>
  <c r="AC101" i="24"/>
  <c r="AC115" i="24" s="1"/>
  <c r="AN22" i="21"/>
  <c r="BS14" i="21"/>
  <c r="AQ22" i="21"/>
  <c r="AR22" i="21" s="1"/>
  <c r="BD18" i="21"/>
  <c r="BE18" i="21" s="1"/>
  <c r="AG6" i="24"/>
  <c r="AA101" i="24"/>
  <c r="AA115" i="24" s="1"/>
  <c r="AQ21" i="21"/>
  <c r="AR21" i="21" s="1"/>
  <c r="BF25" i="21"/>
  <c r="BS26" i="21"/>
  <c r="BQ21" i="21"/>
  <c r="BR21" i="21" s="1"/>
  <c r="O18" i="24"/>
  <c r="O23" i="24" s="1"/>
  <c r="O114" i="24" s="1"/>
  <c r="N76" i="18"/>
  <c r="Q22" i="1"/>
  <c r="AM22" i="13"/>
  <c r="M19" i="4"/>
  <c r="H19" i="13"/>
  <c r="H24" i="13" s="1"/>
  <c r="G15" i="13"/>
  <c r="G12" i="13"/>
  <c r="H16" i="13"/>
  <c r="G20" i="13"/>
  <c r="G50" i="3"/>
  <c r="G51" i="3" s="1"/>
  <c r="F34" i="3"/>
  <c r="F35" i="3" s="1"/>
  <c r="AS16" i="21"/>
  <c r="CS24" i="21"/>
  <c r="CS21" i="21"/>
  <c r="CQ26" i="21"/>
  <c r="CR26" i="21" s="1"/>
  <c r="AQ20" i="21"/>
  <c r="AR20" i="21" s="1"/>
  <c r="BD26" i="21"/>
  <c r="BE26" i="21" s="1"/>
  <c r="AS21" i="21"/>
  <c r="CS19" i="21"/>
  <c r="N50" i="24"/>
  <c r="M10" i="17"/>
  <c r="I101" i="24"/>
  <c r="I115" i="24" s="1"/>
  <c r="U101" i="24"/>
  <c r="U115" i="24" s="1"/>
  <c r="G54" i="3"/>
  <c r="G55" i="3" s="1"/>
  <c r="F38" i="3"/>
  <c r="F39" i="3" s="1"/>
  <c r="AN26" i="21"/>
  <c r="CS26" i="21"/>
  <c r="CS23" i="21"/>
  <c r="BQ20" i="21"/>
  <c r="BR20" i="21" s="1"/>
  <c r="BD21" i="21"/>
  <c r="BE21" i="21" s="1"/>
  <c r="AS19" i="21"/>
  <c r="AS25" i="21"/>
  <c r="CQ15" i="21"/>
  <c r="CR15" i="21" s="1"/>
  <c r="AW18" i="17"/>
  <c r="Z50" i="24"/>
  <c r="Z56" i="24" s="1"/>
  <c r="V50" i="24"/>
  <c r="V56" i="24" s="1"/>
  <c r="AB50" i="24"/>
  <c r="AB56" i="24" s="1"/>
  <c r="AB66" i="24" s="1"/>
  <c r="O101" i="24"/>
  <c r="O115" i="24" s="1"/>
  <c r="O116" i="24" s="1"/>
  <c r="G52" i="3"/>
  <c r="G53" i="3" s="1"/>
  <c r="F36" i="3"/>
  <c r="F37" i="3" s="1"/>
  <c r="K19" i="4"/>
  <c r="H11" i="13"/>
  <c r="G58" i="3"/>
  <c r="G59" i="3" s="1"/>
  <c r="F42" i="3"/>
  <c r="F43" i="3" s="1"/>
  <c r="CS14" i="21"/>
  <c r="BS20" i="21"/>
  <c r="CS25" i="21"/>
  <c r="CD15" i="21"/>
  <c r="CE15" i="21" s="1"/>
  <c r="CQ20" i="21"/>
  <c r="CR20" i="21" s="1"/>
  <c r="AQ15" i="21"/>
  <c r="AR15" i="21" s="1"/>
  <c r="AS24" i="21"/>
  <c r="CD21" i="21"/>
  <c r="CE21" i="21" s="1"/>
  <c r="CF22" i="21"/>
  <c r="S101" i="24"/>
  <c r="S115" i="24" s="1"/>
  <c r="D54" i="24"/>
  <c r="AE52" i="24"/>
  <c r="R22" i="1"/>
  <c r="AN21" i="21"/>
  <c r="CQ25" i="21"/>
  <c r="CR25" i="21" s="1"/>
  <c r="F54" i="24"/>
  <c r="N54" i="24"/>
  <c r="F24" i="13"/>
  <c r="BF26" i="21"/>
  <c r="H54" i="24"/>
  <c r="K28" i="17"/>
  <c r="AN17" i="21"/>
  <c r="AE53" i="24"/>
  <c r="Q101" i="24"/>
  <c r="Q115" i="24" s="1"/>
  <c r="AE12" i="17"/>
  <c r="AE20" i="17" s="1"/>
  <c r="G101" i="24"/>
  <c r="G115" i="24" s="1"/>
  <c r="W101" i="24"/>
  <c r="W115" i="24" s="1"/>
  <c r="K101" i="24"/>
  <c r="K115" i="24" s="1"/>
  <c r="Y101" i="24"/>
  <c r="Y115" i="24" s="1"/>
  <c r="M101" i="24"/>
  <c r="M115" i="24" s="1"/>
  <c r="AC18" i="13"/>
  <c r="AL18" i="13"/>
  <c r="N74" i="18"/>
  <c r="AK18" i="13"/>
  <c r="AF18" i="13"/>
  <c r="G21" i="10"/>
  <c r="Q27" i="6"/>
  <c r="AH20" i="13"/>
  <c r="AL20" i="13"/>
  <c r="AD20" i="13"/>
  <c r="AL14" i="13"/>
  <c r="AG14" i="13"/>
  <c r="AC14" i="13"/>
  <c r="AE14" i="13"/>
  <c r="AH14" i="13"/>
  <c r="R21" i="1"/>
  <c r="R24" i="1" s="1"/>
  <c r="R25" i="1" s="1"/>
  <c r="Q21" i="1"/>
  <c r="G27" i="10"/>
  <c r="G23" i="10"/>
  <c r="G32" i="10"/>
  <c r="G35" i="10"/>
  <c r="F36" i="10"/>
  <c r="AE13" i="13"/>
  <c r="AH13" i="13"/>
  <c r="AJ13" i="13"/>
  <c r="AE18" i="13"/>
  <c r="AD18" i="13"/>
  <c r="AH12" i="13"/>
  <c r="AC12" i="13"/>
  <c r="AJ12" i="13"/>
  <c r="AD12" i="13"/>
  <c r="AI12" i="13"/>
  <c r="AK12" i="13"/>
  <c r="AL13" i="13"/>
  <c r="AL19" i="13"/>
  <c r="AJ19" i="13"/>
  <c r="AF12" i="13"/>
  <c r="AL12" i="13"/>
  <c r="G83" i="3"/>
  <c r="G84" i="3" s="1"/>
  <c r="AG13" i="13"/>
  <c r="AK13" i="13"/>
  <c r="F92" i="3"/>
  <c r="AH19" i="13"/>
  <c r="AI13" i="13"/>
  <c r="G91" i="3"/>
  <c r="G92" i="3" s="1"/>
  <c r="AD19" i="13"/>
  <c r="AJ20" i="13"/>
  <c r="G87" i="3"/>
  <c r="G88" i="3" s="1"/>
  <c r="AE17" i="13"/>
  <c r="F72" i="3"/>
  <c r="F56" i="3" s="1"/>
  <c r="F59" i="3"/>
  <c r="J33" i="18"/>
  <c r="M5" i="3"/>
  <c r="F51" i="3"/>
  <c r="F53" i="3"/>
  <c r="F55" i="3"/>
  <c r="AK8" i="17"/>
  <c r="I18" i="24"/>
  <c r="I23" i="24" s="1"/>
  <c r="I114" i="24" s="1"/>
  <c r="AW8" i="17"/>
  <c r="AX18" i="17"/>
  <c r="AY8" i="17"/>
  <c r="AJ20" i="21"/>
  <c r="CM20" i="21" s="1"/>
  <c r="AD20" i="21"/>
  <c r="AZ20" i="21" s="1"/>
  <c r="U14" i="20"/>
  <c r="AB58" i="24"/>
  <c r="P50" i="24"/>
  <c r="P56" i="24" s="1"/>
  <c r="P66" i="24" s="1"/>
  <c r="J50" i="24"/>
  <c r="J56" i="24" s="1"/>
  <c r="J58" i="24" s="1"/>
  <c r="L50" i="24"/>
  <c r="L56" i="24" s="1"/>
  <c r="F50" i="24"/>
  <c r="F56" i="24" s="1"/>
  <c r="F66" i="24" s="1"/>
  <c r="R50" i="24"/>
  <c r="R56" i="24" s="1"/>
  <c r="R58" i="24" s="1"/>
  <c r="T50" i="24"/>
  <c r="T56" i="24" s="1"/>
  <c r="D50" i="24"/>
  <c r="H50" i="24"/>
  <c r="H56" i="24" s="1"/>
  <c r="H66" i="24" s="1"/>
  <c r="Z58" i="24"/>
  <c r="Z66" i="24"/>
  <c r="X121" i="24"/>
  <c r="X58" i="24"/>
  <c r="X66" i="24"/>
  <c r="V66" i="24"/>
  <c r="V58" i="24"/>
  <c r="AD50" i="24"/>
  <c r="P58" i="24"/>
  <c r="Q116" i="24"/>
  <c r="N56" i="24"/>
  <c r="L66" i="24"/>
  <c r="D56" i="24"/>
  <c r="U24" i="20"/>
  <c r="X24" i="20"/>
  <c r="L26" i="21" s="1"/>
  <c r="M18" i="17"/>
  <c r="AY18" i="17" s="1"/>
  <c r="AC18" i="24"/>
  <c r="AC23" i="24" s="1"/>
  <c r="AH26" i="21"/>
  <c r="BZ26" i="21" s="1"/>
  <c r="AC114" i="24"/>
  <c r="AC116" i="24" s="1"/>
  <c r="AB26" i="24"/>
  <c r="AK14" i="17"/>
  <c r="AW14" i="17"/>
  <c r="M18" i="24"/>
  <c r="M23" i="24" s="1"/>
  <c r="L26" i="24" s="1"/>
  <c r="Y18" i="24"/>
  <c r="Y23" i="24" s="1"/>
  <c r="Y114" i="24" s="1"/>
  <c r="Y116" i="24" s="1"/>
  <c r="AA18" i="24"/>
  <c r="AA23" i="24" s="1"/>
  <c r="AA114" i="24" s="1"/>
  <c r="AA116" i="24" s="1"/>
  <c r="K23" i="17"/>
  <c r="U18" i="24"/>
  <c r="U23" i="24" s="1"/>
  <c r="U114" i="24" s="1"/>
  <c r="U116" i="24" s="1"/>
  <c r="AL22" i="21"/>
  <c r="CZ22" i="21" s="1"/>
  <c r="S18" i="24"/>
  <c r="S23" i="24" s="1"/>
  <c r="S114" i="24" s="1"/>
  <c r="P114" i="24"/>
  <c r="P26" i="24"/>
  <c r="AW12" i="17"/>
  <c r="T16" i="20"/>
  <c r="AW10" i="17"/>
  <c r="U16" i="20"/>
  <c r="Y16" i="20"/>
  <c r="N18" i="21" s="1"/>
  <c r="AG16" i="20"/>
  <c r="H18" i="21"/>
  <c r="AF20" i="17"/>
  <c r="H26" i="17"/>
  <c r="H28" i="17" s="1"/>
  <c r="AH18" i="21"/>
  <c r="BZ18" i="21" s="1"/>
  <c r="AL18" i="21"/>
  <c r="AM18" i="21" s="1"/>
  <c r="DA18" i="21" s="1"/>
  <c r="AK10" i="17"/>
  <c r="Y10" i="17"/>
  <c r="AY10" i="17" s="1"/>
  <c r="H26" i="24"/>
  <c r="H114" i="24"/>
  <c r="AW7" i="17"/>
  <c r="AX7" i="17" s="1"/>
  <c r="G18" i="24"/>
  <c r="G23" i="24" s="1"/>
  <c r="G114" i="24" s="1"/>
  <c r="Y6" i="17"/>
  <c r="AY6" i="17" s="1"/>
  <c r="F24" i="17"/>
  <c r="M12" i="20"/>
  <c r="AC12" i="20" s="1"/>
  <c r="V14" i="21" s="1"/>
  <c r="V28" i="21" s="1"/>
  <c r="U18" i="20"/>
  <c r="AG18" i="20"/>
  <c r="AF20" i="21"/>
  <c r="BM20" i="21" s="1"/>
  <c r="AY7" i="17"/>
  <c r="U13" i="20"/>
  <c r="AG13" i="20"/>
  <c r="AY14" i="17"/>
  <c r="U20" i="20"/>
  <c r="AJ22" i="21"/>
  <c r="AK22" i="21" s="1"/>
  <c r="CN22" i="21" s="1"/>
  <c r="Z20" i="20"/>
  <c r="P22" i="21" s="1"/>
  <c r="AF22" i="21"/>
  <c r="BM22" i="21" s="1"/>
  <c r="AL26" i="21"/>
  <c r="AM26" i="21" s="1"/>
  <c r="DA26" i="21" s="1"/>
  <c r="AD19" i="21"/>
  <c r="AE19" i="21" s="1"/>
  <c r="BA19" i="21" s="1"/>
  <c r="AJ16" i="21"/>
  <c r="AK16" i="21" s="1"/>
  <c r="CN16" i="21" s="1"/>
  <c r="AG14" i="20"/>
  <c r="AK17" i="13"/>
  <c r="AL17" i="13"/>
  <c r="AD17" i="13"/>
  <c r="AI17" i="13"/>
  <c r="AG17" i="13"/>
  <c r="AH17" i="13"/>
  <c r="AJ17" i="13"/>
  <c r="AF17" i="13"/>
  <c r="AD16" i="13"/>
  <c r="AD9" i="13"/>
  <c r="AL9" i="13"/>
  <c r="BD16" i="13"/>
  <c r="AK16" i="13"/>
  <c r="AF9" i="13"/>
  <c r="AI16" i="13"/>
  <c r="AH11" i="13"/>
  <c r="AL11" i="13"/>
  <c r="F84" i="3"/>
  <c r="I68" i="3"/>
  <c r="AD11" i="13"/>
  <c r="AE16" i="13"/>
  <c r="AJ14" i="13"/>
  <c r="AK14" i="13"/>
  <c r="AH15" i="13"/>
  <c r="AF11" i="13"/>
  <c r="AC16" i="13"/>
  <c r="L9" i="13"/>
  <c r="AB9" i="13" s="1"/>
  <c r="AP9" i="13" s="1"/>
  <c r="F88" i="3"/>
  <c r="BF13" i="13"/>
  <c r="G18" i="21" s="1"/>
  <c r="AU18" i="21" s="1"/>
  <c r="AV18" i="21" s="1"/>
  <c r="AW18" i="21" s="1"/>
  <c r="AX18" i="21" s="1"/>
  <c r="AY18" i="21" s="1"/>
  <c r="AI14" i="13"/>
  <c r="AH16" i="13"/>
  <c r="AI19" i="13"/>
  <c r="AE11" i="13"/>
  <c r="G89" i="3"/>
  <c r="G90" i="3" s="1"/>
  <c r="AG18" i="13"/>
  <c r="AK19" i="13"/>
  <c r="AE12" i="13"/>
  <c r="AI9" i="13"/>
  <c r="AJ18" i="13"/>
  <c r="AE9" i="13"/>
  <c r="AE20" i="13"/>
  <c r="AF15" i="13"/>
  <c r="AH9" i="13"/>
  <c r="AD13" i="13"/>
  <c r="AL10" i="13"/>
  <c r="F69" i="3"/>
  <c r="G68" i="3"/>
  <c r="G70" i="3"/>
  <c r="F71" i="3"/>
  <c r="G74" i="3"/>
  <c r="F75" i="3"/>
  <c r="F67" i="3"/>
  <c r="G66" i="3"/>
  <c r="G85" i="3"/>
  <c r="G86" i="3" s="1"/>
  <c r="AC15" i="13"/>
  <c r="AC20" i="13"/>
  <c r="BQ6" i="13"/>
  <c r="AD15" i="13"/>
  <c r="F86" i="3"/>
  <c r="AL15" i="13"/>
  <c r="AF10" i="13"/>
  <c r="AH10" i="13"/>
  <c r="AI20" i="13"/>
  <c r="AI10" i="13"/>
  <c r="AE15" i="13"/>
  <c r="AJ10" i="13"/>
  <c r="AD10" i="13"/>
  <c r="AF20" i="13"/>
  <c r="AC10" i="13"/>
  <c r="AG10" i="13"/>
  <c r="AG15" i="13"/>
  <c r="AN22" i="13"/>
  <c r="AP22" i="13"/>
  <c r="AP15" i="13"/>
  <c r="AJ11" i="13"/>
  <c r="AF19" i="13"/>
  <c r="AK20" i="13"/>
  <c r="AE10" i="13"/>
  <c r="AG16" i="13"/>
  <c r="AK10" i="13"/>
  <c r="AN16" i="20"/>
  <c r="AF16" i="13"/>
  <c r="AI11" i="13"/>
  <c r="BF18" i="20"/>
  <c r="Q20" i="21" s="1"/>
  <c r="AH20" i="21" s="1"/>
  <c r="BZ20" i="21" s="1"/>
  <c r="BE20" i="20"/>
  <c r="O22" i="21" s="1"/>
  <c r="AG9" i="24"/>
  <c r="AG22" i="24"/>
  <c r="AG15" i="24"/>
  <c r="AR24" i="13"/>
  <c r="U28" i="20" s="1"/>
  <c r="AW9" i="17"/>
  <c r="G12" i="10"/>
  <c r="AG8" i="24"/>
  <c r="AE18" i="24"/>
  <c r="AG7" i="24"/>
  <c r="D48" i="18"/>
  <c r="Q24" i="6"/>
  <c r="U26" i="21"/>
  <c r="AJ26" i="21" s="1"/>
  <c r="CM26" i="21" s="1"/>
  <c r="BC13" i="20"/>
  <c r="K15" i="21" s="1"/>
  <c r="W22" i="21"/>
  <c r="AA20" i="21"/>
  <c r="AJ24" i="21"/>
  <c r="CM24" i="21" s="1"/>
  <c r="BC14" i="20"/>
  <c r="K16" i="21" s="1"/>
  <c r="AR16" i="20"/>
  <c r="AJ16" i="20"/>
  <c r="S18" i="21"/>
  <c r="W16" i="21"/>
  <c r="S16" i="21"/>
  <c r="U18" i="21"/>
  <c r="AJ18" i="21" s="1"/>
  <c r="CM18" i="21" s="1"/>
  <c r="AO16" i="20"/>
  <c r="AA22" i="21"/>
  <c r="S22" i="21"/>
  <c r="Q22" i="21"/>
  <c r="W26" i="21"/>
  <c r="O26" i="21"/>
  <c r="M18" i="21"/>
  <c r="AF18" i="21" s="1"/>
  <c r="BM18" i="21" s="1"/>
  <c r="AK16" i="20"/>
  <c r="M26" i="21"/>
  <c r="S20" i="21"/>
  <c r="K20" i="21"/>
  <c r="M16" i="21"/>
  <c r="AF16" i="21" s="1"/>
  <c r="BM16" i="21" s="1"/>
  <c r="O20" i="21"/>
  <c r="K26" i="21"/>
  <c r="K22" i="21"/>
  <c r="BM24" i="20"/>
  <c r="I26" i="21"/>
  <c r="AD26" i="21" s="1"/>
  <c r="AZ26" i="21" s="1"/>
  <c r="S26" i="21"/>
  <c r="AL16" i="20"/>
  <c r="AH23" i="21"/>
  <c r="BZ23" i="21" s="1"/>
  <c r="AM16" i="20"/>
  <c r="AT24" i="13"/>
  <c r="BC28" i="20" s="1"/>
  <c r="AF19" i="21"/>
  <c r="BM19" i="21" s="1"/>
  <c r="AF21" i="21"/>
  <c r="AG21" i="21" s="1"/>
  <c r="BN21" i="21" s="1"/>
  <c r="W15" i="21"/>
  <c r="S15" i="21"/>
  <c r="J24" i="17"/>
  <c r="J25" i="21"/>
  <c r="AG23" i="20"/>
  <c r="Z114" i="24"/>
  <c r="AB28" i="21"/>
  <c r="AN25" i="21"/>
  <c r="AW17" i="17"/>
  <c r="E23" i="17"/>
  <c r="AJ25" i="21"/>
  <c r="AF25" i="21"/>
  <c r="U23" i="20"/>
  <c r="AK17" i="17"/>
  <c r="AG16" i="24"/>
  <c r="AY17" i="17"/>
  <c r="AF26" i="20"/>
  <c r="AX16" i="17"/>
  <c r="H24" i="21"/>
  <c r="K22" i="20"/>
  <c r="AA22" i="20" s="1"/>
  <c r="R24" i="21" s="1"/>
  <c r="G23" i="17"/>
  <c r="AL24" i="21"/>
  <c r="J22" i="20"/>
  <c r="Z22" i="20" s="1"/>
  <c r="P24" i="21" s="1"/>
  <c r="M16" i="17"/>
  <c r="M15" i="17"/>
  <c r="H23" i="21"/>
  <c r="AW15" i="17"/>
  <c r="AX15" i="17" s="1"/>
  <c r="W18" i="24"/>
  <c r="W23" i="24" s="1"/>
  <c r="AL23" i="21"/>
  <c r="CZ23" i="21" s="1"/>
  <c r="Y15" i="17"/>
  <c r="H21" i="20"/>
  <c r="X21" i="20" s="1"/>
  <c r="L23" i="21" s="1"/>
  <c r="AF23" i="21" s="1"/>
  <c r="AG23" i="21" s="1"/>
  <c r="BN23" i="21" s="1"/>
  <c r="E24" i="17"/>
  <c r="L23" i="17"/>
  <c r="H21" i="21"/>
  <c r="AG19" i="20"/>
  <c r="AW13" i="17"/>
  <c r="AX13" i="17" s="1"/>
  <c r="M13" i="17"/>
  <c r="D24" i="17"/>
  <c r="Y13" i="17"/>
  <c r="U19" i="20"/>
  <c r="G27" i="17"/>
  <c r="M11" i="17"/>
  <c r="AY11" i="17" s="1"/>
  <c r="AK11" i="17"/>
  <c r="AW11" i="17"/>
  <c r="AG17" i="20"/>
  <c r="AL19" i="21"/>
  <c r="AA20" i="17"/>
  <c r="N23" i="24"/>
  <c r="AE23" i="24" s="1"/>
  <c r="AG23" i="24" s="1"/>
  <c r="D23" i="17"/>
  <c r="G24" i="17"/>
  <c r="AD20" i="17"/>
  <c r="C26" i="17"/>
  <c r="F27" i="17"/>
  <c r="AJ19" i="21"/>
  <c r="AK19" i="21" s="1"/>
  <c r="CN19" i="21" s="1"/>
  <c r="AH19" i="21"/>
  <c r="BZ19" i="21" s="1"/>
  <c r="U17" i="20"/>
  <c r="AG20" i="24"/>
  <c r="T15" i="20"/>
  <c r="U15" i="20" s="1"/>
  <c r="M9" i="17"/>
  <c r="AB26" i="20"/>
  <c r="T17" i="21"/>
  <c r="AJ17" i="21" s="1"/>
  <c r="AK9" i="17"/>
  <c r="P17" i="21"/>
  <c r="AH17" i="21" s="1"/>
  <c r="BZ17" i="21" s="1"/>
  <c r="V15" i="20"/>
  <c r="N17" i="21"/>
  <c r="N28" i="21" s="1"/>
  <c r="K18" i="24"/>
  <c r="K23" i="24" s="1"/>
  <c r="D27" i="17"/>
  <c r="Y9" i="17"/>
  <c r="E27" i="17"/>
  <c r="AF17" i="21"/>
  <c r="F23" i="17"/>
  <c r="C23" i="17"/>
  <c r="E26" i="17"/>
  <c r="AL17" i="21"/>
  <c r="CZ17" i="21" s="1"/>
  <c r="W26" i="20"/>
  <c r="J14" i="21"/>
  <c r="R14" i="21"/>
  <c r="AB20" i="17"/>
  <c r="D26" i="17"/>
  <c r="AK6" i="17"/>
  <c r="AW6" i="17"/>
  <c r="H14" i="21"/>
  <c r="AE26" i="20"/>
  <c r="Z14" i="21"/>
  <c r="Z28" i="21" s="1"/>
  <c r="L14" i="21"/>
  <c r="AC20" i="17"/>
  <c r="N12" i="20"/>
  <c r="AD12" i="20" s="1"/>
  <c r="AG12" i="24"/>
  <c r="AG11" i="24"/>
  <c r="E18" i="24"/>
  <c r="E23" i="24" s="1"/>
  <c r="AG10" i="24"/>
  <c r="AG14" i="24"/>
  <c r="AJ14" i="21"/>
  <c r="CM14" i="21" s="1"/>
  <c r="Q22" i="6"/>
  <c r="P11" i="6"/>
  <c r="C20" i="6"/>
  <c r="C8" i="6"/>
  <c r="Q26" i="6"/>
  <c r="C9" i="6"/>
  <c r="Q20" i="6"/>
  <c r="A61" i="18"/>
  <c r="L11" i="18"/>
  <c r="G20" i="10"/>
  <c r="C22" i="6"/>
  <c r="A10" i="18"/>
  <c r="E48" i="18" s="1"/>
  <c r="C24" i="6"/>
  <c r="C26" i="6"/>
  <c r="P12" i="6"/>
  <c r="J10" i="18"/>
  <c r="Q15" i="21"/>
  <c r="AH15" i="21" s="1"/>
  <c r="BA20" i="13"/>
  <c r="O21" i="21"/>
  <c r="BD13" i="20"/>
  <c r="AA23" i="21"/>
  <c r="U21" i="21"/>
  <c r="AJ21" i="21" s="1"/>
  <c r="Q12" i="13"/>
  <c r="AG12" i="13" s="1"/>
  <c r="M9" i="13"/>
  <c r="AS9" i="13"/>
  <c r="H25" i="3"/>
  <c r="U9" i="13"/>
  <c r="BA9" i="13"/>
  <c r="AS13" i="13"/>
  <c r="G14" i="3"/>
  <c r="G25" i="3" s="1"/>
  <c r="BI16" i="20"/>
  <c r="AV14" i="13"/>
  <c r="BA15" i="13"/>
  <c r="U15" i="13"/>
  <c r="AK15" i="13" s="1"/>
  <c r="AS17" i="13"/>
  <c r="M17" i="13"/>
  <c r="AC17" i="13" s="1"/>
  <c r="AY18" i="13"/>
  <c r="AY24" i="13" s="1"/>
  <c r="BH28" i="20" s="1"/>
  <c r="S18" i="13"/>
  <c r="AI18" i="13" s="1"/>
  <c r="N25" i="3"/>
  <c r="Q19" i="13"/>
  <c r="AG19" i="13" s="1"/>
  <c r="AW19" i="13"/>
  <c r="AF13" i="13"/>
  <c r="L24" i="3"/>
  <c r="L25" i="3"/>
  <c r="P14" i="13"/>
  <c r="AF14" i="13" s="1"/>
  <c r="K21" i="21"/>
  <c r="BG12" i="20"/>
  <c r="BE21" i="20"/>
  <c r="K19" i="21"/>
  <c r="I15" i="21"/>
  <c r="AD15" i="21" s="1"/>
  <c r="BB23" i="20"/>
  <c r="BG15" i="20"/>
  <c r="BM15" i="20" s="1"/>
  <c r="BH13" i="20"/>
  <c r="BF19" i="20"/>
  <c r="AQ16" i="20"/>
  <c r="BA10" i="13"/>
  <c r="AF18" i="24"/>
  <c r="O25" i="21"/>
  <c r="I23" i="21"/>
  <c r="M13" i="13"/>
  <c r="AC13" i="13" s="1"/>
  <c r="AI15" i="13"/>
  <c r="U11" i="13"/>
  <c r="AK11" i="13" s="1"/>
  <c r="BA11" i="13"/>
  <c r="P25" i="3"/>
  <c r="AA14" i="21"/>
  <c r="Y21" i="21"/>
  <c r="AL21" i="21" s="1"/>
  <c r="AV19" i="13"/>
  <c r="BS22" i="13"/>
  <c r="BE24" i="13"/>
  <c r="Q9" i="13"/>
  <c r="AW9" i="13"/>
  <c r="M11" i="13"/>
  <c r="AC11" i="13" s="1"/>
  <c r="AS11" i="13"/>
  <c r="T15" i="13"/>
  <c r="AJ15" i="13" s="1"/>
  <c r="AZ15" i="13"/>
  <c r="R18" i="13"/>
  <c r="AH18" i="13" s="1"/>
  <c r="AX18" i="13"/>
  <c r="AX24" i="13" s="1"/>
  <c r="BG28" i="20" s="1"/>
  <c r="I17" i="21"/>
  <c r="Q11" i="13"/>
  <c r="AG11" i="13" s="1"/>
  <c r="AW11" i="13"/>
  <c r="AS16" i="13"/>
  <c r="T16" i="13"/>
  <c r="AJ16" i="13" s="1"/>
  <c r="AZ16" i="13"/>
  <c r="AW20" i="13"/>
  <c r="Q20" i="13"/>
  <c r="AG20" i="13" s="1"/>
  <c r="M19" i="13"/>
  <c r="AC19" i="13" s="1"/>
  <c r="AS19" i="13"/>
  <c r="O25" i="3"/>
  <c r="T9" i="13"/>
  <c r="N14" i="13"/>
  <c r="AD14" i="13" s="1"/>
  <c r="I25" i="3"/>
  <c r="V16" i="13"/>
  <c r="AL16" i="13" s="1"/>
  <c r="BB16" i="13"/>
  <c r="O19" i="13"/>
  <c r="AE19" i="13" s="1"/>
  <c r="AU19" i="13"/>
  <c r="AU24" i="13" s="1"/>
  <c r="BD28" i="20" s="1"/>
  <c r="AX10" i="17" l="1"/>
  <c r="H58" i="24"/>
  <c r="Y26" i="20"/>
  <c r="G24" i="13"/>
  <c r="F73" i="3"/>
  <c r="S116" i="24"/>
  <c r="AE56" i="24"/>
  <c r="AK12" i="17"/>
  <c r="AX12" i="17" s="1"/>
  <c r="AD101" i="24"/>
  <c r="G26" i="17"/>
  <c r="G56" i="3"/>
  <c r="G57" i="3" s="1"/>
  <c r="F40" i="3"/>
  <c r="F41" i="3" s="1"/>
  <c r="R26" i="24"/>
  <c r="R62" i="24" s="1"/>
  <c r="G116" i="24"/>
  <c r="R66" i="24"/>
  <c r="J66" i="24"/>
  <c r="I116" i="24"/>
  <c r="AE54" i="24"/>
  <c r="AI18" i="21"/>
  <c r="CA18" i="21" s="1"/>
  <c r="J65" i="18"/>
  <c r="AX14" i="17"/>
  <c r="CZ26" i="21"/>
  <c r="R26" i="1"/>
  <c r="R27" i="1" s="1"/>
  <c r="R29" i="1" s="1"/>
  <c r="AX8" i="17"/>
  <c r="AG20" i="20"/>
  <c r="AG22" i="21"/>
  <c r="BN22" i="21" s="1"/>
  <c r="G72" i="3"/>
  <c r="G73" i="3" s="1"/>
  <c r="AL24" i="13"/>
  <c r="BH18" i="21"/>
  <c r="BI18" i="21" s="1"/>
  <c r="BJ18" i="21" s="1"/>
  <c r="BK18" i="21" s="1"/>
  <c r="BL18" i="21" s="1"/>
  <c r="AE20" i="21"/>
  <c r="BA20" i="21" s="1"/>
  <c r="AK20" i="21"/>
  <c r="CN20" i="21" s="1"/>
  <c r="CZ18" i="21"/>
  <c r="AM22" i="21"/>
  <c r="DA22" i="21" s="1"/>
  <c r="I53" i="18"/>
  <c r="J53" i="18" s="1"/>
  <c r="J54" i="18" s="1"/>
  <c r="F57" i="3"/>
  <c r="AM17" i="13"/>
  <c r="AN17" i="13" s="1"/>
  <c r="AG20" i="21"/>
  <c r="BN20" i="21" s="1"/>
  <c r="AM12" i="13"/>
  <c r="AN12" i="13" s="1"/>
  <c r="L24" i="13"/>
  <c r="F26" i="24"/>
  <c r="F27" i="24" s="1"/>
  <c r="D65" i="18"/>
  <c r="Q65" i="18" s="1"/>
  <c r="C27" i="17"/>
  <c r="C28" i="17" s="1"/>
  <c r="CM16" i="21"/>
  <c r="J28" i="21"/>
  <c r="R28" i="21"/>
  <c r="AF26" i="21"/>
  <c r="BM26" i="21" s="1"/>
  <c r="AH22" i="21"/>
  <c r="BZ22" i="21" s="1"/>
  <c r="CM22" i="21"/>
  <c r="AZ19" i="21"/>
  <c r="AE50" i="24"/>
  <c r="F58" i="24"/>
  <c r="T66" i="24"/>
  <c r="T58" i="24"/>
  <c r="N66" i="24"/>
  <c r="N58" i="24"/>
  <c r="D58" i="24"/>
  <c r="D66" i="24"/>
  <c r="AG24" i="20"/>
  <c r="F26" i="17"/>
  <c r="F28" i="17" s="1"/>
  <c r="X26" i="24"/>
  <c r="X62" i="24" s="1"/>
  <c r="Z26" i="24"/>
  <c r="M114" i="24"/>
  <c r="M116" i="24" s="1"/>
  <c r="AB62" i="24"/>
  <c r="AB27" i="24"/>
  <c r="T26" i="24"/>
  <c r="T27" i="24" s="1"/>
  <c r="AX17" i="17"/>
  <c r="P27" i="24"/>
  <c r="P62" i="24"/>
  <c r="L27" i="24"/>
  <c r="AX9" i="17"/>
  <c r="H62" i="24"/>
  <c r="H27" i="24"/>
  <c r="AC26" i="20"/>
  <c r="AI20" i="21"/>
  <c r="CA20" i="21" s="1"/>
  <c r="AY16" i="17"/>
  <c r="Z26" i="20"/>
  <c r="AY15" i="17"/>
  <c r="AD23" i="21"/>
  <c r="AZ23" i="21" s="1"/>
  <c r="CH18" i="21"/>
  <c r="CI18" i="21" s="1"/>
  <c r="CJ18" i="21" s="1"/>
  <c r="CK18" i="21" s="1"/>
  <c r="CL18" i="21" s="1"/>
  <c r="BQ13" i="13"/>
  <c r="BQ24" i="13" s="1"/>
  <c r="AS28" i="20" s="1"/>
  <c r="CU18" i="21"/>
  <c r="CV18" i="21" s="1"/>
  <c r="CW18" i="21" s="1"/>
  <c r="CX18" i="21" s="1"/>
  <c r="CY18" i="21" s="1"/>
  <c r="AB24" i="13"/>
  <c r="AH24" i="13"/>
  <c r="AI24" i="13"/>
  <c r="AP24" i="13"/>
  <c r="BU18" i="21"/>
  <c r="BV18" i="21" s="1"/>
  <c r="BW18" i="21" s="1"/>
  <c r="BX18" i="21" s="1"/>
  <c r="BY18" i="21" s="1"/>
  <c r="G67" i="3"/>
  <c r="AI19" i="21"/>
  <c r="CA19" i="21" s="1"/>
  <c r="BH5" i="13"/>
  <c r="BG5" i="13"/>
  <c r="G71" i="3"/>
  <c r="BM6" i="13"/>
  <c r="K6" i="3"/>
  <c r="BN6" i="13" s="1"/>
  <c r="I51" i="18"/>
  <c r="BL5" i="13"/>
  <c r="BK5" i="13"/>
  <c r="L4" i="3"/>
  <c r="BP5" i="13" s="1"/>
  <c r="BO5" i="13"/>
  <c r="I4" i="3"/>
  <c r="BJ5" i="13" s="1"/>
  <c r="BI5" i="13"/>
  <c r="G69" i="3"/>
  <c r="I55" i="18"/>
  <c r="G75" i="3"/>
  <c r="AM20" i="13"/>
  <c r="AN20" i="13" s="1"/>
  <c r="AM10" i="13"/>
  <c r="AN10" i="13" s="1"/>
  <c r="I59" i="18"/>
  <c r="BM21" i="21"/>
  <c r="AK18" i="21"/>
  <c r="CN18" i="21" s="1"/>
  <c r="AE24" i="13"/>
  <c r="AK24" i="21"/>
  <c r="CN24" i="21" s="1"/>
  <c r="CM19" i="21"/>
  <c r="AY9" i="17"/>
  <c r="P28" i="21"/>
  <c r="G13" i="10"/>
  <c r="G42" i="10" s="1"/>
  <c r="T28" i="21"/>
  <c r="R12" i="6"/>
  <c r="R11" i="6"/>
  <c r="BC26" i="20"/>
  <c r="S24" i="13"/>
  <c r="AK14" i="21"/>
  <c r="CN14" i="21" s="1"/>
  <c r="AM16" i="13"/>
  <c r="AN16" i="13" s="1"/>
  <c r="AI23" i="21"/>
  <c r="CA23" i="21" s="1"/>
  <c r="V24" i="13"/>
  <c r="K28" i="21"/>
  <c r="AF24" i="13"/>
  <c r="AG18" i="21"/>
  <c r="BN18" i="21" s="1"/>
  <c r="AG16" i="21"/>
  <c r="BN16" i="21" s="1"/>
  <c r="AG19" i="21"/>
  <c r="BN19" i="21" s="1"/>
  <c r="AM14" i="13"/>
  <c r="AN14" i="13" s="1"/>
  <c r="AM23" i="21"/>
  <c r="DA23" i="21" s="1"/>
  <c r="P24" i="13"/>
  <c r="AM18" i="13"/>
  <c r="AN18" i="13" s="1"/>
  <c r="AM15" i="13"/>
  <c r="AN15" i="13" s="1"/>
  <c r="AM13" i="13"/>
  <c r="AN13" i="13" s="1"/>
  <c r="Z27" i="24"/>
  <c r="Z62" i="24"/>
  <c r="AG25" i="21"/>
  <c r="BN25" i="21" s="1"/>
  <c r="BM25" i="21"/>
  <c r="CM25" i="21"/>
  <c r="AK25" i="21"/>
  <c r="CN25" i="21" s="1"/>
  <c r="X27" i="24"/>
  <c r="AG22" i="20"/>
  <c r="E28" i="17"/>
  <c r="G28" i="17"/>
  <c r="U22" i="20"/>
  <c r="CZ24" i="21"/>
  <c r="AM24" i="21"/>
  <c r="DA24" i="21" s="1"/>
  <c r="AA26" i="20"/>
  <c r="V26" i="24"/>
  <c r="W114" i="24"/>
  <c r="W116" i="24" s="1"/>
  <c r="BM23" i="21"/>
  <c r="M24" i="17"/>
  <c r="AW20" i="17"/>
  <c r="AW23" i="17" s="1"/>
  <c r="AG21" i="20"/>
  <c r="X26" i="20"/>
  <c r="U21" i="20"/>
  <c r="AY13" i="17"/>
  <c r="R27" i="24"/>
  <c r="N26" i="24"/>
  <c r="N114" i="24"/>
  <c r="CZ19" i="21"/>
  <c r="AM19" i="21"/>
  <c r="DA19" i="21" s="1"/>
  <c r="AX11" i="17"/>
  <c r="M23" i="17"/>
  <c r="AM17" i="21"/>
  <c r="DA17" i="21" s="1"/>
  <c r="K114" i="24"/>
  <c r="K116" i="24" s="1"/>
  <c r="J26" i="24"/>
  <c r="BM17" i="21"/>
  <c r="AG17" i="21"/>
  <c r="BN17" i="21" s="1"/>
  <c r="H17" i="21"/>
  <c r="H28" i="21" s="1"/>
  <c r="AG15" i="20"/>
  <c r="AI17" i="21"/>
  <c r="CA17" i="21" s="1"/>
  <c r="CM17" i="21"/>
  <c r="AK17" i="21"/>
  <c r="CN17" i="21" s="1"/>
  <c r="V26" i="20"/>
  <c r="X14" i="21"/>
  <c r="X28" i="21" s="1"/>
  <c r="AD26" i="20"/>
  <c r="M29" i="17"/>
  <c r="AX6" i="17"/>
  <c r="AG12" i="20"/>
  <c r="D28" i="17"/>
  <c r="U12" i="20"/>
  <c r="E114" i="24"/>
  <c r="E116" i="24" s="1"/>
  <c r="AD23" i="24"/>
  <c r="AF14" i="21"/>
  <c r="L28" i="21"/>
  <c r="D26" i="24"/>
  <c r="D61" i="18"/>
  <c r="H61" i="18"/>
  <c r="J61" i="18" s="1"/>
  <c r="G24" i="10"/>
  <c r="L35" i="18"/>
  <c r="D56" i="18"/>
  <c r="Q56" i="18" s="1"/>
  <c r="D55" i="18"/>
  <c r="Q55" i="18" s="1"/>
  <c r="D52" i="18"/>
  <c r="Q52" i="18" s="1"/>
  <c r="D54" i="18"/>
  <c r="Q54" i="18" s="1"/>
  <c r="D53" i="18"/>
  <c r="Q53" i="18" s="1"/>
  <c r="D60" i="18"/>
  <c r="Q60" i="18" s="1"/>
  <c r="D58" i="18"/>
  <c r="Q58" i="18" s="1"/>
  <c r="D57" i="18"/>
  <c r="Q57" i="18" s="1"/>
  <c r="D51" i="18"/>
  <c r="Q51" i="18" s="1"/>
  <c r="D59" i="18"/>
  <c r="Q59" i="18" s="1"/>
  <c r="D35" i="18"/>
  <c r="D41" i="18" s="1"/>
  <c r="G28" i="10"/>
  <c r="AI15" i="21"/>
  <c r="CA15" i="21" s="1"/>
  <c r="BZ15" i="21"/>
  <c r="BF23" i="20"/>
  <c r="R24" i="13"/>
  <c r="Q21" i="21"/>
  <c r="AH21" i="21" s="1"/>
  <c r="I25" i="21"/>
  <c r="AD25" i="21" s="1"/>
  <c r="O24" i="13"/>
  <c r="BA24" i="13"/>
  <c r="BJ28" i="20" s="1"/>
  <c r="BJ12" i="20"/>
  <c r="AK21" i="21"/>
  <c r="CN21" i="21" s="1"/>
  <c r="CM21" i="21"/>
  <c r="BE22" i="20"/>
  <c r="BI18" i="20"/>
  <c r="AE15" i="21"/>
  <c r="BA15" i="21" s="1"/>
  <c r="AZ15" i="21"/>
  <c r="S14" i="21"/>
  <c r="N24" i="3"/>
  <c r="H24" i="3"/>
  <c r="J24" i="3"/>
  <c r="P24" i="3"/>
  <c r="AZ24" i="13"/>
  <c r="BI28" i="20" s="1"/>
  <c r="P27" i="3"/>
  <c r="BI19" i="20"/>
  <c r="CZ21" i="21"/>
  <c r="AM21" i="21"/>
  <c r="DA21" i="21" s="1"/>
  <c r="U24" i="13"/>
  <c r="AK9" i="13"/>
  <c r="AK24" i="13" s="1"/>
  <c r="U15" i="21"/>
  <c r="BB20" i="20"/>
  <c r="W18" i="21"/>
  <c r="AP16" i="20"/>
  <c r="AD24" i="13"/>
  <c r="BG21" i="20"/>
  <c r="BG26" i="20" s="1"/>
  <c r="BJ18" i="20"/>
  <c r="T24" i="13"/>
  <c r="AJ9" i="13"/>
  <c r="AJ24" i="13" s="1"/>
  <c r="BH21" i="20"/>
  <c r="BH26" i="20" s="1"/>
  <c r="BS24" i="13"/>
  <c r="S17" i="21"/>
  <c r="BB12" i="20"/>
  <c r="AS24" i="13"/>
  <c r="BB28" i="20" s="1"/>
  <c r="BJ23" i="20"/>
  <c r="BE17" i="20"/>
  <c r="BD22" i="20"/>
  <c r="BD26" i="20" s="1"/>
  <c r="BB22" i="20"/>
  <c r="BJ13" i="20"/>
  <c r="BM13" i="20" s="1"/>
  <c r="BF22" i="20"/>
  <c r="BB16" i="20"/>
  <c r="AC9" i="13"/>
  <c r="M24" i="13"/>
  <c r="BJ14" i="20"/>
  <c r="BB14" i="20"/>
  <c r="AV24" i="13"/>
  <c r="BE28" i="20" s="1"/>
  <c r="BB19" i="20"/>
  <c r="AM11" i="13"/>
  <c r="AN11" i="13" s="1"/>
  <c r="BK19" i="20"/>
  <c r="BB24" i="13"/>
  <c r="BK28" i="20" s="1"/>
  <c r="BF12" i="20"/>
  <c r="AW24" i="13"/>
  <c r="BF28" i="20" s="1"/>
  <c r="AM19" i="13"/>
  <c r="AN19" i="13" s="1"/>
  <c r="BF14" i="20"/>
  <c r="Q24" i="13"/>
  <c r="AG9" i="13"/>
  <c r="AG24" i="13" s="1"/>
  <c r="N24" i="13"/>
  <c r="O23" i="21"/>
  <c r="M15" i="21"/>
  <c r="G38" i="10" l="1"/>
  <c r="G39" i="10" s="1"/>
  <c r="T62" i="24"/>
  <c r="F62" i="24"/>
  <c r="E35" i="18"/>
  <c r="D42" i="18" s="1"/>
  <c r="M27" i="17"/>
  <c r="I54" i="18"/>
  <c r="P54" i="18" s="1"/>
  <c r="K4" i="3"/>
  <c r="BN5" i="13" s="1"/>
  <c r="BM5" i="13"/>
  <c r="P53" i="18"/>
  <c r="I57" i="18"/>
  <c r="J57" i="18" s="1"/>
  <c r="J58" i="18" s="1"/>
  <c r="AE23" i="21"/>
  <c r="BA23" i="21" s="1"/>
  <c r="AI22" i="21"/>
  <c r="CA22" i="21" s="1"/>
  <c r="D66" i="18"/>
  <c r="Q66" i="18" s="1"/>
  <c r="AB28" i="24"/>
  <c r="AB29" i="24" s="1"/>
  <c r="AB31" i="24" s="1"/>
  <c r="M26" i="17"/>
  <c r="T28" i="24"/>
  <c r="T29" i="24" s="1"/>
  <c r="T31" i="24" s="1"/>
  <c r="P28" i="24"/>
  <c r="P29" i="24" s="1"/>
  <c r="P31" i="24" s="1"/>
  <c r="L28" i="24"/>
  <c r="L29" i="24" s="1"/>
  <c r="L31" i="24" s="1"/>
  <c r="H28" i="24"/>
  <c r="H29" i="24" s="1"/>
  <c r="H31" i="24" s="1"/>
  <c r="F28" i="24"/>
  <c r="F29" i="24" s="1"/>
  <c r="F31" i="24" s="1"/>
  <c r="AY19" i="17"/>
  <c r="BM23" i="20"/>
  <c r="BM13" i="13"/>
  <c r="J55" i="18"/>
  <c r="J56" i="18" s="1"/>
  <c r="I56" i="18"/>
  <c r="J51" i="18"/>
  <c r="I52" i="18"/>
  <c r="BL6" i="13"/>
  <c r="BK6" i="13"/>
  <c r="BG6" i="13"/>
  <c r="H6" i="3"/>
  <c r="BH6" i="13" s="1"/>
  <c r="I6" i="3"/>
  <c r="BJ6" i="13" s="1"/>
  <c r="BI6" i="13"/>
  <c r="I60" i="18"/>
  <c r="J59" i="18"/>
  <c r="J60" i="18" s="1"/>
  <c r="BO6" i="13"/>
  <c r="L6" i="3"/>
  <c r="BP6" i="13" s="1"/>
  <c r="BN13" i="13"/>
  <c r="R13" i="6"/>
  <c r="R33" i="6" s="1"/>
  <c r="BM28" i="20"/>
  <c r="L27" i="3"/>
  <c r="N27" i="3"/>
  <c r="Z28" i="24"/>
  <c r="Z29" i="24" s="1"/>
  <c r="Z31" i="24" s="1"/>
  <c r="X28" i="24"/>
  <c r="X29" i="24" s="1"/>
  <c r="X31" i="24" s="1"/>
  <c r="U26" i="20"/>
  <c r="U29" i="20" s="1"/>
  <c r="M25" i="17"/>
  <c r="V27" i="24"/>
  <c r="V62" i="24"/>
  <c r="R28" i="24"/>
  <c r="R29" i="24" s="1"/>
  <c r="R31" i="24" s="1"/>
  <c r="AX20" i="17"/>
  <c r="N62" i="24"/>
  <c r="N27" i="24"/>
  <c r="N28" i="24" s="1"/>
  <c r="N29" i="24" s="1"/>
  <c r="N31" i="24" s="1"/>
  <c r="AD17" i="21"/>
  <c r="J62" i="24"/>
  <c r="J27" i="24"/>
  <c r="AG26" i="20"/>
  <c r="D27" i="24"/>
  <c r="D62" i="24"/>
  <c r="AG14" i="21"/>
  <c r="BN14" i="21" s="1"/>
  <c r="BM14" i="21"/>
  <c r="R21" i="6"/>
  <c r="R25" i="6"/>
  <c r="Q61" i="18"/>
  <c r="P61" i="18"/>
  <c r="R23" i="6"/>
  <c r="R19" i="6"/>
  <c r="Y20" i="21"/>
  <c r="AL20" i="21" s="1"/>
  <c r="AA21" i="21"/>
  <c r="AA28" i="21" s="1"/>
  <c r="BK26" i="20"/>
  <c r="W21" i="21"/>
  <c r="AF15" i="21"/>
  <c r="Q27" i="3"/>
  <c r="J27" i="3"/>
  <c r="Q25" i="21"/>
  <c r="AH25" i="21" s="1"/>
  <c r="AZ25" i="21"/>
  <c r="AE25" i="21"/>
  <c r="BA25" i="21" s="1"/>
  <c r="I14" i="21"/>
  <c r="BB26" i="20"/>
  <c r="BM12" i="20"/>
  <c r="BZ21" i="21"/>
  <c r="AI21" i="21"/>
  <c r="CA21" i="21" s="1"/>
  <c r="M24" i="21"/>
  <c r="AF24" i="21" s="1"/>
  <c r="Q24" i="21"/>
  <c r="AH24" i="21" s="1"/>
  <c r="S23" i="21"/>
  <c r="S28" i="21" s="1"/>
  <c r="BM21" i="20"/>
  <c r="Y25" i="21"/>
  <c r="AL25" i="21" s="1"/>
  <c r="H27" i="3"/>
  <c r="I18" i="21"/>
  <c r="AD18" i="21" s="1"/>
  <c r="AI16" i="20"/>
  <c r="BM16" i="20"/>
  <c r="BM20" i="20"/>
  <c r="I22" i="21"/>
  <c r="AD22" i="21" s="1"/>
  <c r="Q16" i="21"/>
  <c r="AH16" i="21" s="1"/>
  <c r="I21" i="21"/>
  <c r="AD21" i="21" s="1"/>
  <c r="BM19" i="20"/>
  <c r="Y15" i="21"/>
  <c r="AL15" i="21" s="1"/>
  <c r="AJ15" i="21"/>
  <c r="W20" i="21"/>
  <c r="BM18" i="20"/>
  <c r="Y14" i="21"/>
  <c r="BJ26" i="20"/>
  <c r="U23" i="21"/>
  <c r="AJ23" i="21" s="1"/>
  <c r="O19" i="21"/>
  <c r="BE26" i="20"/>
  <c r="BM17" i="20"/>
  <c r="Y16" i="21"/>
  <c r="AL16" i="21" s="1"/>
  <c r="Q14" i="21"/>
  <c r="BF26" i="20"/>
  <c r="I16" i="21"/>
  <c r="AD16" i="21" s="1"/>
  <c r="BM14" i="20"/>
  <c r="AM9" i="13"/>
  <c r="AC24" i="13"/>
  <c r="I24" i="21"/>
  <c r="AD24" i="21" s="1"/>
  <c r="BM22" i="20"/>
  <c r="BI26" i="20"/>
  <c r="J66" i="18"/>
  <c r="O24" i="21"/>
  <c r="D43" i="18" l="1"/>
  <c r="D44" i="18" s="1"/>
  <c r="M28" i="17"/>
  <c r="I58" i="18"/>
  <c r="P58" i="18" s="1"/>
  <c r="P57" i="18"/>
  <c r="P56" i="18"/>
  <c r="P55" i="18"/>
  <c r="P60" i="18"/>
  <c r="J52" i="18"/>
  <c r="P52" i="18" s="1"/>
  <c r="P51" i="18"/>
  <c r="P74" i="18" s="1"/>
  <c r="P59" i="18"/>
  <c r="AB111" i="24"/>
  <c r="AB77" i="24"/>
  <c r="AB61" i="24"/>
  <c r="AB60" i="24"/>
  <c r="AB63" i="24" s="1"/>
  <c r="T111" i="24"/>
  <c r="T77" i="24"/>
  <c r="T60" i="24"/>
  <c r="T63" i="24" s="1"/>
  <c r="T61" i="24"/>
  <c r="P77" i="24"/>
  <c r="P60" i="24"/>
  <c r="P63" i="24" s="1"/>
  <c r="P111" i="24"/>
  <c r="P61" i="24"/>
  <c r="L111" i="24"/>
  <c r="L63" i="24"/>
  <c r="H61" i="24"/>
  <c r="H60" i="24"/>
  <c r="H63" i="24" s="1"/>
  <c r="H111" i="24"/>
  <c r="H77" i="24"/>
  <c r="F77" i="24"/>
  <c r="F61" i="24"/>
  <c r="F60" i="24"/>
  <c r="F111" i="24"/>
  <c r="K35" i="18"/>
  <c r="K39" i="18" s="1"/>
  <c r="BG13" i="13"/>
  <c r="BK13" i="13"/>
  <c r="BI13" i="13"/>
  <c r="BJ13" i="13"/>
  <c r="BL13" i="13"/>
  <c r="BP13" i="13"/>
  <c r="BO13" i="13"/>
  <c r="BH13" i="13"/>
  <c r="W28" i="21"/>
  <c r="O28" i="21"/>
  <c r="Z77" i="24"/>
  <c r="Z61" i="24"/>
  <c r="Z60" i="24"/>
  <c r="Z63" i="24" s="1"/>
  <c r="Z111" i="24"/>
  <c r="X60" i="24"/>
  <c r="X77" i="24"/>
  <c r="X61" i="24"/>
  <c r="X111" i="24"/>
  <c r="V28" i="24"/>
  <c r="V29" i="24" s="1"/>
  <c r="V31" i="24" s="1"/>
  <c r="R111" i="24"/>
  <c r="R77" i="24"/>
  <c r="R61" i="24"/>
  <c r="R60" i="24"/>
  <c r="R63" i="24" s="1"/>
  <c r="N111" i="24"/>
  <c r="N61" i="24"/>
  <c r="N60" i="24"/>
  <c r="N63" i="24" s="1"/>
  <c r="N77" i="24"/>
  <c r="J28" i="24"/>
  <c r="J29" i="24" s="1"/>
  <c r="J31" i="24" s="1"/>
  <c r="AZ17" i="21"/>
  <c r="AE17" i="21"/>
  <c r="BA17" i="21" s="1"/>
  <c r="D28" i="24"/>
  <c r="D29" i="24" s="1"/>
  <c r="D31" i="24" s="1"/>
  <c r="R29" i="6"/>
  <c r="AN9" i="13"/>
  <c r="AN24" i="13" s="1"/>
  <c r="AM24" i="13"/>
  <c r="BZ25" i="21"/>
  <c r="AI25" i="21"/>
  <c r="CA25" i="21" s="1"/>
  <c r="AK23" i="21"/>
  <c r="CN23" i="21" s="1"/>
  <c r="CM23" i="21"/>
  <c r="AG24" i="21"/>
  <c r="BN24" i="21" s="1"/>
  <c r="BM24" i="21"/>
  <c r="BM26" i="20"/>
  <c r="AM15" i="21"/>
  <c r="DA15" i="21" s="1"/>
  <c r="CZ15" i="21"/>
  <c r="AK15" i="21"/>
  <c r="CN15" i="21" s="1"/>
  <c r="CM15" i="21"/>
  <c r="CZ25" i="21"/>
  <c r="AM25" i="21"/>
  <c r="DA25" i="21" s="1"/>
  <c r="AZ21" i="21"/>
  <c r="AE21" i="21"/>
  <c r="BA21" i="21" s="1"/>
  <c r="AE18" i="21"/>
  <c r="BA18" i="21" s="1"/>
  <c r="AZ18" i="21"/>
  <c r="AZ16" i="21"/>
  <c r="AE16" i="21"/>
  <c r="BA16" i="21" s="1"/>
  <c r="Y28" i="21"/>
  <c r="AL14" i="21"/>
  <c r="AE22" i="21"/>
  <c r="BA22" i="21" s="1"/>
  <c r="AZ22" i="21"/>
  <c r="AI24" i="21"/>
  <c r="CA24" i="21" s="1"/>
  <c r="BZ24" i="21"/>
  <c r="I28" i="21"/>
  <c r="AD14" i="21"/>
  <c r="CZ16" i="21"/>
  <c r="AM16" i="21"/>
  <c r="DA16" i="21" s="1"/>
  <c r="BM15" i="21"/>
  <c r="AG15" i="21"/>
  <c r="BN15" i="21" s="1"/>
  <c r="U28" i="21"/>
  <c r="AI16" i="21"/>
  <c r="CA16" i="21" s="1"/>
  <c r="BZ16" i="21"/>
  <c r="AZ24" i="21"/>
  <c r="AE24" i="21"/>
  <c r="BA24" i="21" s="1"/>
  <c r="AH14" i="21"/>
  <c r="Q28" i="21"/>
  <c r="G27" i="3"/>
  <c r="M28" i="21"/>
  <c r="CZ20" i="21"/>
  <c r="AM20" i="21"/>
  <c r="DA20" i="21" s="1"/>
  <c r="F63" i="24" l="1"/>
  <c r="K41" i="18"/>
  <c r="K44" i="18" s="1"/>
  <c r="AB67" i="24"/>
  <c r="AB70" i="24"/>
  <c r="AB79" i="24"/>
  <c r="T67" i="24"/>
  <c r="T70" i="24"/>
  <c r="T79" i="24"/>
  <c r="P67" i="24"/>
  <c r="P79" i="24"/>
  <c r="P70" i="24"/>
  <c r="L70" i="24"/>
  <c r="L79" i="24"/>
  <c r="L67" i="24"/>
  <c r="H67" i="24"/>
  <c r="H70" i="24"/>
  <c r="H79" i="24"/>
  <c r="F70" i="24"/>
  <c r="F79" i="24"/>
  <c r="F67" i="24"/>
  <c r="BR13" i="13"/>
  <c r="BT13" i="13" s="1"/>
  <c r="Z67" i="24"/>
  <c r="Z70" i="24"/>
  <c r="Z79" i="24"/>
  <c r="X122" i="24"/>
  <c r="X63" i="24"/>
  <c r="V61" i="24"/>
  <c r="V60" i="24"/>
  <c r="V63" i="24" s="1"/>
  <c r="V77" i="24"/>
  <c r="V111" i="24"/>
  <c r="R67" i="24"/>
  <c r="R70" i="24"/>
  <c r="R79" i="24"/>
  <c r="N70" i="24"/>
  <c r="N67" i="24"/>
  <c r="N68" i="24" s="1"/>
  <c r="N79" i="24"/>
  <c r="J111" i="24"/>
  <c r="J77" i="24"/>
  <c r="J61" i="24"/>
  <c r="J60" i="24"/>
  <c r="J63" i="24" s="1"/>
  <c r="D111" i="24"/>
  <c r="D77" i="24"/>
  <c r="D61" i="24"/>
  <c r="D60" i="24"/>
  <c r="CZ14" i="21"/>
  <c r="AM14" i="21"/>
  <c r="DA14" i="21" s="1"/>
  <c r="AZ14" i="21"/>
  <c r="AE14" i="21"/>
  <c r="BA14" i="21" s="1"/>
  <c r="BZ14" i="21"/>
  <c r="AI14" i="21"/>
  <c r="CA14" i="21" s="1"/>
  <c r="D63" i="24" l="1"/>
  <c r="D70" i="24" s="1"/>
  <c r="AB71" i="24"/>
  <c r="AB72" i="24" s="1"/>
  <c r="AB85" i="24" s="1"/>
  <c r="AB109" i="24" s="1"/>
  <c r="AB68" i="24"/>
  <c r="T71" i="24"/>
  <c r="T72" i="24" s="1"/>
  <c r="T85" i="24" s="1"/>
  <c r="T109" i="24" s="1"/>
  <c r="T68" i="24"/>
  <c r="P71" i="24"/>
  <c r="P72" i="24" s="1"/>
  <c r="P85" i="24" s="1"/>
  <c r="P109" i="24" s="1"/>
  <c r="P68" i="24"/>
  <c r="L68" i="24"/>
  <c r="L71" i="24"/>
  <c r="L72" i="24" s="1"/>
  <c r="L109" i="24" s="1"/>
  <c r="H71" i="24"/>
  <c r="H72" i="24" s="1"/>
  <c r="H85" i="24" s="1"/>
  <c r="H109" i="24" s="1"/>
  <c r="H68" i="24"/>
  <c r="F71" i="24"/>
  <c r="F72" i="24" s="1"/>
  <c r="F85" i="24" s="1"/>
  <c r="F109" i="24" s="1"/>
  <c r="F68" i="24"/>
  <c r="Z68" i="24"/>
  <c r="Z71" i="24"/>
  <c r="Z72" i="24" s="1"/>
  <c r="Z85" i="24" s="1"/>
  <c r="Z109" i="24" s="1"/>
  <c r="X79" i="24"/>
  <c r="X67" i="24"/>
  <c r="X70" i="24"/>
  <c r="X123" i="24"/>
  <c r="X124" i="24" s="1"/>
  <c r="X125" i="24" s="1"/>
  <c r="V67" i="24"/>
  <c r="V70" i="24"/>
  <c r="V79" i="24"/>
  <c r="R71" i="24"/>
  <c r="R72" i="24" s="1"/>
  <c r="R85" i="24" s="1"/>
  <c r="R109" i="24" s="1"/>
  <c r="R68" i="24"/>
  <c r="N84" i="24"/>
  <c r="N71" i="24"/>
  <c r="N72" i="24" s="1"/>
  <c r="N85" i="24" s="1"/>
  <c r="N109" i="24" s="1"/>
  <c r="J67" i="24"/>
  <c r="J79" i="24"/>
  <c r="J70" i="24"/>
  <c r="D67" i="24" l="1"/>
  <c r="D79" i="24"/>
  <c r="AB74" i="24"/>
  <c r="AB78" i="24" s="1"/>
  <c r="AB81" i="24" s="1"/>
  <c r="AB84" i="24"/>
  <c r="AB86" i="24" s="1"/>
  <c r="T74" i="24"/>
  <c r="T78" i="24" s="1"/>
  <c r="T81" i="24" s="1"/>
  <c r="T84" i="24"/>
  <c r="T86" i="24" s="1"/>
  <c r="P84" i="24"/>
  <c r="P86" i="24" s="1"/>
  <c r="P74" i="24"/>
  <c r="P78" i="24" s="1"/>
  <c r="P81" i="24" s="1"/>
  <c r="L86" i="24"/>
  <c r="L74" i="24"/>
  <c r="H74" i="24"/>
  <c r="H78" i="24" s="1"/>
  <c r="H81" i="24" s="1"/>
  <c r="H84" i="24"/>
  <c r="H86" i="24" s="1"/>
  <c r="F84" i="24"/>
  <c r="F86" i="24" s="1"/>
  <c r="F74" i="24"/>
  <c r="F78" i="24" s="1"/>
  <c r="F81" i="24" s="1"/>
  <c r="Z74" i="24"/>
  <c r="Z78" i="24" s="1"/>
  <c r="Z81" i="24" s="1"/>
  <c r="Z84" i="24"/>
  <c r="Z86" i="24" s="1"/>
  <c r="X71" i="24"/>
  <c r="X72" i="24" s="1"/>
  <c r="X85" i="24" s="1"/>
  <c r="X109" i="24" s="1"/>
  <c r="X68" i="24"/>
  <c r="V71" i="24"/>
  <c r="V72" i="24" s="1"/>
  <c r="V85" i="24" s="1"/>
  <c r="V109" i="24" s="1"/>
  <c r="V68" i="24"/>
  <c r="R84" i="24"/>
  <c r="R86" i="24" s="1"/>
  <c r="R74" i="24"/>
  <c r="R78" i="24" s="1"/>
  <c r="R81" i="24" s="1"/>
  <c r="N74" i="24"/>
  <c r="N78" i="24" s="1"/>
  <c r="N81" i="24" s="1"/>
  <c r="N86" i="24"/>
  <c r="J71" i="24"/>
  <c r="J72" i="24" s="1"/>
  <c r="J85" i="24" s="1"/>
  <c r="J109" i="24" s="1"/>
  <c r="J68" i="24"/>
  <c r="D68" i="24"/>
  <c r="D71" i="24"/>
  <c r="D72" i="24" s="1"/>
  <c r="AE70" i="24"/>
  <c r="AB92" i="24" l="1"/>
  <c r="AB95" i="24"/>
  <c r="AB106" i="24"/>
  <c r="AB93" i="24"/>
  <c r="AB96" i="24"/>
  <c r="AB99" i="24"/>
  <c r="AB90" i="24"/>
  <c r="AB94" i="24"/>
  <c r="AB98" i="24"/>
  <c r="AB97" i="24"/>
  <c r="AB91" i="24"/>
  <c r="Z106" i="24"/>
  <c r="Z92" i="24"/>
  <c r="Z94" i="24"/>
  <c r="Z98" i="24"/>
  <c r="Z93" i="24"/>
  <c r="Z97" i="24"/>
  <c r="Z95" i="24"/>
  <c r="Z91" i="24"/>
  <c r="Z96" i="24"/>
  <c r="Z90" i="24"/>
  <c r="Z99" i="24"/>
  <c r="T94" i="24"/>
  <c r="T96" i="24"/>
  <c r="T93" i="24"/>
  <c r="T95" i="24"/>
  <c r="T91" i="24"/>
  <c r="T106" i="24"/>
  <c r="T99" i="24"/>
  <c r="T90" i="24"/>
  <c r="T97" i="24"/>
  <c r="T92" i="24"/>
  <c r="T98" i="24"/>
  <c r="P91" i="24"/>
  <c r="P96" i="24"/>
  <c r="P99" i="24"/>
  <c r="P94" i="24"/>
  <c r="P98" i="24"/>
  <c r="P95" i="24"/>
  <c r="P90" i="24"/>
  <c r="P106" i="24"/>
  <c r="P97" i="24"/>
  <c r="P92" i="24"/>
  <c r="P93" i="24"/>
  <c r="L106" i="24"/>
  <c r="L91" i="24"/>
  <c r="L99" i="24"/>
  <c r="L90" i="24"/>
  <c r="L92" i="24"/>
  <c r="L93" i="24"/>
  <c r="L94" i="24"/>
  <c r="L100" i="24"/>
  <c r="L98" i="24"/>
  <c r="L97" i="24"/>
  <c r="L96" i="24"/>
  <c r="L95" i="24"/>
  <c r="H93" i="24"/>
  <c r="H92" i="24"/>
  <c r="H96" i="24"/>
  <c r="H99" i="24"/>
  <c r="H91" i="24"/>
  <c r="H90" i="24"/>
  <c r="H106" i="24"/>
  <c r="H98" i="24"/>
  <c r="H94" i="24"/>
  <c r="H97" i="24"/>
  <c r="H95" i="24"/>
  <c r="F91" i="24"/>
  <c r="F99" i="24"/>
  <c r="F90" i="24"/>
  <c r="F95" i="24"/>
  <c r="F106" i="24"/>
  <c r="F97" i="24"/>
  <c r="F98" i="24"/>
  <c r="F93" i="24"/>
  <c r="F96" i="24"/>
  <c r="F92" i="24"/>
  <c r="F94" i="24"/>
  <c r="X74" i="24"/>
  <c r="X78" i="24" s="1"/>
  <c r="X81" i="24" s="1"/>
  <c r="X84" i="24"/>
  <c r="X86" i="24" s="1"/>
  <c r="V84" i="24"/>
  <c r="V86" i="24" s="1"/>
  <c r="V74" i="24"/>
  <c r="V78" i="24" s="1"/>
  <c r="V81" i="24" s="1"/>
  <c r="R97" i="24"/>
  <c r="R99" i="24"/>
  <c r="R91" i="24"/>
  <c r="R96" i="24"/>
  <c r="R106" i="24"/>
  <c r="R95" i="24"/>
  <c r="R94" i="24"/>
  <c r="R90" i="24"/>
  <c r="R98" i="24"/>
  <c r="R93" i="24"/>
  <c r="R92" i="24"/>
  <c r="N93" i="24"/>
  <c r="N90" i="24"/>
  <c r="N96" i="24"/>
  <c r="N106" i="24"/>
  <c r="N92" i="24"/>
  <c r="N95" i="24"/>
  <c r="N98" i="24"/>
  <c r="N99" i="24"/>
  <c r="N94" i="24"/>
  <c r="N91" i="24"/>
  <c r="N97" i="24"/>
  <c r="AE71" i="24"/>
  <c r="J74" i="24"/>
  <c r="J78" i="24" s="1"/>
  <c r="J81" i="24" s="1"/>
  <c r="J84" i="24"/>
  <c r="J86" i="24" s="1"/>
  <c r="D85" i="24"/>
  <c r="AE72" i="24"/>
  <c r="D84" i="24"/>
  <c r="D74" i="24"/>
  <c r="AE68" i="24"/>
  <c r="D86" i="24" l="1"/>
  <c r="AE86" i="24" s="1"/>
  <c r="AE84" i="24"/>
  <c r="D109" i="24"/>
  <c r="AE85" i="24"/>
  <c r="AB101" i="24"/>
  <c r="AB115" i="24" s="1"/>
  <c r="AB116" i="24" s="1"/>
  <c r="H101" i="24"/>
  <c r="H110" i="24" s="1"/>
  <c r="Z101" i="24"/>
  <c r="T101" i="24"/>
  <c r="P101" i="24"/>
  <c r="L101" i="24"/>
  <c r="J93" i="24"/>
  <c r="J106" i="24"/>
  <c r="J92" i="24"/>
  <c r="J91" i="24"/>
  <c r="J97" i="24"/>
  <c r="J99" i="24"/>
  <c r="J90" i="24"/>
  <c r="J94" i="24"/>
  <c r="J96" i="24"/>
  <c r="J98" i="24"/>
  <c r="J95" i="24"/>
  <c r="F101" i="24"/>
  <c r="X106" i="24"/>
  <c r="X99" i="24"/>
  <c r="X92" i="24"/>
  <c r="X93" i="24"/>
  <c r="X95" i="24"/>
  <c r="X96" i="24"/>
  <c r="X91" i="24"/>
  <c r="X90" i="24"/>
  <c r="X98" i="24"/>
  <c r="X94" i="24"/>
  <c r="X97" i="24"/>
  <c r="V92" i="24"/>
  <c r="V96" i="24"/>
  <c r="V90" i="24"/>
  <c r="V94" i="24"/>
  <c r="V98" i="24"/>
  <c r="V97" i="24"/>
  <c r="V106" i="24"/>
  <c r="V91" i="24"/>
  <c r="V95" i="24"/>
  <c r="V99" i="24"/>
  <c r="V93" i="24"/>
  <c r="R101" i="24"/>
  <c r="N101" i="24"/>
  <c r="AE74" i="24"/>
  <c r="D78" i="24"/>
  <c r="D81" i="24" s="1"/>
  <c r="AB103" i="24" l="1"/>
  <c r="AB110" i="24"/>
  <c r="H103" i="24"/>
  <c r="H115" i="24"/>
  <c r="H116" i="24" s="1"/>
  <c r="J101" i="24"/>
  <c r="J103" i="24" s="1"/>
  <c r="Z115" i="24"/>
  <c r="Z116" i="24" s="1"/>
  <c r="Z110" i="24"/>
  <c r="Z103" i="24"/>
  <c r="T110" i="24"/>
  <c r="T115" i="24"/>
  <c r="T116" i="24" s="1"/>
  <c r="T103" i="24"/>
  <c r="P115" i="24"/>
  <c r="P116" i="24" s="1"/>
  <c r="P110" i="24"/>
  <c r="P103" i="24"/>
  <c r="L115" i="24"/>
  <c r="L116" i="24" s="1"/>
  <c r="L103" i="24"/>
  <c r="F110" i="24"/>
  <c r="F115" i="24"/>
  <c r="F116" i="24" s="1"/>
  <c r="F103" i="24"/>
  <c r="X101" i="24"/>
  <c r="V101" i="24"/>
  <c r="R115" i="24"/>
  <c r="R116" i="24" s="1"/>
  <c r="R110" i="24"/>
  <c r="R103" i="24"/>
  <c r="N110" i="24"/>
  <c r="N115" i="24"/>
  <c r="N116" i="24" s="1"/>
  <c r="D90" i="24"/>
  <c r="AE90" i="24" s="1"/>
  <c r="D95" i="24"/>
  <c r="AE95" i="24" s="1"/>
  <c r="D91" i="24"/>
  <c r="AE91" i="24" s="1"/>
  <c r="D99" i="24"/>
  <c r="AE99" i="24" s="1"/>
  <c r="D98" i="24"/>
  <c r="AE98" i="24" s="1"/>
  <c r="D93" i="24"/>
  <c r="AE93" i="24" s="1"/>
  <c r="D96" i="24"/>
  <c r="AE96" i="24" s="1"/>
  <c r="D94" i="24"/>
  <c r="AE94" i="24" s="1"/>
  <c r="D92" i="24"/>
  <c r="AE92" i="24" s="1"/>
  <c r="D106" i="24"/>
  <c r="D97" i="24"/>
  <c r="AE97" i="24" s="1"/>
  <c r="J115" i="24" l="1"/>
  <c r="J116" i="24" s="1"/>
  <c r="J110" i="24"/>
  <c r="X115" i="24"/>
  <c r="X110" i="24"/>
  <c r="X103" i="24"/>
  <c r="V110" i="24"/>
  <c r="V115" i="24"/>
  <c r="V116" i="24" s="1"/>
  <c r="V103" i="24"/>
  <c r="D101" i="24"/>
  <c r="X126" i="24" l="1"/>
  <c r="X116" i="24"/>
  <c r="D115" i="24"/>
  <c r="D116" i="24" s="1"/>
  <c r="D110" i="24"/>
  <c r="AE101" i="24"/>
  <c r="D103" i="24"/>
  <c r="AY15" i="20" l="1"/>
  <c r="BF12" i="13"/>
  <c r="G17" i="21" l="1"/>
  <c r="BG12" i="13"/>
  <c r="BM12" i="13"/>
  <c r="BI12" i="13"/>
  <c r="BN12" i="13"/>
  <c r="BP12" i="13"/>
  <c r="BH12" i="13"/>
  <c r="BO12" i="13"/>
  <c r="BJ12" i="13"/>
  <c r="BL12" i="13"/>
  <c r="BK12" i="13"/>
  <c r="AK15" i="20"/>
  <c r="AN15" i="20"/>
  <c r="AM15" i="20"/>
  <c r="AJ15" i="20"/>
  <c r="AP15" i="20"/>
  <c r="AR15" i="20"/>
  <c r="AO15" i="20"/>
  <c r="AS15" i="20"/>
  <c r="AQ15" i="20"/>
  <c r="AL15" i="20"/>
  <c r="AI15" i="20"/>
  <c r="BR12" i="13" l="1"/>
  <c r="BT12" i="13" s="1"/>
  <c r="BH17" i="21"/>
  <c r="BI17" i="21" s="1"/>
  <c r="BJ17" i="21" s="1"/>
  <c r="BK17" i="21" s="1"/>
  <c r="BL17" i="21" s="1"/>
  <c r="AU17" i="21"/>
  <c r="AV17" i="21" s="1"/>
  <c r="AW17" i="21" s="1"/>
  <c r="AX17" i="21" s="1"/>
  <c r="AY17" i="21" s="1"/>
  <c r="BU17" i="21"/>
  <c r="BV17" i="21" s="1"/>
  <c r="BW17" i="21" s="1"/>
  <c r="BX17" i="21" s="1"/>
  <c r="BY17" i="21" s="1"/>
  <c r="CH17" i="21"/>
  <c r="CI17" i="21" s="1"/>
  <c r="CJ17" i="21" s="1"/>
  <c r="CK17" i="21" s="1"/>
  <c r="CL17" i="21" s="1"/>
  <c r="CU17" i="21"/>
  <c r="CV17" i="21" s="1"/>
  <c r="CW17" i="21" s="1"/>
  <c r="CX17" i="21" s="1"/>
  <c r="CY17" i="21" s="1"/>
  <c r="AY13" i="20" l="1"/>
  <c r="BF10" i="13"/>
  <c r="AY20" i="20" l="1"/>
  <c r="BF17" i="13"/>
  <c r="G15" i="21"/>
  <c r="BM10" i="13"/>
  <c r="BN10" i="13"/>
  <c r="BK10" i="13"/>
  <c r="BJ10" i="13"/>
  <c r="BP10" i="13"/>
  <c r="BH10" i="13"/>
  <c r="BG10" i="13"/>
  <c r="BL10" i="13"/>
  <c r="BI10" i="13"/>
  <c r="BO10" i="13"/>
  <c r="AY18" i="20"/>
  <c r="BF15" i="13"/>
  <c r="AR13" i="20"/>
  <c r="AM13" i="20"/>
  <c r="AN13" i="20"/>
  <c r="AI13" i="20"/>
  <c r="AK13" i="20"/>
  <c r="AP13" i="20"/>
  <c r="AS13" i="20"/>
  <c r="AJ13" i="20"/>
  <c r="AL13" i="20"/>
  <c r="AO13" i="20"/>
  <c r="AQ13" i="20"/>
  <c r="AO18" i="20" l="1"/>
  <c r="AS18" i="20"/>
  <c r="AL18" i="20"/>
  <c r="AK18" i="20"/>
  <c r="AI18" i="20"/>
  <c r="AJ18" i="20"/>
  <c r="AR18" i="20"/>
  <c r="AN18" i="20"/>
  <c r="AM18" i="20"/>
  <c r="AP18" i="20"/>
  <c r="AQ18" i="20"/>
  <c r="CU15" i="21"/>
  <c r="CV15" i="21" s="1"/>
  <c r="CW15" i="21" s="1"/>
  <c r="CX15" i="21" s="1"/>
  <c r="CY15" i="21" s="1"/>
  <c r="CH15" i="21"/>
  <c r="CI15" i="21" s="1"/>
  <c r="CJ15" i="21" s="1"/>
  <c r="CK15" i="21" s="1"/>
  <c r="CL15" i="21" s="1"/>
  <c r="BH15" i="21"/>
  <c r="BI15" i="21" s="1"/>
  <c r="BJ15" i="21" s="1"/>
  <c r="BK15" i="21" s="1"/>
  <c r="BL15" i="21" s="1"/>
  <c r="AU15" i="21"/>
  <c r="AV15" i="21" s="1"/>
  <c r="AW15" i="21" s="1"/>
  <c r="AX15" i="21" s="1"/>
  <c r="AY15" i="21" s="1"/>
  <c r="BU15" i="21"/>
  <c r="BV15" i="21" s="1"/>
  <c r="BW15" i="21" s="1"/>
  <c r="BX15" i="21" s="1"/>
  <c r="BY15" i="21" s="1"/>
  <c r="BR10" i="13"/>
  <c r="BT10" i="13" s="1"/>
  <c r="G22" i="21"/>
  <c r="BM17" i="13"/>
  <c r="BN17" i="13"/>
  <c r="BI17" i="13"/>
  <c r="BL17" i="13"/>
  <c r="BP17" i="13"/>
  <c r="BH17" i="13"/>
  <c r="BG17" i="13"/>
  <c r="BO17" i="13"/>
  <c r="BJ17" i="13"/>
  <c r="BK17" i="13"/>
  <c r="G20" i="21"/>
  <c r="BM15" i="13"/>
  <c r="BN15" i="13"/>
  <c r="BH15" i="13"/>
  <c r="BK15" i="13"/>
  <c r="BJ15" i="13"/>
  <c r="BP15" i="13"/>
  <c r="BG15" i="13"/>
  <c r="BO15" i="13"/>
  <c r="BL15" i="13"/>
  <c r="BI15" i="13"/>
  <c r="AS20" i="20"/>
  <c r="AP20" i="20"/>
  <c r="AR20" i="20"/>
  <c r="AM20" i="20"/>
  <c r="AK20" i="20"/>
  <c r="AQ20" i="20"/>
  <c r="AN20" i="20"/>
  <c r="AJ20" i="20"/>
  <c r="AO20" i="20"/>
  <c r="AL20" i="20"/>
  <c r="AI20" i="20"/>
  <c r="BU20" i="21" l="1"/>
  <c r="BV20" i="21" s="1"/>
  <c r="BW20" i="21" s="1"/>
  <c r="BX20" i="21" s="1"/>
  <c r="BY20" i="21" s="1"/>
  <c r="BH20" i="21"/>
  <c r="BI20" i="21" s="1"/>
  <c r="BJ20" i="21" s="1"/>
  <c r="BK20" i="21" s="1"/>
  <c r="BL20" i="21" s="1"/>
  <c r="CH20" i="21"/>
  <c r="CI20" i="21" s="1"/>
  <c r="CJ20" i="21" s="1"/>
  <c r="CK20" i="21" s="1"/>
  <c r="CL20" i="21" s="1"/>
  <c r="CU20" i="21"/>
  <c r="CV20" i="21" s="1"/>
  <c r="CW20" i="21" s="1"/>
  <c r="CX20" i="21" s="1"/>
  <c r="CY20" i="21" s="1"/>
  <c r="AU20" i="21"/>
  <c r="AV20" i="21" s="1"/>
  <c r="AW20" i="21" s="1"/>
  <c r="AX20" i="21" s="1"/>
  <c r="AY20" i="21" s="1"/>
  <c r="BR15" i="13"/>
  <c r="BT15" i="13" s="1"/>
  <c r="BH22" i="21"/>
  <c r="BI22" i="21" s="1"/>
  <c r="BJ22" i="21" s="1"/>
  <c r="BK22" i="21" s="1"/>
  <c r="BL22" i="21" s="1"/>
  <c r="BU22" i="21"/>
  <c r="BV22" i="21" s="1"/>
  <c r="BW22" i="21" s="1"/>
  <c r="BX22" i="21" s="1"/>
  <c r="BY22" i="21" s="1"/>
  <c r="CU22" i="21"/>
  <c r="CV22" i="21" s="1"/>
  <c r="CW22" i="21" s="1"/>
  <c r="CX22" i="21" s="1"/>
  <c r="CY22" i="21" s="1"/>
  <c r="AU22" i="21"/>
  <c r="AV22" i="21" s="1"/>
  <c r="AW22" i="21" s="1"/>
  <c r="AX22" i="21" s="1"/>
  <c r="AY22" i="21" s="1"/>
  <c r="CH22" i="21"/>
  <c r="CI22" i="21" s="1"/>
  <c r="CJ22" i="21" s="1"/>
  <c r="CK22" i="21" s="1"/>
  <c r="CL22" i="21" s="1"/>
  <c r="BR17" i="13"/>
  <c r="BT17" i="13" s="1"/>
  <c r="BF9" i="13" l="1"/>
  <c r="AY12" i="20"/>
  <c r="K48" i="18"/>
  <c r="AY24" i="20"/>
  <c r="G41" i="10"/>
  <c r="BF22" i="13"/>
  <c r="BF18" i="13"/>
  <c r="AY21" i="20"/>
  <c r="AY14" i="20"/>
  <c r="BF11" i="13"/>
  <c r="K61" i="18" l="1"/>
  <c r="K54" i="18"/>
  <c r="K59" i="18"/>
  <c r="K60" i="18"/>
  <c r="K66" i="18"/>
  <c r="K57" i="18"/>
  <c r="K53" i="18"/>
  <c r="K65" i="18"/>
  <c r="K52" i="18"/>
  <c r="K51" i="18"/>
  <c r="K56" i="18"/>
  <c r="K55" i="18"/>
  <c r="K58" i="18"/>
  <c r="BF20" i="13"/>
  <c r="AY23" i="20"/>
  <c r="AY22" i="20"/>
  <c r="BF19" i="13"/>
  <c r="AS24" i="20"/>
  <c r="AP24" i="20"/>
  <c r="AR24" i="20"/>
  <c r="AM24" i="20"/>
  <c r="AL24" i="20"/>
  <c r="AO24" i="20"/>
  <c r="AJ24" i="20"/>
  <c r="AN24" i="20"/>
  <c r="AQ24" i="20"/>
  <c r="AK24" i="20"/>
  <c r="AI24" i="20"/>
  <c r="AQ21" i="20"/>
  <c r="AJ21" i="20"/>
  <c r="AS21" i="20"/>
  <c r="AK21" i="20"/>
  <c r="AR21" i="20"/>
  <c r="AP21" i="20"/>
  <c r="AO21" i="20"/>
  <c r="AI21" i="20"/>
  <c r="AN21" i="20"/>
  <c r="AM21" i="20"/>
  <c r="AL21" i="20"/>
  <c r="AL12" i="20"/>
  <c r="AQ12" i="20"/>
  <c r="AR12" i="20"/>
  <c r="AK12" i="20"/>
  <c r="AO12" i="20"/>
  <c r="AJ12" i="20"/>
  <c r="AN12" i="20"/>
  <c r="AP12" i="20"/>
  <c r="AM12" i="20"/>
  <c r="AS12" i="20"/>
  <c r="AI12" i="20"/>
  <c r="AS14" i="20"/>
  <c r="AK14" i="20"/>
  <c r="AR14" i="20"/>
  <c r="AN14" i="20"/>
  <c r="AO14" i="20"/>
  <c r="AP14" i="20"/>
  <c r="AL14" i="20"/>
  <c r="AJ14" i="20"/>
  <c r="AI14" i="20"/>
  <c r="AM14" i="20"/>
  <c r="AQ14" i="20"/>
  <c r="BO18" i="13"/>
  <c r="BG18" i="13"/>
  <c r="BJ18" i="13"/>
  <c r="BN18" i="13"/>
  <c r="BM18" i="13"/>
  <c r="BI18" i="13"/>
  <c r="BL18" i="13"/>
  <c r="G23" i="21"/>
  <c r="BP18" i="13"/>
  <c r="BK18" i="13"/>
  <c r="BH18" i="13"/>
  <c r="G16" i="21"/>
  <c r="BO11" i="13"/>
  <c r="BP11" i="13"/>
  <c r="BK11" i="13"/>
  <c r="BI11" i="13"/>
  <c r="BJ11" i="13"/>
  <c r="BN11" i="13"/>
  <c r="BH11" i="13"/>
  <c r="BG11" i="13"/>
  <c r="BM11" i="13"/>
  <c r="BL11" i="13"/>
  <c r="BF14" i="13"/>
  <c r="AY17" i="20"/>
  <c r="G26" i="21"/>
  <c r="BO22" i="13"/>
  <c r="BG22" i="13"/>
  <c r="BN22" i="13"/>
  <c r="BH22" i="13"/>
  <c r="BI22" i="13"/>
  <c r="BJ22" i="13"/>
  <c r="BK22" i="13"/>
  <c r="BM22" i="13"/>
  <c r="BL22" i="13"/>
  <c r="BP22" i="13"/>
  <c r="AY19" i="20"/>
  <c r="BF16" i="13"/>
  <c r="BL9" i="13"/>
  <c r="BH9" i="13"/>
  <c r="G14" i="21"/>
  <c r="BK9" i="13"/>
  <c r="BG9" i="13"/>
  <c r="BM9" i="13"/>
  <c r="BI9" i="13"/>
  <c r="BO9" i="13"/>
  <c r="BP9" i="13"/>
  <c r="BJ9" i="13"/>
  <c r="BN9" i="13"/>
  <c r="M61" i="18" l="1"/>
  <c r="N61" i="18" s="1"/>
  <c r="R61" i="18"/>
  <c r="S61" i="18" s="1"/>
  <c r="T61" i="18" s="1"/>
  <c r="U61" i="18" s="1"/>
  <c r="G43" i="10"/>
  <c r="G47" i="10" s="1"/>
  <c r="Q30" i="6"/>
  <c r="R30" i="6" s="1"/>
  <c r="R32" i="6" s="1"/>
  <c r="R34" i="6" s="1"/>
  <c r="M60" i="18"/>
  <c r="N60" i="18" s="1"/>
  <c r="R60" i="18"/>
  <c r="S60" i="18" s="1"/>
  <c r="T60" i="18" s="1"/>
  <c r="U60" i="18" s="1"/>
  <c r="M57" i="18"/>
  <c r="N57" i="18" s="1"/>
  <c r="R57" i="18"/>
  <c r="S57" i="18" s="1"/>
  <c r="T57" i="18" s="1"/>
  <c r="U57" i="18" s="1"/>
  <c r="M59" i="18"/>
  <c r="N59" i="18" s="1"/>
  <c r="R59" i="18"/>
  <c r="S59" i="18" s="1"/>
  <c r="T59" i="18" s="1"/>
  <c r="U59" i="18" s="1"/>
  <c r="M56" i="18"/>
  <c r="N56" i="18" s="1"/>
  <c r="R56" i="18"/>
  <c r="S56" i="18" s="1"/>
  <c r="T56" i="18" s="1"/>
  <c r="U56" i="18" s="1"/>
  <c r="R51" i="18"/>
  <c r="S51" i="18" s="1"/>
  <c r="T51" i="18" s="1"/>
  <c r="U51" i="18" s="1"/>
  <c r="M51" i="18"/>
  <c r="N51" i="18" s="1"/>
  <c r="R54" i="18"/>
  <c r="S54" i="18" s="1"/>
  <c r="T54" i="18" s="1"/>
  <c r="U54" i="18" s="1"/>
  <c r="M54" i="18"/>
  <c r="N54" i="18" s="1"/>
  <c r="R58" i="18"/>
  <c r="S58" i="18" s="1"/>
  <c r="T58" i="18" s="1"/>
  <c r="U58" i="18" s="1"/>
  <c r="M58" i="18"/>
  <c r="N58" i="18" s="1"/>
  <c r="M52" i="18"/>
  <c r="N52" i="18" s="1"/>
  <c r="R52" i="18"/>
  <c r="S52" i="18" s="1"/>
  <c r="T52" i="18" s="1"/>
  <c r="U52" i="18" s="1"/>
  <c r="R65" i="18"/>
  <c r="S65" i="18" s="1"/>
  <c r="M65" i="18"/>
  <c r="N65" i="18" s="1"/>
  <c r="M66" i="18"/>
  <c r="N66" i="18" s="1"/>
  <c r="R66" i="18"/>
  <c r="S66" i="18" s="1"/>
  <c r="R55" i="18"/>
  <c r="S55" i="18" s="1"/>
  <c r="T55" i="18" s="1"/>
  <c r="U55" i="18" s="1"/>
  <c r="M55" i="18"/>
  <c r="N55" i="18" s="1"/>
  <c r="BR18" i="13"/>
  <c r="BT18" i="13" s="1"/>
  <c r="M53" i="18"/>
  <c r="N53" i="18" s="1"/>
  <c r="R53" i="18"/>
  <c r="S53" i="18" s="1"/>
  <c r="T53" i="18" s="1"/>
  <c r="U53" i="18" s="1"/>
  <c r="AU14" i="21"/>
  <c r="AV14" i="21" s="1"/>
  <c r="AW14" i="21" s="1"/>
  <c r="AX14" i="21" s="1"/>
  <c r="AY14" i="21" s="1"/>
  <c r="CU14" i="21"/>
  <c r="CV14" i="21" s="1"/>
  <c r="CW14" i="21" s="1"/>
  <c r="CX14" i="21" s="1"/>
  <c r="CY14" i="21" s="1"/>
  <c r="BH14" i="21"/>
  <c r="BI14" i="21" s="1"/>
  <c r="BJ14" i="21" s="1"/>
  <c r="BK14" i="21" s="1"/>
  <c r="BL14" i="21" s="1"/>
  <c r="BU14" i="21"/>
  <c r="BV14" i="21" s="1"/>
  <c r="BW14" i="21" s="1"/>
  <c r="BX14" i="21" s="1"/>
  <c r="BY14" i="21" s="1"/>
  <c r="CH14" i="21"/>
  <c r="CI14" i="21" s="1"/>
  <c r="CJ14" i="21" s="1"/>
  <c r="CK14" i="21" s="1"/>
  <c r="CL14" i="21" s="1"/>
  <c r="BR11" i="13"/>
  <c r="BT11" i="13" s="1"/>
  <c r="CH16" i="21"/>
  <c r="CI16" i="21" s="1"/>
  <c r="CJ16" i="21" s="1"/>
  <c r="CK16" i="21" s="1"/>
  <c r="CL16" i="21" s="1"/>
  <c r="BU16" i="21"/>
  <c r="BV16" i="21" s="1"/>
  <c r="BW16" i="21" s="1"/>
  <c r="BX16" i="21" s="1"/>
  <c r="BY16" i="21" s="1"/>
  <c r="BH16" i="21"/>
  <c r="BI16" i="21" s="1"/>
  <c r="BJ16" i="21" s="1"/>
  <c r="BK16" i="21" s="1"/>
  <c r="BL16" i="21" s="1"/>
  <c r="CU16" i="21"/>
  <c r="CV16" i="21" s="1"/>
  <c r="CW16" i="21" s="1"/>
  <c r="CX16" i="21" s="1"/>
  <c r="CY16" i="21" s="1"/>
  <c r="AU16" i="21"/>
  <c r="AV16" i="21" s="1"/>
  <c r="AW16" i="21" s="1"/>
  <c r="AX16" i="21" s="1"/>
  <c r="AY16" i="21" s="1"/>
  <c r="BL19" i="13"/>
  <c r="BI19" i="13"/>
  <c r="BM19" i="13"/>
  <c r="BN19" i="13"/>
  <c r="BJ19" i="13"/>
  <c r="G24" i="21"/>
  <c r="BO19" i="13"/>
  <c r="BK19" i="13"/>
  <c r="BH19" i="13"/>
  <c r="BP19" i="13"/>
  <c r="BG19" i="13"/>
  <c r="BH26" i="21"/>
  <c r="BI26" i="21" s="1"/>
  <c r="BJ26" i="21" s="1"/>
  <c r="BK26" i="21" s="1"/>
  <c r="BL26" i="21" s="1"/>
  <c r="CH26" i="21"/>
  <c r="CI26" i="21" s="1"/>
  <c r="CJ26" i="21" s="1"/>
  <c r="CK26" i="21" s="1"/>
  <c r="CL26" i="21" s="1"/>
  <c r="CU26" i="21"/>
  <c r="CV26" i="21" s="1"/>
  <c r="CW26" i="21" s="1"/>
  <c r="CX26" i="21" s="1"/>
  <c r="CY26" i="21" s="1"/>
  <c r="BU26" i="21"/>
  <c r="BV26" i="21" s="1"/>
  <c r="BW26" i="21" s="1"/>
  <c r="BX26" i="21" s="1"/>
  <c r="BY26" i="21" s="1"/>
  <c r="AU26" i="21"/>
  <c r="AV26" i="21" s="1"/>
  <c r="AW26" i="21" s="1"/>
  <c r="AX26" i="21" s="1"/>
  <c r="AY26" i="21" s="1"/>
  <c r="BM16" i="13"/>
  <c r="BG16" i="13"/>
  <c r="BN16" i="13"/>
  <c r="BO16" i="13"/>
  <c r="BP16" i="13"/>
  <c r="G21" i="21"/>
  <c r="BI16" i="13"/>
  <c r="BH16" i="13"/>
  <c r="BL16" i="13"/>
  <c r="BK16" i="13"/>
  <c r="BJ16" i="13"/>
  <c r="AK17" i="20"/>
  <c r="AO17" i="20"/>
  <c r="AR17" i="20"/>
  <c r="AI17" i="20"/>
  <c r="AS17" i="20"/>
  <c r="AN17" i="20"/>
  <c r="AQ17" i="20"/>
  <c r="AP17" i="20"/>
  <c r="AL17" i="20"/>
  <c r="AM17" i="20"/>
  <c r="AJ17" i="20"/>
  <c r="AP22" i="20"/>
  <c r="AI22" i="20"/>
  <c r="AN22" i="20"/>
  <c r="AJ22" i="20"/>
  <c r="AQ22" i="20"/>
  <c r="AS22" i="20"/>
  <c r="AL22" i="20"/>
  <c r="AO22" i="20"/>
  <c r="AM22" i="20"/>
  <c r="AR22" i="20"/>
  <c r="AK22" i="20"/>
  <c r="BH23" i="21"/>
  <c r="BI23" i="21" s="1"/>
  <c r="BJ23" i="21" s="1"/>
  <c r="BK23" i="21" s="1"/>
  <c r="BL23" i="21" s="1"/>
  <c r="CH23" i="21"/>
  <c r="CI23" i="21" s="1"/>
  <c r="CJ23" i="21" s="1"/>
  <c r="CK23" i="21" s="1"/>
  <c r="CL23" i="21" s="1"/>
  <c r="CU23" i="21"/>
  <c r="CV23" i="21" s="1"/>
  <c r="CW23" i="21" s="1"/>
  <c r="CX23" i="21" s="1"/>
  <c r="CY23" i="21" s="1"/>
  <c r="AU23" i="21"/>
  <c r="AV23" i="21" s="1"/>
  <c r="AW23" i="21" s="1"/>
  <c r="AX23" i="21" s="1"/>
  <c r="AY23" i="21" s="1"/>
  <c r="BU23" i="21"/>
  <c r="BV23" i="21" s="1"/>
  <c r="BW23" i="21" s="1"/>
  <c r="BX23" i="21" s="1"/>
  <c r="BY23" i="21" s="1"/>
  <c r="AR23" i="20"/>
  <c r="AO23" i="20"/>
  <c r="AP23" i="20"/>
  <c r="AL23" i="20"/>
  <c r="AJ23" i="20"/>
  <c r="AI23" i="20"/>
  <c r="AN23" i="20"/>
  <c r="AQ23" i="20"/>
  <c r="AS23" i="20"/>
  <c r="AM23" i="20"/>
  <c r="AK23" i="20"/>
  <c r="AO19" i="20"/>
  <c r="AJ19" i="20"/>
  <c r="AM19" i="20"/>
  <c r="AP19" i="20"/>
  <c r="AL19" i="20"/>
  <c r="AQ19" i="20"/>
  <c r="AK19" i="20"/>
  <c r="AS19" i="20"/>
  <c r="AI19" i="20"/>
  <c r="AN19" i="20"/>
  <c r="AR19" i="20"/>
  <c r="G19" i="21"/>
  <c r="BI14" i="13"/>
  <c r="BM14" i="13"/>
  <c r="BP14" i="13"/>
  <c r="BG14" i="13"/>
  <c r="BL14" i="13"/>
  <c r="BJ14" i="13"/>
  <c r="BN14" i="13"/>
  <c r="BK14" i="13"/>
  <c r="BH14" i="13"/>
  <c r="BO14" i="13"/>
  <c r="BR9" i="13"/>
  <c r="BH20" i="13"/>
  <c r="BG20" i="13"/>
  <c r="BL20" i="13"/>
  <c r="BO20" i="13"/>
  <c r="BN20" i="13"/>
  <c r="BK20" i="13"/>
  <c r="BM20" i="13"/>
  <c r="BJ20" i="13"/>
  <c r="BP20" i="13"/>
  <c r="BI20" i="13"/>
  <c r="G25" i="21"/>
  <c r="BR22" i="13"/>
  <c r="BT22" i="13" s="1"/>
  <c r="AQ26" i="20" l="1"/>
  <c r="BO24" i="13"/>
  <c r="AQ28" i="20" s="1"/>
  <c r="BI24" i="13"/>
  <c r="AK28" i="20" s="1"/>
  <c r="BP24" i="13"/>
  <c r="AR28" i="20" s="1"/>
  <c r="BH24" i="13"/>
  <c r="AJ28" i="20" s="1"/>
  <c r="AS26" i="20"/>
  <c r="AK26" i="20"/>
  <c r="BM24" i="13"/>
  <c r="AO28" i="20" s="1"/>
  <c r="BK24" i="13"/>
  <c r="AM28" i="20" s="1"/>
  <c r="BN24" i="13"/>
  <c r="AP28" i="20" s="1"/>
  <c r="AR26" i="20"/>
  <c r="AM26" i="20"/>
  <c r="BJ24" i="13"/>
  <c r="AL28" i="20" s="1"/>
  <c r="AN26" i="20"/>
  <c r="AL26" i="20"/>
  <c r="BR20" i="13"/>
  <c r="BT20" i="13" s="1"/>
  <c r="BL24" i="13"/>
  <c r="AN28" i="20" s="1"/>
  <c r="AI26" i="20"/>
  <c r="AO26" i="20"/>
  <c r="AP26" i="20"/>
  <c r="AJ26" i="20"/>
  <c r="BG24" i="13"/>
  <c r="AI28" i="20" s="1"/>
  <c r="BU19" i="21"/>
  <c r="BV19" i="21" s="1"/>
  <c r="BW19" i="21" s="1"/>
  <c r="BX19" i="21" s="1"/>
  <c r="BY19" i="21" s="1"/>
  <c r="AU19" i="21"/>
  <c r="AV19" i="21" s="1"/>
  <c r="AW19" i="21" s="1"/>
  <c r="AX19" i="21" s="1"/>
  <c r="AY19" i="21" s="1"/>
  <c r="BH19" i="21"/>
  <c r="BI19" i="21" s="1"/>
  <c r="BJ19" i="21" s="1"/>
  <c r="BK19" i="21" s="1"/>
  <c r="BL19" i="21" s="1"/>
  <c r="CU19" i="21"/>
  <c r="CV19" i="21" s="1"/>
  <c r="CW19" i="21" s="1"/>
  <c r="CX19" i="21" s="1"/>
  <c r="CY19" i="21" s="1"/>
  <c r="CH19" i="21"/>
  <c r="CI19" i="21" s="1"/>
  <c r="CJ19" i="21" s="1"/>
  <c r="CK19" i="21" s="1"/>
  <c r="CL19" i="21" s="1"/>
  <c r="CU25" i="21"/>
  <c r="CV25" i="21" s="1"/>
  <c r="CW25" i="21" s="1"/>
  <c r="CX25" i="21" s="1"/>
  <c r="CY25" i="21" s="1"/>
  <c r="AU25" i="21"/>
  <c r="AV25" i="21" s="1"/>
  <c r="AW25" i="21" s="1"/>
  <c r="AX25" i="21" s="1"/>
  <c r="AY25" i="21" s="1"/>
  <c r="BH25" i="21"/>
  <c r="BI25" i="21" s="1"/>
  <c r="BJ25" i="21" s="1"/>
  <c r="BK25" i="21" s="1"/>
  <c r="BL25" i="21" s="1"/>
  <c r="CH25" i="21"/>
  <c r="CI25" i="21" s="1"/>
  <c r="CJ25" i="21" s="1"/>
  <c r="CK25" i="21" s="1"/>
  <c r="CL25" i="21" s="1"/>
  <c r="BU25" i="21"/>
  <c r="BV25" i="21" s="1"/>
  <c r="BW25" i="21" s="1"/>
  <c r="BX25" i="21" s="1"/>
  <c r="BY25" i="21" s="1"/>
  <c r="BH24" i="21"/>
  <c r="BI24" i="21" s="1"/>
  <c r="BJ24" i="21" s="1"/>
  <c r="BK24" i="21" s="1"/>
  <c r="BL24" i="21" s="1"/>
  <c r="CH24" i="21"/>
  <c r="CI24" i="21" s="1"/>
  <c r="CJ24" i="21" s="1"/>
  <c r="CK24" i="21" s="1"/>
  <c r="CL24" i="21" s="1"/>
  <c r="BU24" i="21"/>
  <c r="BV24" i="21" s="1"/>
  <c r="BW24" i="21" s="1"/>
  <c r="BX24" i="21" s="1"/>
  <c r="BY24" i="21" s="1"/>
  <c r="AU24" i="21"/>
  <c r="AV24" i="21" s="1"/>
  <c r="AW24" i="21" s="1"/>
  <c r="AX24" i="21" s="1"/>
  <c r="AY24" i="21" s="1"/>
  <c r="CU24" i="21"/>
  <c r="CV24" i="21" s="1"/>
  <c r="CW24" i="21" s="1"/>
  <c r="CX24" i="21" s="1"/>
  <c r="CY24" i="21" s="1"/>
  <c r="BT9" i="13"/>
  <c r="CU21" i="21"/>
  <c r="CV21" i="21" s="1"/>
  <c r="CW21" i="21" s="1"/>
  <c r="CX21" i="21" s="1"/>
  <c r="CY21" i="21" s="1"/>
  <c r="BU21" i="21"/>
  <c r="BV21" i="21" s="1"/>
  <c r="BW21" i="21" s="1"/>
  <c r="BX21" i="21" s="1"/>
  <c r="BY21" i="21" s="1"/>
  <c r="AU21" i="21"/>
  <c r="AV21" i="21" s="1"/>
  <c r="AW21" i="21" s="1"/>
  <c r="AX21" i="21" s="1"/>
  <c r="AY21" i="21" s="1"/>
  <c r="CH21" i="21"/>
  <c r="CI21" i="21" s="1"/>
  <c r="CJ21" i="21" s="1"/>
  <c r="CK21" i="21" s="1"/>
  <c r="CL21" i="21" s="1"/>
  <c r="BH21" i="21"/>
  <c r="BI21" i="21" s="1"/>
  <c r="BJ21" i="21" s="1"/>
  <c r="BK21" i="21" s="1"/>
  <c r="BL21" i="21" s="1"/>
  <c r="BR19" i="13"/>
  <c r="BT19" i="13" s="1"/>
  <c r="BR16" i="13"/>
  <c r="BT16" i="13" s="1"/>
  <c r="BR14" i="13"/>
  <c r="BT14" i="13" s="1"/>
  <c r="BT24" i="13" l="1"/>
  <c r="BR24" i="13"/>
  <c r="BS2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MERREDY, Victoria</author>
  </authors>
  <commentList>
    <comment ref="U29" authorId="0" shapeId="0" xr:uid="{00000000-0006-0000-0B00-000001000000}">
      <text>
        <r>
          <rPr>
            <b/>
            <sz val="9"/>
            <color indexed="81"/>
            <rFont val="Tahoma"/>
            <family val="2"/>
          </rPr>
          <t>MERREDY, Victoria:</t>
        </r>
        <r>
          <rPr>
            <sz val="9"/>
            <color indexed="81"/>
            <rFont val="Tahoma"/>
            <family val="2"/>
          </rPr>
          <t xml:space="preserve">
The other 24 places being funded direct by the other LA</t>
        </r>
      </text>
    </comment>
    <comment ref="V29" authorId="0" shapeId="0" xr:uid="{00000000-0006-0000-0B00-000002000000}">
      <text>
        <r>
          <rPr>
            <b/>
            <sz val="9"/>
            <color indexed="81"/>
            <rFont val="Tahoma"/>
            <family val="2"/>
          </rPr>
          <t>MERREDY, Victoria:</t>
        </r>
        <r>
          <rPr>
            <sz val="9"/>
            <color indexed="81"/>
            <rFont val="Tahoma"/>
            <family val="2"/>
          </rPr>
          <t xml:space="preserve">
GCC now fuinding all places WCC have notified of all number</t>
        </r>
      </text>
    </comment>
    <comment ref="U32" authorId="0" shapeId="0" xr:uid="{00000000-0006-0000-0B00-000003000000}">
      <text>
        <r>
          <rPr>
            <b/>
            <sz val="9"/>
            <color indexed="81"/>
            <rFont val="Tahoma"/>
            <family val="2"/>
          </rPr>
          <t>MERREDY, Victoria:</t>
        </r>
        <r>
          <rPr>
            <sz val="9"/>
            <color indexed="81"/>
            <rFont val="Tahoma"/>
            <family val="2"/>
          </rPr>
          <t xml:space="preserve">
The other 11 being funded by the other LA</t>
        </r>
      </text>
    </comment>
    <comment ref="V32" authorId="0" shapeId="0" xr:uid="{00000000-0006-0000-0B00-000004000000}">
      <text>
        <r>
          <rPr>
            <b/>
            <sz val="9"/>
            <color indexed="81"/>
            <rFont val="Tahoma"/>
            <family val="2"/>
          </rPr>
          <t>MERREDY, Victoria:</t>
        </r>
        <r>
          <rPr>
            <sz val="9"/>
            <color indexed="81"/>
            <rFont val="Tahoma"/>
            <family val="2"/>
          </rPr>
          <t xml:space="preserve">
The other 11 being funded direct by the other LA</t>
        </r>
      </text>
    </comment>
  </commentList>
</comments>
</file>

<file path=xl/sharedStrings.xml><?xml version="1.0" encoding="utf-8"?>
<sst xmlns="http://schemas.openxmlformats.org/spreadsheetml/2006/main" count="1241" uniqueCount="419">
  <si>
    <t>Places</t>
  </si>
  <si>
    <t>Place</t>
  </si>
  <si>
    <t>Rate</t>
  </si>
  <si>
    <t>Funding</t>
  </si>
  <si>
    <t>Bandings</t>
  </si>
  <si>
    <t>Banding</t>
  </si>
  <si>
    <t>Rates</t>
  </si>
  <si>
    <t>BESD</t>
  </si>
  <si>
    <t>Residential</t>
  </si>
  <si>
    <t>Diseconomies of scale rate</t>
  </si>
  <si>
    <t>Commissioned Places</t>
  </si>
  <si>
    <t>School Name</t>
  </si>
  <si>
    <t>Alderman Knight School</t>
  </si>
  <si>
    <t>The Ridge School</t>
  </si>
  <si>
    <t>Bettridge School</t>
  </si>
  <si>
    <t>The Peak Academy</t>
  </si>
  <si>
    <t>Coln House School</t>
  </si>
  <si>
    <t>Paternoster School</t>
  </si>
  <si>
    <t>Greenfield Academy</t>
  </si>
  <si>
    <t>The Shrubberies School</t>
  </si>
  <si>
    <t xml:space="preserve">Battledown Centre </t>
  </si>
  <si>
    <t>Belmont School</t>
  </si>
  <si>
    <t>The Milestone School</t>
  </si>
  <si>
    <t>Heart of the Forest</t>
  </si>
  <si>
    <t>The Space</t>
  </si>
  <si>
    <t>DofS
Rate</t>
  </si>
  <si>
    <t>Sch No</t>
  </si>
  <si>
    <t>MFG uplift</t>
  </si>
  <si>
    <t>Cap on gain</t>
  </si>
  <si>
    <t>BESD rates apply</t>
  </si>
  <si>
    <t>RESI</t>
  </si>
  <si>
    <t>Commissioned
Places</t>
  </si>
  <si>
    <t>A</t>
  </si>
  <si>
    <t>B</t>
  </si>
  <si>
    <t>C</t>
  </si>
  <si>
    <t>D</t>
  </si>
  <si>
    <t>E</t>
  </si>
  <si>
    <t>BESD A</t>
  </si>
  <si>
    <t>BESD B</t>
  </si>
  <si>
    <t>BESD C</t>
  </si>
  <si>
    <t>BESD D</t>
  </si>
  <si>
    <t>BESD E</t>
  </si>
  <si>
    <t>Pupil</t>
  </si>
  <si>
    <t>April</t>
  </si>
  <si>
    <t>May</t>
  </si>
  <si>
    <t>June</t>
  </si>
  <si>
    <t>July</t>
  </si>
  <si>
    <t>August</t>
  </si>
  <si>
    <t>September</t>
  </si>
  <si>
    <t>October</t>
  </si>
  <si>
    <t>November</t>
  </si>
  <si>
    <t>December</t>
  </si>
  <si>
    <t>January</t>
  </si>
  <si>
    <t>February</t>
  </si>
  <si>
    <t>March</t>
  </si>
  <si>
    <t>------------------------------------- Enter your estimated number of pupils in each banding for each month ----------------------------------------</t>
  </si>
  <si>
    <t>Estimated</t>
  </si>
  <si>
    <t>Top-up</t>
  </si>
  <si>
    <t>Average</t>
  </si>
  <si>
    <t>Total pupils</t>
  </si>
  <si>
    <t>Cap on increase</t>
  </si>
  <si>
    <t>Total of top ups before uplift or cap</t>
  </si>
  <si>
    <t>Estimated total top up payments</t>
  </si>
  <si>
    <t xml:space="preserve">Commissioned place funding </t>
  </si>
  <si>
    <t>Estimated budget for the financial year</t>
  </si>
  <si>
    <r>
      <t xml:space="preserve">Top ups based on school's estimate of actual pupils present during the financial year </t>
    </r>
    <r>
      <rPr>
        <b/>
        <u/>
        <sz val="11"/>
        <color rgb="FFFF0000"/>
        <rFont val="Calibri"/>
        <family val="2"/>
      </rPr>
      <t>(see notes)</t>
    </r>
  </si>
  <si>
    <t>Notes:</t>
  </si>
  <si>
    <t>The top up calculation tool above provides an estimate of funding based on your own estimate of pupil numbers during the year assuming the</t>
  </si>
  <si>
    <t>pupils are present for the whole month.</t>
  </si>
  <si>
    <t>vary from the estimate above.</t>
  </si>
  <si>
    <t>Payments will be made monthly based on the actual days the pupils are present and the relevant banding they fall under and could therefore</t>
  </si>
  <si>
    <t>Complete the yellow highlighted cells to calculate an estimated 14/15 financial year budget.</t>
  </si>
  <si>
    <t>Still need to update with actual MFG &amp; Cap rates plus check if any of the other rates have changed</t>
  </si>
  <si>
    <t>Top up rates paid from other commissioning local authorities may vary.</t>
  </si>
  <si>
    <t>Potential Banding Rates</t>
  </si>
  <si>
    <t>DFE No.</t>
  </si>
  <si>
    <t>SCh. No</t>
  </si>
  <si>
    <t>Non BESD Rates</t>
  </si>
  <si>
    <t>BESD Rates</t>
  </si>
  <si>
    <t>Actual Occupancy</t>
  </si>
  <si>
    <r>
      <t xml:space="preserve">Special Schools ‑ Summary Number on Roll  </t>
    </r>
    <r>
      <rPr>
        <sz val="10"/>
        <color indexed="8"/>
        <rFont val="Arial"/>
        <family val="2"/>
      </rPr>
      <t>(Early Years counted as 0.5)</t>
    </r>
  </si>
  <si>
    <t>Special School</t>
  </si>
  <si>
    <t>Total places funded</t>
  </si>
  <si>
    <t>Battledown Centre for Children &amp; Families</t>
  </si>
  <si>
    <t>Green Field Academy</t>
  </si>
  <si>
    <t>Heart of the Forest Community Special School</t>
  </si>
  <si>
    <t>The Space at Milestone</t>
  </si>
  <si>
    <t>The Ridge Academy</t>
  </si>
  <si>
    <t>Total</t>
  </si>
  <si>
    <t xml:space="preserve">Source: Capita One as at: </t>
  </si>
  <si>
    <t>MFG Uplift % to Banding Rates</t>
  </si>
  <si>
    <t>Dis-Economies of Scale Rate</t>
  </si>
  <si>
    <t>MFG Uplift %</t>
  </si>
  <si>
    <t>Increase Capped %</t>
  </si>
  <si>
    <t>LAESTAB</t>
  </si>
  <si>
    <t>UPIN</t>
  </si>
  <si>
    <t>Institution LA</t>
  </si>
  <si>
    <t>Institution Name</t>
  </si>
  <si>
    <t>High needs places:
Total</t>
  </si>
  <si>
    <t>2013 to 2014</t>
  </si>
  <si>
    <t>2014 to 2015</t>
  </si>
  <si>
    <t>Difference between Post-16 2014 to 2015 proposed and 2013 to 2014 updated baseline</t>
  </si>
  <si>
    <t>GREENFIELD ACADEMY</t>
  </si>
  <si>
    <t>THE RIDGE SCHOOL</t>
  </si>
  <si>
    <t>COLN HOUSE SCHOOL</t>
  </si>
  <si>
    <t>BETTRIDGE SCHOOL</t>
  </si>
  <si>
    <t>SHRUBBERIES SCHOOL</t>
  </si>
  <si>
    <t>PATERNOSTER SCHOOL</t>
  </si>
  <si>
    <t>ALDERMAN KNIGHT SCHOOL</t>
  </si>
  <si>
    <t>BATTLEDOWN CENTRE FOR CHILDREN &amp; FAMILIES</t>
  </si>
  <si>
    <t>BELMONT SCHOOL</t>
  </si>
  <si>
    <t>THE MILESTONE SCHOOL</t>
  </si>
  <si>
    <t>HEART OF THE FOREST SPECIAL SCHOOL</t>
  </si>
  <si>
    <t>Check with Gareth Vine</t>
  </si>
  <si>
    <t>13/14</t>
  </si>
  <si>
    <t>Final Version - Key Figures</t>
  </si>
  <si>
    <t>Payment of Monthly Top Ups</t>
  </si>
  <si>
    <t>via email showing the breakdown of the payment.</t>
  </si>
  <si>
    <t>Band A</t>
  </si>
  <si>
    <t>Band B</t>
  </si>
  <si>
    <t>Band C</t>
  </si>
  <si>
    <t>Band D</t>
  </si>
  <si>
    <t>Band E</t>
  </si>
  <si>
    <t>X</t>
  </si>
  <si>
    <t>Top Ups</t>
  </si>
  <si>
    <r>
      <rPr>
        <sz val="12"/>
        <rFont val="Calibri"/>
        <family val="2"/>
      </rPr>
      <t>•</t>
    </r>
    <r>
      <rPr>
        <sz val="12"/>
        <rFont val="Calibri"/>
        <family val="2"/>
        <scheme val="minor"/>
      </rPr>
      <t>         The top-up for each pupil on roll will be calculated on a daily basis and set out on a monthly statement</t>
    </r>
  </si>
  <si>
    <r>
      <rPr>
        <sz val="12"/>
        <rFont val="Calibri"/>
        <family val="2"/>
      </rPr>
      <t>•</t>
    </r>
    <r>
      <rPr>
        <sz val="12"/>
        <rFont val="Calibri"/>
        <family val="2"/>
        <scheme val="minor"/>
      </rPr>
      <t xml:space="preserve">     There will be no funding for unfilled places for any school.</t>
    </r>
  </si>
  <si>
    <r>
      <rPr>
        <sz val="12"/>
        <rFont val="Calibri"/>
        <family val="2"/>
      </rPr>
      <t>•</t>
    </r>
    <r>
      <rPr>
        <sz val="7"/>
        <rFont val="Times New Roman"/>
        <family val="1"/>
      </rPr>
      <t xml:space="preserve">        </t>
    </r>
    <r>
      <rPr>
        <sz val="12"/>
        <rFont val="Calibri"/>
        <family val="2"/>
        <scheme val="minor"/>
      </rPr>
      <t>The top up covers all costs i.e. there is no additional funding source</t>
    </r>
  </si>
  <si>
    <r>
      <rPr>
        <sz val="12"/>
        <rFont val="Calibri"/>
        <family val="2"/>
      </rPr>
      <t>•</t>
    </r>
    <r>
      <rPr>
        <sz val="7"/>
        <rFont val="Times New Roman"/>
        <family val="1"/>
      </rPr>
      <t xml:space="preserve">         </t>
    </r>
    <r>
      <rPr>
        <sz val="12"/>
        <rFont val="Calibri"/>
        <family val="2"/>
        <scheme val="minor"/>
      </rPr>
      <t>Where a school admits above the agreed number of places funded the additional allocation will normally be the top-up only, in line with DfE expectations</t>
    </r>
  </si>
  <si>
    <t>TOTAL PLACE FUNDING</t>
  </si>
  <si>
    <r>
      <rPr>
        <sz val="12"/>
        <rFont val="Calibri"/>
        <family val="2"/>
      </rPr>
      <t>•</t>
    </r>
    <r>
      <rPr>
        <sz val="12"/>
        <rFont val="Calibri"/>
        <family val="2"/>
        <scheme val="minor"/>
      </rPr>
      <t>       The place funding will be paid to the maintained cheque book schools in 13 instalments as per the present payment procedure.</t>
    </r>
  </si>
  <si>
    <t>EY Rates</t>
  </si>
  <si>
    <t>EY</t>
  </si>
  <si>
    <t>2012/13</t>
  </si>
  <si>
    <t>2013/14
Extra Places</t>
  </si>
  <si>
    <t>2013/14</t>
  </si>
  <si>
    <t>L1</t>
  </si>
  <si>
    <t>L2</t>
  </si>
  <si>
    <t>Except
Needs</t>
  </si>
  <si>
    <t>Agreed
 Places</t>
  </si>
  <si>
    <t>2013/14 Allocated ISB</t>
  </si>
  <si>
    <t>2013/14 ISB Adjusted for Actual Pupils</t>
  </si>
  <si>
    <t>Funding Levels
Variable : Dependant on 
Actual Occupancy</t>
  </si>
  <si>
    <t>Agreed Places</t>
  </si>
  <si>
    <t>Band A -EY</t>
  </si>
  <si>
    <t>Band B - EY</t>
  </si>
  <si>
    <t>Band C - EY</t>
  </si>
  <si>
    <t>Band D - EY</t>
  </si>
  <si>
    <t>Band E - EY</t>
  </si>
  <si>
    <t>2014/15 - Actual Banding based on Feb 14 Returns from Schools</t>
  </si>
  <si>
    <t>Diseconomies of Scale</t>
  </si>
  <si>
    <t>TOTAL TopUps</t>
  </si>
  <si>
    <t>2014 / 15 Full Formula ISB</t>
  </si>
  <si>
    <r>
      <rPr>
        <sz val="12"/>
        <rFont val="Calibri"/>
        <family val="2"/>
      </rPr>
      <t>•</t>
    </r>
    <r>
      <rPr>
        <sz val="12"/>
        <rFont val="Times New Roman"/>
        <family val="1"/>
      </rPr>
      <t xml:space="preserve">     </t>
    </r>
    <r>
      <rPr>
        <sz val="12"/>
        <rFont val="Calibri"/>
        <family val="2"/>
      </rPr>
      <t>Top ups for Early Years pupil will be at 50% of the appropriate banding rate.</t>
    </r>
  </si>
  <si>
    <r>
      <rPr>
        <sz val="12"/>
        <rFont val="Calibri"/>
        <family val="2"/>
      </rPr>
      <t>•</t>
    </r>
    <r>
      <rPr>
        <sz val="12"/>
        <rFont val="Times New Roman"/>
        <family val="1"/>
      </rPr>
      <t xml:space="preserve">     </t>
    </r>
    <r>
      <rPr>
        <sz val="12"/>
        <rFont val="Calibri"/>
        <family val="2"/>
      </rPr>
      <t>Diseconomies of scale rate for Early Years pupil will be at 50% of the appropriate rate.</t>
    </r>
  </si>
  <si>
    <t>Place Funding</t>
  </si>
  <si>
    <t>Band A -EY 50%</t>
  </si>
  <si>
    <t>Band B - EY 50%</t>
  </si>
  <si>
    <t>Band C - EY 50%</t>
  </si>
  <si>
    <t>Band D - EY 50%</t>
  </si>
  <si>
    <t>Band E - EY 50%</t>
  </si>
  <si>
    <t>Value £</t>
  </si>
  <si>
    <t>BESD Value
(+15%)</t>
  </si>
  <si>
    <t>A - Early Yrs</t>
  </si>
  <si>
    <t>B - Early Yrs</t>
  </si>
  <si>
    <t>C - Early Yrs</t>
  </si>
  <si>
    <t>D - Early Yrs</t>
  </si>
  <si>
    <t>E - Early Yrs</t>
  </si>
  <si>
    <t>Revised Rates with additional 3.27% budget Increase applied</t>
  </si>
  <si>
    <t>14/15 Rates</t>
  </si>
  <si>
    <t>15/16 Rates</t>
  </si>
  <si>
    <t>2014/15 ISB Adjusted for Actual Pupils</t>
  </si>
  <si>
    <t>Actual Top Ups 14/15</t>
  </si>
  <si>
    <t>MFG % Uplift</t>
  </si>
  <si>
    <t>Agreed Places 15/16</t>
  </si>
  <si>
    <t>2015/16 Estimate Based on January 2015 NOR</t>
  </si>
  <si>
    <t>2015/16 - Actual Banding based on Jan 15 NOR</t>
  </si>
  <si>
    <t>TOTAL</t>
  </si>
  <si>
    <t>2015/16 - Potential Formula : Special Schools &amp; Special Academies</t>
  </si>
  <si>
    <t>Based on Banding Returns as at January 2015</t>
  </si>
  <si>
    <t>Full Year 2014/15</t>
  </si>
  <si>
    <t xml:space="preserve">Band B </t>
  </si>
  <si>
    <t xml:space="preserve">Band C </t>
  </si>
  <si>
    <t xml:space="preserve">MFG </t>
  </si>
  <si>
    <t>Cap</t>
  </si>
  <si>
    <t>Normal</t>
  </si>
  <si>
    <t>Early Years</t>
  </si>
  <si>
    <t>Pupil Nor as at Jan 2015</t>
  </si>
  <si>
    <t>Early Years Nor as at Jan 2015</t>
  </si>
  <si>
    <t xml:space="preserve">Total Normal </t>
  </si>
  <si>
    <t>Total EY</t>
  </si>
  <si>
    <t>No of Pupils</t>
  </si>
  <si>
    <t>Early Years Nor</t>
  </si>
  <si>
    <t>`</t>
  </si>
  <si>
    <t>NOR</t>
  </si>
  <si>
    <t>MFG</t>
  </si>
  <si>
    <t>Average Top Up Unit Value</t>
  </si>
  <si>
    <t>POST MFG BUDGET</t>
  </si>
  <si>
    <t>CAP</t>
  </si>
  <si>
    <t>Amount Capped</t>
  </si>
  <si>
    <t>2014/15 Uplift Percentage</t>
  </si>
  <si>
    <t>2015/16 Uplift Percentage</t>
  </si>
  <si>
    <t>Increase / Decrease over 14/15</t>
  </si>
  <si>
    <t>Estimated Total Top ups to YE 14/15</t>
  </si>
  <si>
    <t>2014/15 Diseconomies of Scale Rates</t>
  </si>
  <si>
    <t>Actual Rates Applied</t>
  </si>
  <si>
    <t>2015/16 Diseconomies of Scale Rates</t>
  </si>
  <si>
    <t>Increase in rates 7.14%</t>
  </si>
  <si>
    <t>Increase resulting from Uplift in 14/15</t>
  </si>
  <si>
    <t>Variation due to change in uplift % between years (C-B)</t>
  </si>
  <si>
    <t>Net variation between overall increase in rates and variation due to change in uplift % (E-A)</t>
  </si>
  <si>
    <t>Full Rate</t>
  </si>
  <si>
    <t>Full NOR</t>
  </si>
  <si>
    <t>EY NOR</t>
  </si>
  <si>
    <t>Increase / Decrease resulting from Uplift in 15/16</t>
  </si>
  <si>
    <t>2014/15 RATES</t>
  </si>
  <si>
    <t>January 2015 NOR</t>
  </si>
  <si>
    <t>Full Year 2015/16 Estimate based on January 2015 NOR</t>
  </si>
  <si>
    <t>Diseconomies of Scale EY</t>
  </si>
  <si>
    <t>Full Year 2014/15 - Average</t>
  </si>
  <si>
    <t>Full NOR - 14/15 Ave FTE</t>
  </si>
  <si>
    <t>Full NOR - @ Jan 2015</t>
  </si>
  <si>
    <t>EY NOR - 14/15 Ave FTE</t>
  </si>
  <si>
    <t>EY NOR - @ Jan 2015</t>
  </si>
  <si>
    <t>Change in NOR in 15/16(Jan 15) compared to Ave 14/15 FTE</t>
  </si>
  <si>
    <t>MFG Uplift % -14/15</t>
  </si>
  <si>
    <t>MFG % Uplift - 15/16</t>
  </si>
  <si>
    <t>Rates 14/15</t>
  </si>
  <si>
    <t>Rates 15/16</t>
  </si>
  <si>
    <t>15/16</t>
  </si>
  <si>
    <t>14/15</t>
  </si>
  <si>
    <t>7.14% Increase</t>
  </si>
  <si>
    <t xml:space="preserve">Variance due to change in uplift % between years </t>
  </si>
  <si>
    <t>Net variance between overall increase in rates and variance due to change in uplift % (E-A)</t>
  </si>
  <si>
    <t>Net % variance between overall increase in rates and variance due to change in uplift % (E-A)</t>
  </si>
  <si>
    <t xml:space="preserve">2014/15 Increase / Decrease resulting from Uplift % </t>
  </si>
  <si>
    <t>2014 / 15 Base Rate</t>
  </si>
  <si>
    <t>2014/15 Rates with Actual Individual Uplift % applied</t>
  </si>
  <si>
    <t>2015/16 Base Rate</t>
  </si>
  <si>
    <t>2015/16 Rates with Actual Individual Uplift % applied</t>
  </si>
  <si>
    <t xml:space="preserve">2015 / 16 Increase / Decrease resulting from Uplift % </t>
  </si>
  <si>
    <t>BAND A</t>
  </si>
  <si>
    <t>F</t>
  </si>
  <si>
    <t>G</t>
  </si>
  <si>
    <t>H</t>
  </si>
  <si>
    <t>(B - A)</t>
  </si>
  <si>
    <t>I</t>
  </si>
  <si>
    <t>J</t>
  </si>
  <si>
    <t>(F - E)</t>
  </si>
  <si>
    <t>(G - C)</t>
  </si>
  <si>
    <t>(H+D)</t>
  </si>
  <si>
    <t>(I as % of B)</t>
  </si>
  <si>
    <t>Chnages in NOR</t>
  </si>
  <si>
    <t>BAND B</t>
  </si>
  <si>
    <t>BAND D</t>
  </si>
  <si>
    <t>BAND C</t>
  </si>
  <si>
    <t>BAND E</t>
  </si>
  <si>
    <t>BAND A - Rates</t>
  </si>
  <si>
    <t>BAND B - Rates</t>
  </si>
  <si>
    <t>BAND C - Rates</t>
  </si>
  <si>
    <t>BAND D - Rates</t>
  </si>
  <si>
    <t>BAND E - Rates</t>
  </si>
  <si>
    <t>(A + D)</t>
  </si>
  <si>
    <t>2015 / 16 7.14% Increase in (14/15) Base Rate</t>
  </si>
  <si>
    <t>2015 / 16 Analysis</t>
  </si>
  <si>
    <t>Pre Adjustment Estimate Budget</t>
  </si>
  <si>
    <t>BESD 126</t>
  </si>
  <si>
    <t>BESD 130</t>
  </si>
  <si>
    <t>BESD 132</t>
  </si>
  <si>
    <t>BESD 138</t>
  </si>
  <si>
    <t>BESD 141</t>
  </si>
  <si>
    <t>Alderman Knight</t>
  </si>
  <si>
    <t>The Ridge</t>
  </si>
  <si>
    <t>Bettridge</t>
  </si>
  <si>
    <t>The Peak</t>
  </si>
  <si>
    <t>Coln House</t>
  </si>
  <si>
    <t>Paternoster</t>
  </si>
  <si>
    <t>Greenfield</t>
  </si>
  <si>
    <t>The Shrubberies</t>
  </si>
  <si>
    <t>Battledown</t>
  </si>
  <si>
    <t>Belmont</t>
  </si>
  <si>
    <t>The Milestone</t>
  </si>
  <si>
    <t>£</t>
  </si>
  <si>
    <t>Nos</t>
  </si>
  <si>
    <t>Diseconomies of Scale - 100%</t>
  </si>
  <si>
    <t>Diseconomies of Scale - 50%</t>
  </si>
  <si>
    <t>Average Rate before MFG</t>
  </si>
  <si>
    <t>Diseconomies of scale rate per pupil at 100%</t>
  </si>
  <si>
    <t>Diseconomies of scale rate per pupil at 50%</t>
  </si>
  <si>
    <t>Total Diseconomies of Scale</t>
  </si>
  <si>
    <t>TOTAL BUDGET</t>
  </si>
  <si>
    <t>Average Rate Per Pupil with Diseconomies of scale</t>
  </si>
  <si>
    <t>Basic MFG per place Winner</t>
  </si>
  <si>
    <t>Basic MFG per place Loser</t>
  </si>
  <si>
    <t>MFG Protection Required</t>
  </si>
  <si>
    <t>Cost of MFG</t>
  </si>
  <si>
    <t>Gain at 100%</t>
  </si>
  <si>
    <t>Maximum Allowable Gain</t>
  </si>
  <si>
    <t>MFG PER Pupil 16/17</t>
  </si>
  <si>
    <t>MFG PER PLACE</t>
  </si>
  <si>
    <t>Average Percentage uplift required in 16/17</t>
  </si>
  <si>
    <t>Individual uplifted / capped rates</t>
  </si>
  <si>
    <t>16/17</t>
  </si>
  <si>
    <t>cap</t>
  </si>
  <si>
    <t>Full Year 2015/16</t>
  </si>
  <si>
    <t>16/17 Rates</t>
  </si>
  <si>
    <t>Estimated Total Top ups for 17/18</t>
  </si>
  <si>
    <t>17/18 Rates</t>
  </si>
  <si>
    <t>BESD Value
(+10%)</t>
  </si>
  <si>
    <t>17/18 Calculation</t>
  </si>
  <si>
    <t>Actual NOR @ Jan 17</t>
  </si>
  <si>
    <t>16/17 Average Top cost Less -1.5% MFG</t>
  </si>
  <si>
    <t>Difference between Ave 16/17 Top up and Ave 17/18 top up</t>
  </si>
  <si>
    <t>17/18 Budget before MFG or Cap</t>
  </si>
  <si>
    <t>TOTAL BUDGET 17/18</t>
  </si>
  <si>
    <t>FINAL BUDGET 17/18</t>
  </si>
  <si>
    <t>MFG PER Pupil 17/18</t>
  </si>
  <si>
    <t>Average Percentage uplift required in 17/18</t>
  </si>
  <si>
    <t>Estimated Total Top ups to YE 16/17</t>
  </si>
  <si>
    <t>17/18</t>
  </si>
  <si>
    <r>
      <t xml:space="preserve">Coln House </t>
    </r>
    <r>
      <rPr>
        <sz val="11"/>
        <rFont val="Arial"/>
        <family val="2"/>
      </rPr>
      <t>- amount paid 2016/17</t>
    </r>
  </si>
  <si>
    <r>
      <rPr>
        <sz val="12"/>
        <rFont val="Calibri"/>
        <family val="2"/>
      </rPr>
      <t>•</t>
    </r>
    <r>
      <rPr>
        <sz val="12"/>
        <rFont val="Calibri"/>
        <family val="2"/>
        <scheme val="minor"/>
      </rPr>
      <t>       Place numbers are set by the Education and Skills Funding Agency (ESFA).  Funding per agreed place is £10,000.</t>
    </r>
  </si>
  <si>
    <t>BESD Value
)</t>
  </si>
  <si>
    <t>Pupil Numbers as at</t>
  </si>
  <si>
    <t>2019/20- Special Schools: Average Monthly Top Up Breakdown</t>
  </si>
  <si>
    <t>Total Lac and GCC</t>
  </si>
  <si>
    <t>Full Year 2018/19</t>
  </si>
  <si>
    <r>
      <t>Alderman Knight</t>
    </r>
    <r>
      <rPr>
        <sz val="11"/>
        <color theme="1"/>
        <rFont val="Arial"/>
        <family val="2"/>
      </rPr>
      <t xml:space="preserve"> - amount paid 2018/19</t>
    </r>
  </si>
  <si>
    <r>
      <t xml:space="preserve">The Ridge </t>
    </r>
    <r>
      <rPr>
        <sz val="11"/>
        <rFont val="Arial"/>
        <family val="2"/>
      </rPr>
      <t>- amount paid  2018/19</t>
    </r>
  </si>
  <si>
    <r>
      <t xml:space="preserve">Bettridge </t>
    </r>
    <r>
      <rPr>
        <sz val="11"/>
        <rFont val="Arial"/>
        <family val="2"/>
      </rPr>
      <t>- amount paid  2018/19</t>
    </r>
  </si>
  <si>
    <r>
      <t xml:space="preserve">The Peak </t>
    </r>
    <r>
      <rPr>
        <sz val="11"/>
        <rFont val="Arial"/>
        <family val="2"/>
      </rPr>
      <t>- amount paid  2018/19</t>
    </r>
  </si>
  <si>
    <r>
      <t xml:space="preserve">Paternoster </t>
    </r>
    <r>
      <rPr>
        <sz val="11"/>
        <rFont val="Arial"/>
        <family val="2"/>
      </rPr>
      <t>- amount paid  2018/19</t>
    </r>
  </si>
  <si>
    <r>
      <t xml:space="preserve">Greenfield </t>
    </r>
    <r>
      <rPr>
        <sz val="11"/>
        <rFont val="Arial"/>
        <family val="2"/>
      </rPr>
      <t>- amount paid 2018/19</t>
    </r>
  </si>
  <si>
    <r>
      <t>The Shrubberies</t>
    </r>
    <r>
      <rPr>
        <sz val="11"/>
        <rFont val="Arial"/>
        <family val="2"/>
      </rPr>
      <t xml:space="preserve"> - amount paid  2018/19</t>
    </r>
  </si>
  <si>
    <r>
      <t xml:space="preserve">Battledown </t>
    </r>
    <r>
      <rPr>
        <sz val="11"/>
        <rFont val="Arial"/>
        <family val="2"/>
      </rPr>
      <t>- amount paid  2018/19</t>
    </r>
  </si>
  <si>
    <r>
      <t>Belmont</t>
    </r>
    <r>
      <rPr>
        <sz val="11"/>
        <rFont val="Arial"/>
        <family val="2"/>
      </rPr>
      <t xml:space="preserve"> - amount paid  2018/19</t>
    </r>
  </si>
  <si>
    <r>
      <t>The Milestone</t>
    </r>
    <r>
      <rPr>
        <sz val="11"/>
        <rFont val="Arial"/>
        <family val="2"/>
      </rPr>
      <t xml:space="preserve"> - amount paid  2018/19</t>
    </r>
  </si>
  <si>
    <r>
      <t>Heart of the Forest</t>
    </r>
    <r>
      <rPr>
        <sz val="11"/>
        <rFont val="Arial"/>
        <family val="2"/>
      </rPr>
      <t xml:space="preserve"> - amount paid  2018/19</t>
    </r>
  </si>
  <si>
    <r>
      <t>The Space</t>
    </r>
    <r>
      <rPr>
        <sz val="11"/>
        <rFont val="Arial"/>
        <family val="2"/>
      </rPr>
      <t xml:space="preserve"> - amount paid  2018/19</t>
    </r>
  </si>
  <si>
    <r>
      <rPr>
        <sz val="12"/>
        <rFont val="Calibri"/>
        <family val="2"/>
      </rPr>
      <t>•</t>
    </r>
    <r>
      <rPr>
        <sz val="12"/>
        <rFont val="Calibri"/>
        <family val="2"/>
        <scheme val="minor"/>
      </rPr>
      <t>       For maintained schools the place funding is passported through the Local Authority (LA) from the ESFA.  The ESFA allocates place funding directly to academies</t>
    </r>
  </si>
  <si>
    <r>
      <rPr>
        <sz val="12"/>
        <rFont val="Calibri"/>
        <family val="2"/>
      </rPr>
      <t>•</t>
    </r>
    <r>
      <rPr>
        <sz val="12"/>
        <rFont val="Calibri"/>
        <family val="2"/>
        <scheme val="minor"/>
      </rPr>
      <t>       Place funding covers all categories of pupil i.e. it includes children from Gloucestershire and other LAs, including Welsh LAs and Looked After Children (LAC).</t>
    </r>
  </si>
  <si>
    <r>
      <rPr>
        <sz val="12"/>
        <rFont val="Calibri"/>
        <family val="2"/>
      </rPr>
      <t>•</t>
    </r>
    <r>
      <rPr>
        <sz val="12"/>
        <rFont val="Calibri"/>
        <family val="2"/>
        <scheme val="minor"/>
      </rPr>
      <t>         The process for assigning a funding band to each pupil has been agreed through Gloucestershire Association of Special School Headteachers (GASSH).</t>
    </r>
  </si>
  <si>
    <r>
      <rPr>
        <sz val="12"/>
        <rFont val="Calibri"/>
        <family val="2"/>
      </rPr>
      <t>•</t>
    </r>
    <r>
      <rPr>
        <sz val="7"/>
        <rFont val="Times New Roman"/>
        <family val="1"/>
      </rPr>
      <t xml:space="preserve">        </t>
    </r>
    <r>
      <rPr>
        <sz val="12"/>
        <rFont val="Calibri"/>
        <family val="2"/>
        <scheme val="minor"/>
      </rPr>
      <t>Post 16 top-up calculation is the same as for pre-16</t>
    </r>
  </si>
  <si>
    <r>
      <rPr>
        <sz val="12"/>
        <rFont val="Calibri"/>
        <family val="2"/>
      </rPr>
      <t>•</t>
    </r>
    <r>
      <rPr>
        <sz val="7"/>
        <rFont val="Times New Roman"/>
        <family val="1"/>
      </rPr>
      <t>      </t>
    </r>
    <r>
      <rPr>
        <sz val="11"/>
        <rFont val="Calibri"/>
        <family val="2"/>
      </rPr>
      <t>  Capping on Gains - Capping has been removed in line with Primary and Secondary schools.</t>
    </r>
  </si>
  <si>
    <t>19/20 Rates</t>
  </si>
  <si>
    <t>School</t>
  </si>
  <si>
    <t>Commisioned numbers from Sept 2019</t>
  </si>
  <si>
    <t>Actual Numbers as at January 2020 (If Higher than commissioned No.s)</t>
  </si>
  <si>
    <t>Sept 2020 Commissioned Numbers</t>
  </si>
  <si>
    <t>19/20</t>
  </si>
  <si>
    <t>20/21</t>
  </si>
  <si>
    <t>20/21 %</t>
  </si>
  <si>
    <t>AKS</t>
  </si>
  <si>
    <t>HoF</t>
  </si>
  <si>
    <t>Total OOC</t>
  </si>
  <si>
    <t>FtE</t>
  </si>
  <si>
    <t>Actual Average Bandings</t>
  </si>
  <si>
    <t>Estimated GCC budget for the financial year</t>
  </si>
  <si>
    <t xml:space="preserve">Top Ups to receive from OOC </t>
  </si>
  <si>
    <t>Total of GCC top ups before uplift (Not including OOC or DOS)</t>
  </si>
  <si>
    <t>Estimated GCC total top up payments (Inc MFG and DoS)</t>
  </si>
  <si>
    <t>2021/22 Average Rate</t>
  </si>
  <si>
    <t>Actual Ave FTE for the 2021/22 Year</t>
  </si>
  <si>
    <r>
      <rPr>
        <sz val="12"/>
        <rFont val="Calibri"/>
        <family val="2"/>
      </rPr>
      <t>•</t>
    </r>
    <r>
      <rPr>
        <sz val="12"/>
        <rFont val="Calibri"/>
        <family val="2"/>
        <scheme val="minor"/>
      </rPr>
      <t>        The top-up for each funding band is:</t>
    </r>
  </si>
  <si>
    <t>The 2021/22 Average FTE rate is calculated using the actual bandings in each month, times by the top-up rates</t>
  </si>
  <si>
    <t>Commissioned Places Sept 22</t>
  </si>
  <si>
    <t>actuals 21/22</t>
  </si>
  <si>
    <t>Brook Academy (New School)</t>
  </si>
  <si>
    <t>actual bandings per month 21/22</t>
  </si>
  <si>
    <t>Feb 22/23</t>
  </si>
  <si>
    <t>Brook</t>
  </si>
  <si>
    <t>DoS 21/22</t>
  </si>
  <si>
    <t>FTE</t>
  </si>
  <si>
    <t>Sept 21 to March 22 Rates</t>
  </si>
  <si>
    <t>April 21 to Aug 21 Rates</t>
  </si>
  <si>
    <t>Special School Budgets 2023/24</t>
  </si>
  <si>
    <r>
      <rPr>
        <sz val="12"/>
        <rFont val="Calibri"/>
        <family val="2"/>
      </rPr>
      <t>•</t>
    </r>
    <r>
      <rPr>
        <sz val="12"/>
        <rFont val="Calibri"/>
        <family val="2"/>
        <scheme val="minor"/>
      </rPr>
      <t xml:space="preserve">       Place funding for financial year 2023/24 is based on 5/12 of commissioned places from September 2022 and 7/12 of commissioned places from September 2023. </t>
    </r>
  </si>
  <si>
    <r>
      <rPr>
        <sz val="12"/>
        <rFont val="Calibri"/>
        <family val="2"/>
      </rPr>
      <t>•</t>
    </r>
    <r>
      <rPr>
        <sz val="12"/>
        <rFont val="Calibri"/>
        <family val="2"/>
        <scheme val="minor"/>
      </rPr>
      <t>       5/12 of commissioned places from September 2022 also includes the additional places currently being funded each month.</t>
    </r>
  </si>
  <si>
    <t>Band 3</t>
  </si>
  <si>
    <t>Band 4</t>
  </si>
  <si>
    <t>Band 5</t>
  </si>
  <si>
    <t>Band 6</t>
  </si>
  <si>
    <t>Band 7</t>
  </si>
  <si>
    <t>Indvidually Commissioned</t>
  </si>
  <si>
    <r>
      <rPr>
        <sz val="12"/>
        <rFont val="Calibri"/>
        <family val="2"/>
      </rPr>
      <t>•</t>
    </r>
    <r>
      <rPr>
        <sz val="7"/>
        <rFont val="Times New Roman"/>
        <family val="1"/>
      </rPr>
      <t>      </t>
    </r>
    <r>
      <rPr>
        <sz val="11"/>
        <rFont val="Calibri"/>
        <family val="2"/>
      </rPr>
      <t>  MFG has been applied to ensure that no school loses more than 3% per pupil. The calculation is based on predicted pupil numbers for 2023/24, compared against 21/22 average per pupil funding. The individual uplift MFG protection percentage is shown on the Indicative School Budgets (ISB) budget sheet. These uplift percentages are fixed and will be applied to every top up payment during 2023/24.</t>
    </r>
  </si>
  <si>
    <r>
      <rPr>
        <sz val="12"/>
        <rFont val="Calibri"/>
        <family val="2"/>
      </rPr>
      <t>•</t>
    </r>
    <r>
      <rPr>
        <sz val="7"/>
        <rFont val="Times New Roman"/>
        <family val="1"/>
      </rPr>
      <t xml:space="preserve">         </t>
    </r>
    <r>
      <rPr>
        <sz val="12"/>
        <rFont val="Calibri"/>
        <family val="2"/>
        <scheme val="minor"/>
      </rPr>
      <t>Top ups will be for Gloucestershire children only.  For LAC children from other LAs and for children from Wales the actual top-up recouped from the other LA will be passed on. LAC numbers as at 17th February 2023 are shown in your ISB to reflect a more realistic top up amount for your special school, all LAC pupils are placed on the new banding rates for this process.</t>
    </r>
  </si>
  <si>
    <t xml:space="preserve"> - 2023/24 Top Up Rates: </t>
  </si>
  <si>
    <t>All monthly top ups are paid monthly. For example, the top ups for April 2023 will be paid to schools during May.</t>
  </si>
  <si>
    <r>
      <t xml:space="preserve">These top ups will be based on </t>
    </r>
    <r>
      <rPr>
        <i/>
        <sz val="14"/>
        <color theme="1"/>
        <rFont val="Calibri"/>
        <family val="2"/>
        <scheme val="minor"/>
      </rPr>
      <t xml:space="preserve">actual </t>
    </r>
    <r>
      <rPr>
        <sz val="14"/>
        <color theme="1"/>
        <rFont val="Calibri"/>
        <family val="2"/>
        <scheme val="minor"/>
      </rPr>
      <t>occupancy of the agreed places and will be calculated on a daily rate. Therefore if a band 4 pupil only</t>
    </r>
  </si>
  <si>
    <t xml:space="preserve">stays at a school for 4 days during April , the school will receive ((£7,938/365)*4) = £86.99. Each school will receive a monthly monitoring sheet </t>
  </si>
  <si>
    <t>Place Funding From April 2023 (5/12)</t>
  </si>
  <si>
    <t>Place funding From September 2023 (7/12)</t>
  </si>
  <si>
    <t>Number of additional places being funded as at February 2023:</t>
  </si>
  <si>
    <t>Estimated Budget  - Financial Year 2023/24</t>
  </si>
  <si>
    <t>OOC Band 3</t>
  </si>
  <si>
    <t>LAC Band 3</t>
  </si>
  <si>
    <t>OOC Band 4</t>
  </si>
  <si>
    <t>LAC Band 4</t>
  </si>
  <si>
    <t>OOC Band 5</t>
  </si>
  <si>
    <t>LAC Band 5</t>
  </si>
  <si>
    <t>OOC Band 6</t>
  </si>
  <si>
    <t>LAC Band 6</t>
  </si>
  <si>
    <t>Complete the yellow highlighted cells to calculate an estimated 2023/24 financial year budget.</t>
  </si>
  <si>
    <t xml:space="preserve">2023/24 Minimum Funding Guarantee (MFG) Calculator </t>
  </si>
  <si>
    <t xml:space="preserve">23/24 MFG set at </t>
  </si>
  <si>
    <t xml:space="preserve">23/24 NO CAP </t>
  </si>
  <si>
    <t>The 2023/24 Average rate is calculated using the bandings numbers as at 17/02/232 multiplied by the top up rates</t>
  </si>
  <si>
    <t>2023/24Average Rate</t>
  </si>
  <si>
    <t>Average 2023/24 Places</t>
  </si>
  <si>
    <t>3 - Early Yrs</t>
  </si>
  <si>
    <t>4 - Early Yrs</t>
  </si>
  <si>
    <t>5 - Early Yrs</t>
  </si>
  <si>
    <t>6 - Early Yrs</t>
  </si>
  <si>
    <t>Commissioned Places Sept 23</t>
  </si>
  <si>
    <t>Add Places as at Feb 23</t>
  </si>
  <si>
    <t>Number of Actual LAC Pupils as at February 2023</t>
  </si>
  <si>
    <t>Number of Actual Pupils as at Feb 23</t>
  </si>
  <si>
    <t>Estimated Total budget for the financial year 23/24</t>
  </si>
  <si>
    <t>3% Increase applied to combined top up and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</si>
</sst>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64" formatCode="0.00%;[Red]\-0.00%"/>
    <numFmt numFmtId="165" formatCode="0.0000%;[Red]\-0.0000%"/>
    <numFmt numFmtId="166" formatCode="&quot;£&quot;#,##0"/>
    <numFmt numFmtId="167" formatCode="#,##0_ ;[Red]\-#,##0\ "/>
    <numFmt numFmtId="168" formatCode="0.00_ ;[Red]\-0.00\ "/>
    <numFmt numFmtId="169" formatCode="0_ ;[Red]\-0\ "/>
    <numFmt numFmtId="170" formatCode="#,##0.00_ ;[Red]\-#,##0.00\ "/>
    <numFmt numFmtId="171" formatCode="#,##0.0;[Red]\-#,##0.0"/>
  </numFmts>
  <fonts count="65"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2"/>
      <name val="Arial"/>
      <family val="2"/>
    </font>
    <font>
      <b/>
      <sz val="11"/>
      <color rgb="FFFF0000"/>
      <name val="Calibri"/>
      <family val="2"/>
      <scheme val="minor"/>
    </font>
    <font>
      <b/>
      <u/>
      <sz val="11"/>
      <color theme="1"/>
      <name val="Calibri"/>
      <family val="2"/>
      <scheme val="minor"/>
    </font>
    <font>
      <b/>
      <i/>
      <sz val="11"/>
      <color theme="1"/>
      <name val="Calibri"/>
      <family val="2"/>
      <scheme val="minor"/>
    </font>
    <font>
      <b/>
      <u/>
      <sz val="11"/>
      <color rgb="FFFF0000"/>
      <name val="Calibri"/>
      <family val="2"/>
    </font>
    <font>
      <b/>
      <u/>
      <sz val="11"/>
      <color rgb="FFFF0000"/>
      <name val="Calibri"/>
      <family val="2"/>
      <scheme val="minor"/>
    </font>
    <font>
      <b/>
      <i/>
      <sz val="11"/>
      <color rgb="FFFF0000"/>
      <name val="Calibri"/>
      <family val="2"/>
      <scheme val="minor"/>
    </font>
    <font>
      <b/>
      <sz val="12"/>
      <color rgb="FFFF0000"/>
      <name val="Arial"/>
      <family val="2"/>
    </font>
    <font>
      <b/>
      <sz val="14"/>
      <color theme="1"/>
      <name val="Calibri"/>
      <family val="2"/>
      <scheme val="minor"/>
    </font>
    <font>
      <sz val="14"/>
      <color theme="1"/>
      <name val="Calibri"/>
      <family val="2"/>
      <scheme val="minor"/>
    </font>
    <font>
      <sz val="14"/>
      <name val="Calibri"/>
      <family val="2"/>
      <scheme val="minor"/>
    </font>
    <font>
      <sz val="16"/>
      <name val="Calibri"/>
      <family val="2"/>
    </font>
    <font>
      <b/>
      <sz val="10"/>
      <color rgb="FF000000"/>
      <name val="Arial"/>
      <family val="2"/>
    </font>
    <font>
      <sz val="10"/>
      <color indexed="8"/>
      <name val="Arial"/>
      <family val="2"/>
    </font>
    <font>
      <sz val="10"/>
      <color theme="1"/>
      <name val="Arial"/>
      <family val="2"/>
    </font>
    <font>
      <sz val="10"/>
      <name val="Arial"/>
      <family val="2"/>
    </font>
    <font>
      <i/>
      <sz val="14"/>
      <color theme="1"/>
      <name val="Calibri"/>
      <family val="2"/>
      <scheme val="minor"/>
    </font>
    <font>
      <b/>
      <i/>
      <sz val="10"/>
      <name val="Arial"/>
      <family val="2"/>
    </font>
    <font>
      <b/>
      <sz val="11"/>
      <name val="Calibri"/>
      <family val="2"/>
      <scheme val="minor"/>
    </font>
    <font>
      <b/>
      <sz val="14"/>
      <name val="Calibri"/>
      <family val="2"/>
      <scheme val="minor"/>
    </font>
    <font>
      <sz val="11"/>
      <name val="Calibri"/>
      <family val="2"/>
      <scheme val="minor"/>
    </font>
    <font>
      <sz val="12"/>
      <name val="Calibri"/>
      <family val="2"/>
      <scheme val="minor"/>
    </font>
    <font>
      <b/>
      <sz val="12"/>
      <name val="Calibri"/>
      <family val="2"/>
      <scheme val="minor"/>
    </font>
    <font>
      <sz val="12"/>
      <name val="Symbol"/>
      <family val="1"/>
      <charset val="2"/>
    </font>
    <font>
      <sz val="7"/>
      <name val="Times New Roman"/>
      <family val="1"/>
    </font>
    <font>
      <sz val="11"/>
      <name val="Calibri"/>
      <family val="2"/>
    </font>
    <font>
      <sz val="12"/>
      <name val="Calibri"/>
      <family val="2"/>
    </font>
    <font>
      <i/>
      <sz val="11"/>
      <color theme="1"/>
      <name val="Calibri"/>
      <family val="2"/>
      <scheme val="minor"/>
    </font>
    <font>
      <b/>
      <sz val="11"/>
      <name val="Calibri"/>
      <family val="2"/>
    </font>
    <font>
      <sz val="11"/>
      <color theme="1"/>
      <name val="Calibri"/>
      <family val="2"/>
    </font>
    <font>
      <b/>
      <sz val="11"/>
      <color theme="1"/>
      <name val="Calibri"/>
      <family val="2"/>
    </font>
    <font>
      <i/>
      <sz val="11"/>
      <name val="Calibri"/>
      <family val="2"/>
      <scheme val="minor"/>
    </font>
    <font>
      <sz val="12"/>
      <name val="Times New Roman"/>
      <family val="1"/>
    </font>
    <font>
      <b/>
      <sz val="11"/>
      <color rgb="FF0000FF"/>
      <name val="Calibri"/>
      <family val="2"/>
      <scheme val="minor"/>
    </font>
    <font>
      <sz val="11"/>
      <color rgb="FF0000FF"/>
      <name val="Calibri"/>
      <family val="2"/>
      <scheme val="minor"/>
    </font>
    <font>
      <b/>
      <sz val="14"/>
      <color theme="1"/>
      <name val="Arial"/>
      <family val="2"/>
    </font>
    <font>
      <b/>
      <sz val="11"/>
      <color theme="1"/>
      <name val="Arial"/>
      <family val="2"/>
    </font>
    <font>
      <b/>
      <u/>
      <sz val="11"/>
      <color theme="1"/>
      <name val="Arial"/>
      <family val="2"/>
    </font>
    <font>
      <sz val="11"/>
      <color theme="1"/>
      <name val="Arial"/>
      <family val="2"/>
    </font>
    <font>
      <i/>
      <sz val="10"/>
      <color rgb="FF0000FF"/>
      <name val="Arial"/>
      <family val="2"/>
    </font>
    <font>
      <b/>
      <sz val="11"/>
      <name val="Arial"/>
      <family val="2"/>
    </font>
    <font>
      <sz val="11"/>
      <name val="Arial"/>
      <family val="2"/>
    </font>
    <font>
      <i/>
      <sz val="10"/>
      <color rgb="FF0000CC"/>
      <name val="Arial"/>
      <family val="2"/>
    </font>
    <font>
      <b/>
      <sz val="11"/>
      <color rgb="FF0000FF"/>
      <name val="Arial"/>
      <family val="2"/>
    </font>
    <font>
      <sz val="11"/>
      <color rgb="FFFF0000"/>
      <name val="Calibri"/>
      <family val="2"/>
      <scheme val="minor"/>
    </font>
    <font>
      <b/>
      <u/>
      <sz val="16"/>
      <color theme="1"/>
      <name val="Calibri"/>
      <family val="2"/>
      <scheme val="minor"/>
    </font>
    <font>
      <b/>
      <u/>
      <sz val="14"/>
      <name val="Calibri"/>
      <family val="2"/>
      <scheme val="minor"/>
    </font>
    <font>
      <sz val="11"/>
      <color rgb="FF0000FF"/>
      <name val="Arial"/>
      <family val="2"/>
    </font>
    <font>
      <b/>
      <u/>
      <sz val="16"/>
      <color theme="1"/>
      <name val="Arial"/>
      <family val="2"/>
    </font>
    <font>
      <b/>
      <sz val="9"/>
      <color theme="1"/>
      <name val="Calibri"/>
      <family val="2"/>
      <scheme val="minor"/>
    </font>
    <font>
      <b/>
      <sz val="10"/>
      <color theme="1"/>
      <name val="Arial"/>
      <family val="2"/>
    </font>
    <font>
      <b/>
      <sz val="12"/>
      <color theme="1"/>
      <name val="Calibri"/>
      <family val="2"/>
      <scheme val="minor"/>
    </font>
    <font>
      <sz val="11"/>
      <color theme="0"/>
      <name val="Calibri"/>
      <family val="2"/>
      <scheme val="minor"/>
    </font>
    <font>
      <b/>
      <sz val="9"/>
      <color indexed="81"/>
      <name val="Tahoma"/>
      <family val="2"/>
    </font>
    <font>
      <sz val="9"/>
      <color indexed="81"/>
      <name val="Tahoma"/>
      <family val="2"/>
    </font>
    <font>
      <sz val="18"/>
      <color theme="1"/>
      <name val="Arial"/>
      <family val="2"/>
    </font>
    <font>
      <b/>
      <sz val="11"/>
      <color theme="0"/>
      <name val="Calibri"/>
      <family val="2"/>
      <scheme val="minor"/>
    </font>
    <font>
      <b/>
      <u/>
      <sz val="11"/>
      <color theme="0"/>
      <name val="Calibri"/>
      <family val="2"/>
      <scheme val="minor"/>
    </font>
    <font>
      <sz val="12"/>
      <name val="Symbol"/>
      <family val="2"/>
      <charset val="2"/>
    </font>
  </fonts>
  <fills count="2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indexed="64"/>
      </patternFill>
    </fill>
    <fill>
      <patternFill patternType="solid">
        <fgColor theme="2" tint="-0.499984740745262"/>
        <bgColor indexed="64"/>
      </patternFill>
    </fill>
    <fill>
      <patternFill patternType="solid">
        <fgColor rgb="FFFF000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B0F0"/>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59999389629810485"/>
        <bgColor indexed="64"/>
      </patternFill>
    </fill>
  </fills>
  <borders count="16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auto="1"/>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auto="1"/>
      </right>
      <top style="medium">
        <color indexed="64"/>
      </top>
      <bottom style="hair">
        <color indexed="64"/>
      </bottom>
      <diagonal/>
    </border>
    <border>
      <left style="medium">
        <color indexed="64"/>
      </left>
      <right style="medium">
        <color auto="1"/>
      </right>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auto="1"/>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auto="1"/>
      </right>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thin">
        <color indexed="64"/>
      </left>
      <right style="thin">
        <color indexed="64"/>
      </right>
      <top style="hair">
        <color auto="1"/>
      </top>
      <bottom/>
      <diagonal/>
    </border>
    <border>
      <left/>
      <right style="medium">
        <color auto="1"/>
      </right>
      <top style="hair">
        <color auto="1"/>
      </top>
      <bottom/>
      <diagonal/>
    </border>
    <border>
      <left style="thin">
        <color indexed="64"/>
      </left>
      <right style="thin">
        <color indexed="64"/>
      </right>
      <top style="thin">
        <color indexed="64"/>
      </top>
      <bottom style="hair">
        <color indexed="64"/>
      </bottom>
      <diagonal/>
    </border>
    <border>
      <left style="medium">
        <color auto="1"/>
      </left>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hair">
        <color indexed="64"/>
      </left>
      <right style="thin">
        <color indexed="64"/>
      </right>
      <top style="thin">
        <color indexed="64"/>
      </top>
      <bottom style="thick">
        <color indexed="64"/>
      </bottom>
      <diagonal/>
    </border>
    <border>
      <left style="hair">
        <color indexed="64"/>
      </left>
      <right style="thin">
        <color indexed="64"/>
      </right>
      <top/>
      <bottom/>
      <diagonal/>
    </border>
    <border>
      <left/>
      <right style="thick">
        <color indexed="64"/>
      </right>
      <top style="thin">
        <color indexed="64"/>
      </top>
      <bottom style="thick">
        <color indexed="64"/>
      </bottom>
      <diagonal/>
    </border>
    <border>
      <left style="thick">
        <color indexed="64"/>
      </left>
      <right/>
      <top/>
      <bottom style="thick">
        <color indexed="64"/>
      </bottom>
      <diagonal/>
    </border>
    <border>
      <left style="hair">
        <color indexed="64"/>
      </left>
      <right style="thick">
        <color indexed="64"/>
      </right>
      <top/>
      <bottom/>
      <diagonal/>
    </border>
    <border>
      <left style="hair">
        <color indexed="64"/>
      </left>
      <right style="thick">
        <color indexed="64"/>
      </right>
      <top/>
      <bottom style="thick">
        <color indexed="64"/>
      </bottom>
      <diagonal/>
    </border>
    <border>
      <left style="hair">
        <color indexed="64"/>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bottom/>
      <diagonal/>
    </border>
    <border>
      <left style="hair">
        <color indexed="64"/>
      </left>
      <right/>
      <top style="hair">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9" fontId="21" fillId="0" borderId="0" applyFont="0" applyFill="0" applyBorder="0" applyAlignment="0" applyProtection="0"/>
  </cellStyleXfs>
  <cellXfs count="1349">
    <xf numFmtId="0" fontId="0" fillId="0" borderId="0" xfId="0"/>
    <xf numFmtId="6" fontId="0" fillId="0" borderId="0" xfId="0" applyNumberFormat="1" applyAlignment="1">
      <alignment horizontal="right"/>
    </xf>
    <xf numFmtId="38" fontId="0" fillId="0" borderId="0" xfId="0" applyNumberFormat="1" applyAlignment="1">
      <alignment horizontal="right"/>
    </xf>
    <xf numFmtId="38" fontId="0" fillId="0" borderId="0" xfId="0" applyNumberFormat="1"/>
    <xf numFmtId="6" fontId="0" fillId="0" borderId="0" xfId="0" applyNumberFormat="1" applyAlignment="1">
      <alignment horizontal="center"/>
    </xf>
    <xf numFmtId="38" fontId="3" fillId="0" borderId="0" xfId="0" applyNumberFormat="1" applyFont="1" applyAlignment="1">
      <alignment horizontal="right"/>
    </xf>
    <xf numFmtId="38" fontId="3" fillId="0" borderId="0" xfId="0" applyNumberFormat="1" applyFont="1"/>
    <xf numFmtId="38" fontId="0" fillId="0" borderId="0" xfId="0" applyNumberFormat="1" applyAlignment="1">
      <alignment horizontal="center"/>
    </xf>
    <xf numFmtId="38" fontId="3" fillId="0" borderId="0" xfId="0" applyNumberFormat="1" applyFont="1" applyAlignment="1">
      <alignment horizontal="center"/>
    </xf>
    <xf numFmtId="38" fontId="0" fillId="0" borderId="0" xfId="0" applyNumberFormat="1" applyAlignment="1">
      <alignment horizontal="left"/>
    </xf>
    <xf numFmtId="38" fontId="3" fillId="0" borderId="0" xfId="0" applyNumberFormat="1" applyFont="1" applyAlignment="1">
      <alignment horizontal="left"/>
    </xf>
    <xf numFmtId="38" fontId="4" fillId="0" borderId="2" xfId="0" applyNumberFormat="1" applyFont="1" applyBorder="1" applyAlignment="1">
      <alignment horizontal="center"/>
    </xf>
    <xf numFmtId="0" fontId="5" fillId="3" borderId="2" xfId="0" applyFont="1" applyFill="1" applyBorder="1" applyAlignment="1">
      <alignment horizontal="center" vertical="center" wrapText="1"/>
    </xf>
    <xf numFmtId="0" fontId="4" fillId="0" borderId="0" xfId="0" applyFont="1"/>
    <xf numFmtId="3" fontId="6" fillId="0" borderId="2" xfId="0" applyNumberFormat="1" applyFont="1" applyFill="1" applyBorder="1" applyAlignment="1" applyProtection="1">
      <alignment vertical="center"/>
      <protection hidden="1"/>
    </xf>
    <xf numFmtId="3" fontId="6" fillId="0" borderId="4" xfId="0" applyNumberFormat="1" applyFont="1" applyFill="1" applyBorder="1" applyAlignment="1" applyProtection="1">
      <alignment vertical="center"/>
      <protection hidden="1"/>
    </xf>
    <xf numFmtId="6" fontId="4" fillId="0" borderId="2" xfId="0" applyNumberFormat="1" applyFont="1" applyBorder="1" applyAlignment="1">
      <alignment horizontal="center"/>
    </xf>
    <xf numFmtId="6" fontId="4" fillId="4" borderId="2" xfId="0" applyNumberFormat="1" applyFont="1" applyFill="1" applyBorder="1" applyAlignment="1">
      <alignment horizontal="center"/>
    </xf>
    <xf numFmtId="3" fontId="6" fillId="0" borderId="2" xfId="0" applyNumberFormat="1" applyFont="1" applyFill="1" applyBorder="1" applyAlignment="1" applyProtection="1">
      <alignment vertical="center" wrapText="1"/>
      <protection hidden="1"/>
    </xf>
    <xf numFmtId="3" fontId="6" fillId="0" borderId="4" xfId="0" applyNumberFormat="1" applyFont="1" applyFill="1" applyBorder="1" applyAlignment="1" applyProtection="1">
      <alignment vertical="center" wrapText="1"/>
      <protection hidden="1"/>
    </xf>
    <xf numFmtId="3" fontId="6" fillId="0" borderId="3" xfId="0" applyNumberFormat="1" applyFont="1" applyFill="1" applyBorder="1" applyAlignment="1" applyProtection="1">
      <alignment vertical="center" wrapText="1"/>
      <protection hidden="1"/>
    </xf>
    <xf numFmtId="3" fontId="6" fillId="0" borderId="5" xfId="0" applyNumberFormat="1" applyFont="1" applyFill="1" applyBorder="1" applyAlignment="1" applyProtection="1">
      <alignment vertical="center" wrapText="1"/>
      <protection hidden="1"/>
    </xf>
    <xf numFmtId="38" fontId="4" fillId="0" borderId="1" xfId="0" applyNumberFormat="1" applyFont="1" applyBorder="1" applyAlignment="1">
      <alignment horizontal="center"/>
    </xf>
    <xf numFmtId="38" fontId="3" fillId="2" borderId="0" xfId="0" applyNumberFormat="1" applyFont="1" applyFill="1"/>
    <xf numFmtId="38" fontId="3" fillId="2" borderId="0" xfId="0" applyNumberFormat="1" applyFont="1" applyFill="1" applyAlignment="1">
      <alignment horizontal="center"/>
    </xf>
    <xf numFmtId="38" fontId="0" fillId="0" borderId="2" xfId="0" applyNumberFormat="1" applyBorder="1" applyAlignment="1">
      <alignment horizontal="center"/>
    </xf>
    <xf numFmtId="6" fontId="0" fillId="0" borderId="2" xfId="0" applyNumberFormat="1" applyBorder="1" applyAlignment="1">
      <alignment horizontal="right"/>
    </xf>
    <xf numFmtId="38" fontId="0" fillId="2" borderId="2" xfId="0" applyNumberFormat="1" applyFill="1" applyBorder="1" applyAlignment="1">
      <alignment horizontal="center"/>
    </xf>
    <xf numFmtId="38" fontId="7" fillId="0" borderId="0" xfId="0" applyNumberFormat="1" applyFont="1" applyAlignment="1">
      <alignment horizontal="center"/>
    </xf>
    <xf numFmtId="38" fontId="8" fillId="0" borderId="0" xfId="0" applyNumberFormat="1" applyFont="1" applyAlignment="1">
      <alignment horizontal="left"/>
    </xf>
    <xf numFmtId="38" fontId="0" fillId="0" borderId="2" xfId="0" applyNumberFormat="1" applyFill="1" applyBorder="1" applyAlignment="1">
      <alignment horizontal="center"/>
    </xf>
    <xf numFmtId="38" fontId="3" fillId="0" borderId="2" xfId="0" applyNumberFormat="1" applyFont="1" applyBorder="1" applyAlignment="1">
      <alignment horizontal="right"/>
    </xf>
    <xf numFmtId="38" fontId="9" fillId="0" borderId="0" xfId="0" applyNumberFormat="1" applyFont="1" applyAlignment="1">
      <alignment horizontal="left"/>
    </xf>
    <xf numFmtId="38" fontId="8" fillId="2" borderId="0" xfId="0" applyNumberFormat="1" applyFont="1" applyFill="1" applyAlignment="1">
      <alignment horizontal="center"/>
    </xf>
    <xf numFmtId="6" fontId="3" fillId="0" borderId="2" xfId="0" applyNumberFormat="1" applyFont="1" applyBorder="1" applyAlignment="1">
      <alignment horizontal="center"/>
    </xf>
    <xf numFmtId="6" fontId="3" fillId="0" borderId="1" xfId="0" applyNumberFormat="1" applyFont="1" applyBorder="1" applyAlignment="1">
      <alignment horizontal="right"/>
    </xf>
    <xf numFmtId="38" fontId="8" fillId="0" borderId="0" xfId="0" applyNumberFormat="1" applyFont="1" applyAlignment="1">
      <alignment horizontal="centerContinuous"/>
    </xf>
    <xf numFmtId="38" fontId="3" fillId="0" borderId="0" xfId="0" quotePrefix="1" applyNumberFormat="1" applyFont="1" applyAlignment="1">
      <alignment horizontal="centerContinuous"/>
    </xf>
    <xf numFmtId="6" fontId="0" fillId="0" borderId="3" xfId="0" applyNumberFormat="1" applyBorder="1" applyAlignment="1">
      <alignment horizontal="right"/>
    </xf>
    <xf numFmtId="6" fontId="0" fillId="4" borderId="6" xfId="0" applyNumberFormat="1" applyFill="1" applyBorder="1" applyAlignment="1">
      <alignment horizontal="right"/>
    </xf>
    <xf numFmtId="38" fontId="0" fillId="2" borderId="3" xfId="0" applyNumberFormat="1" applyFill="1" applyBorder="1" applyAlignment="1">
      <alignment horizontal="center"/>
    </xf>
    <xf numFmtId="38" fontId="0" fillId="0" borderId="6" xfId="0" applyNumberFormat="1" applyFill="1" applyBorder="1" applyAlignment="1">
      <alignment horizontal="center"/>
    </xf>
    <xf numFmtId="38" fontId="0" fillId="0" borderId="2" xfId="0" applyNumberFormat="1" applyBorder="1" applyAlignment="1">
      <alignment horizontal="left"/>
    </xf>
    <xf numFmtId="38" fontId="0" fillId="0" borderId="3" xfId="0" applyNumberFormat="1" applyBorder="1" applyAlignment="1">
      <alignment horizontal="left"/>
    </xf>
    <xf numFmtId="38" fontId="3" fillId="0" borderId="6" xfId="0" applyNumberFormat="1" applyFont="1" applyBorder="1" applyAlignment="1">
      <alignment horizontal="left"/>
    </xf>
    <xf numFmtId="164" fontId="0" fillId="0" borderId="0" xfId="1" applyNumberFormat="1" applyFont="1" applyAlignment="1">
      <alignment horizontal="right"/>
    </xf>
    <xf numFmtId="164" fontId="0" fillId="0" borderId="0" xfId="0" applyNumberFormat="1" applyAlignment="1">
      <alignment horizontal="right"/>
    </xf>
    <xf numFmtId="38" fontId="11" fillId="0" borderId="0" xfId="0" applyNumberFormat="1" applyFont="1" applyAlignment="1">
      <alignment horizontal="left"/>
    </xf>
    <xf numFmtId="38" fontId="12" fillId="0" borderId="0" xfId="0" applyNumberFormat="1" applyFont="1" applyAlignment="1">
      <alignment horizontal="left"/>
    </xf>
    <xf numFmtId="38" fontId="0" fillId="0" borderId="0" xfId="0" applyNumberFormat="1" applyAlignment="1">
      <alignment horizontal="left" vertical="top"/>
    </xf>
    <xf numFmtId="165" fontId="4" fillId="0" borderId="2" xfId="1" applyNumberFormat="1" applyFont="1" applyBorder="1"/>
    <xf numFmtId="38" fontId="0" fillId="0" borderId="7" xfId="0" applyNumberFormat="1" applyFont="1" applyBorder="1" applyAlignment="1">
      <alignment horizontal="left" vertical="top"/>
    </xf>
    <xf numFmtId="6" fontId="0" fillId="0" borderId="7" xfId="0" applyNumberFormat="1" applyFont="1" applyBorder="1" applyAlignment="1">
      <alignment horizontal="right"/>
    </xf>
    <xf numFmtId="38" fontId="0" fillId="0" borderId="7" xfId="0" applyNumberFormat="1" applyFont="1" applyBorder="1"/>
    <xf numFmtId="6" fontId="3" fillId="0" borderId="1" xfId="0" applyNumberFormat="1" applyFont="1" applyBorder="1" applyAlignment="1">
      <alignment horizontal="left"/>
    </xf>
    <xf numFmtId="164" fontId="2" fillId="0" borderId="7" xfId="1" applyNumberFormat="1" applyFont="1" applyBorder="1" applyAlignment="1">
      <alignment horizontal="right"/>
    </xf>
    <xf numFmtId="6" fontId="0" fillId="0" borderId="0" xfId="0" applyNumberFormat="1" applyFont="1" applyAlignment="1">
      <alignment horizontal="left"/>
    </xf>
    <xf numFmtId="6" fontId="0" fillId="0" borderId="0" xfId="0" applyNumberFormat="1" applyFont="1" applyAlignment="1">
      <alignment horizontal="right"/>
    </xf>
    <xf numFmtId="38" fontId="7" fillId="2" borderId="0" xfId="0" applyNumberFormat="1" applyFont="1" applyFill="1" applyAlignment="1">
      <alignment horizontal="center"/>
    </xf>
    <xf numFmtId="38" fontId="3" fillId="2" borderId="0" xfId="0" applyNumberFormat="1" applyFont="1" applyFill="1" applyAlignment="1">
      <alignment horizontal="left"/>
    </xf>
    <xf numFmtId="38" fontId="0" fillId="0" borderId="0" xfId="0" applyNumberFormat="1" applyFont="1" applyAlignment="1">
      <alignment horizontal="right"/>
    </xf>
    <xf numFmtId="38" fontId="0" fillId="0" borderId="0" xfId="0" applyNumberFormat="1" applyAlignment="1">
      <alignment horizontal="centerContinuous"/>
    </xf>
    <xf numFmtId="0" fontId="4" fillId="2" borderId="0" xfId="0" applyFont="1" applyFill="1"/>
    <xf numFmtId="0" fontId="13" fillId="2" borderId="0" xfId="0" applyFont="1" applyFill="1"/>
    <xf numFmtId="0" fontId="14" fillId="0" borderId="0" xfId="0" applyFont="1" applyAlignment="1">
      <alignment vertical="center"/>
    </xf>
    <xf numFmtId="0" fontId="15" fillId="0" borderId="0" xfId="0" applyFont="1"/>
    <xf numFmtId="0" fontId="14" fillId="0" borderId="0" xfId="0" applyFont="1" applyAlignment="1" applyProtection="1">
      <alignment horizontal="left"/>
      <protection hidden="1"/>
    </xf>
    <xf numFmtId="2" fontId="15" fillId="0" borderId="0" xfId="0" applyNumberFormat="1" applyFont="1"/>
    <xf numFmtId="38" fontId="14" fillId="0" borderId="1" xfId="0" applyNumberFormat="1" applyFont="1" applyBorder="1" applyAlignment="1">
      <alignment horizontal="center"/>
    </xf>
    <xf numFmtId="0" fontId="14" fillId="0" borderId="0" xfId="0" applyFont="1"/>
    <xf numFmtId="9" fontId="14" fillId="0" borderId="1" xfId="0" applyNumberFormat="1" applyFont="1" applyBorder="1" applyAlignment="1">
      <alignment horizontal="center"/>
    </xf>
    <xf numFmtId="10" fontId="14" fillId="0" borderId="1" xfId="0" applyNumberFormat="1" applyFont="1" applyBorder="1"/>
    <xf numFmtId="3" fontId="16" fillId="0" borderId="2" xfId="0" applyNumberFormat="1" applyFont="1" applyFill="1" applyBorder="1" applyAlignment="1" applyProtection="1">
      <alignment vertical="center"/>
      <protection hidden="1"/>
    </xf>
    <xf numFmtId="3" fontId="16" fillId="0" borderId="2" xfId="0" applyNumberFormat="1" applyFont="1" applyFill="1" applyBorder="1" applyAlignment="1" applyProtection="1">
      <alignment vertical="center" wrapText="1"/>
      <protection hidden="1"/>
    </xf>
    <xf numFmtId="3" fontId="16" fillId="0" borderId="3" xfId="0" applyNumberFormat="1" applyFont="1" applyFill="1" applyBorder="1" applyAlignment="1" applyProtection="1">
      <alignment vertical="center" wrapText="1"/>
      <protection hidden="1"/>
    </xf>
    <xf numFmtId="3" fontId="16" fillId="6" borderId="2" xfId="0" applyNumberFormat="1" applyFont="1" applyFill="1" applyBorder="1" applyAlignment="1" applyProtection="1">
      <alignment vertical="center" wrapText="1"/>
      <protection hidden="1"/>
    </xf>
    <xf numFmtId="3" fontId="16" fillId="6" borderId="2" xfId="0" applyNumberFormat="1" applyFont="1" applyFill="1" applyBorder="1" applyAlignment="1" applyProtection="1">
      <alignment vertical="center"/>
      <protection hidden="1"/>
    </xf>
    <xf numFmtId="0" fontId="17" fillId="0" borderId="2" xfId="0" applyFont="1" applyFill="1" applyBorder="1" applyAlignment="1" applyProtection="1">
      <alignment vertical="center"/>
      <protection hidden="1"/>
    </xf>
    <xf numFmtId="0" fontId="17" fillId="6" borderId="2" xfId="0" applyFont="1" applyFill="1" applyBorder="1" applyAlignment="1" applyProtection="1">
      <alignment vertical="center"/>
      <protection hidden="1"/>
    </xf>
    <xf numFmtId="0" fontId="15" fillId="0" borderId="0" xfId="0" applyFont="1" applyAlignment="1">
      <alignment vertical="center"/>
    </xf>
    <xf numFmtId="0" fontId="14" fillId="3" borderId="4" xfId="0" applyFont="1" applyFill="1" applyBorder="1" applyAlignment="1">
      <alignment horizontal="center" vertical="center"/>
    </xf>
    <xf numFmtId="0" fontId="18" fillId="0" borderId="0" xfId="0" applyFont="1" applyAlignment="1">
      <alignment horizontal="center"/>
    </xf>
    <xf numFmtId="0" fontId="20" fillId="0" borderId="0" xfId="0" applyFont="1" applyAlignment="1">
      <alignment vertical="center"/>
    </xf>
    <xf numFmtId="0" fontId="20"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horizontal="center" vertical="center"/>
    </xf>
    <xf numFmtId="0" fontId="19" fillId="0" borderId="11" xfId="0" applyFont="1" applyBorder="1" applyAlignment="1">
      <alignment vertical="center" wrapText="1"/>
    </xf>
    <xf numFmtId="0" fontId="19" fillId="0" borderId="12" xfId="0" applyFont="1" applyBorder="1" applyAlignment="1">
      <alignment horizontal="center" vertical="center"/>
    </xf>
    <xf numFmtId="0" fontId="19" fillId="0" borderId="13" xfId="0" applyFont="1" applyBorder="1" applyAlignment="1">
      <alignment vertical="center" wrapText="1"/>
    </xf>
    <xf numFmtId="0" fontId="19" fillId="0" borderId="14" xfId="0" applyFont="1" applyBorder="1" applyAlignment="1">
      <alignment horizontal="center" vertical="center"/>
    </xf>
    <xf numFmtId="0" fontId="20" fillId="0" borderId="15" xfId="0" applyFont="1" applyBorder="1" applyAlignment="1">
      <alignment vertical="center" wrapText="1"/>
    </xf>
    <xf numFmtId="0" fontId="20" fillId="0" borderId="16" xfId="0" applyFont="1" applyBorder="1" applyAlignment="1">
      <alignment horizontal="center" vertical="center"/>
    </xf>
    <xf numFmtId="14" fontId="20" fillId="0" borderId="0" xfId="0" applyNumberFormat="1" applyFont="1" applyAlignment="1">
      <alignment vertical="center"/>
    </xf>
    <xf numFmtId="0" fontId="15" fillId="0" borderId="0" xfId="0" applyFont="1" applyAlignment="1">
      <alignment horizontal="center"/>
    </xf>
    <xf numFmtId="38" fontId="14" fillId="0" borderId="0" xfId="0" applyNumberFormat="1" applyFont="1" applyBorder="1" applyAlignment="1">
      <alignment horizontal="center"/>
    </xf>
    <xf numFmtId="10" fontId="14" fillId="0" borderId="0" xfId="0" applyNumberFormat="1" applyFont="1" applyBorder="1"/>
    <xf numFmtId="0" fontId="16" fillId="0" borderId="0" xfId="0" applyFont="1" applyFill="1"/>
    <xf numFmtId="10" fontId="15" fillId="6" borderId="2" xfId="0" applyNumberFormat="1" applyFont="1" applyFill="1" applyBorder="1"/>
    <xf numFmtId="0" fontId="0" fillId="0" borderId="0" xfId="0" applyAlignment="1">
      <alignment wrapText="1"/>
    </xf>
    <xf numFmtId="0" fontId="19" fillId="7" borderId="12" xfId="0" applyFont="1" applyFill="1" applyBorder="1" applyAlignment="1">
      <alignment horizontal="center" vertical="center"/>
    </xf>
    <xf numFmtId="0" fontId="0" fillId="0" borderId="17" xfId="0" applyBorder="1"/>
    <xf numFmtId="38" fontId="0" fillId="0" borderId="0" xfId="0" applyNumberFormat="1" applyAlignment="1" applyProtection="1">
      <alignment horizontal="right"/>
    </xf>
    <xf numFmtId="38" fontId="3" fillId="0" borderId="0" xfId="0" applyNumberFormat="1" applyFont="1" applyFill="1" applyProtection="1"/>
    <xf numFmtId="38" fontId="0" fillId="0" borderId="0" xfId="0" applyNumberFormat="1" applyProtection="1"/>
    <xf numFmtId="38" fontId="8" fillId="0" borderId="0" xfId="0" applyNumberFormat="1" applyFont="1" applyAlignment="1" applyProtection="1">
      <alignment horizontal="centerContinuous"/>
    </xf>
    <xf numFmtId="38" fontId="7" fillId="0" borderId="0" xfId="0" applyNumberFormat="1" applyFont="1" applyAlignment="1" applyProtection="1">
      <alignment horizontal="center"/>
    </xf>
    <xf numFmtId="38" fontId="0" fillId="0" borderId="0" xfId="0" applyNumberFormat="1" applyFont="1" applyAlignment="1" applyProtection="1">
      <alignment horizontal="right"/>
    </xf>
    <xf numFmtId="38" fontId="3" fillId="0" borderId="0" xfId="0" applyNumberFormat="1" applyFont="1" applyProtection="1"/>
    <xf numFmtId="38" fontId="12" fillId="0" borderId="0" xfId="0" applyNumberFormat="1" applyFont="1" applyAlignment="1" applyProtection="1">
      <alignment horizontal="left"/>
    </xf>
    <xf numFmtId="38" fontId="8" fillId="2" borderId="0" xfId="0" applyNumberFormat="1" applyFont="1" applyFill="1" applyAlignment="1" applyProtection="1">
      <alignment horizontal="center"/>
      <protection locked="0"/>
    </xf>
    <xf numFmtId="38" fontId="0" fillId="0" borderId="0" xfId="0" applyNumberFormat="1" applyAlignment="1" applyProtection="1">
      <alignment horizontal="right"/>
      <protection hidden="1"/>
    </xf>
    <xf numFmtId="38" fontId="3" fillId="0" borderId="0" xfId="0" applyNumberFormat="1" applyFont="1" applyFill="1" applyAlignment="1" applyProtection="1">
      <alignment horizontal="left"/>
      <protection hidden="1"/>
    </xf>
    <xf numFmtId="38" fontId="3" fillId="0" borderId="0" xfId="0" applyNumberFormat="1" applyFont="1" applyFill="1" applyAlignment="1" applyProtection="1">
      <alignment horizontal="center"/>
      <protection hidden="1"/>
    </xf>
    <xf numFmtId="38" fontId="8" fillId="0" borderId="0" xfId="0" applyNumberFormat="1" applyFont="1" applyAlignment="1" applyProtection="1">
      <alignment horizontal="left"/>
      <protection hidden="1"/>
    </xf>
    <xf numFmtId="38" fontId="0" fillId="0" borderId="0" xfId="0" applyNumberFormat="1" applyProtection="1">
      <protection hidden="1"/>
    </xf>
    <xf numFmtId="38" fontId="0" fillId="0" borderId="0" xfId="0" applyNumberFormat="1" applyAlignment="1" applyProtection="1">
      <alignment horizontal="center"/>
      <protection hidden="1"/>
    </xf>
    <xf numFmtId="6" fontId="0" fillId="0" borderId="2" xfId="0" applyNumberFormat="1" applyBorder="1" applyAlignment="1" applyProtection="1">
      <alignment horizontal="right"/>
      <protection hidden="1"/>
    </xf>
    <xf numFmtId="38" fontId="0" fillId="0" borderId="2" xfId="0" applyNumberFormat="1" applyBorder="1" applyAlignment="1" applyProtection="1">
      <alignment horizontal="center"/>
      <protection hidden="1"/>
    </xf>
    <xf numFmtId="6" fontId="3" fillId="0" borderId="2" xfId="0" applyNumberFormat="1" applyFont="1" applyBorder="1" applyAlignment="1" applyProtection="1">
      <alignment horizontal="center"/>
      <protection hidden="1"/>
    </xf>
    <xf numFmtId="38" fontId="0" fillId="0" borderId="2" xfId="0" applyNumberFormat="1" applyFill="1" applyBorder="1" applyAlignment="1" applyProtection="1">
      <alignment horizontal="center"/>
      <protection hidden="1"/>
    </xf>
    <xf numFmtId="38" fontId="0" fillId="0" borderId="0" xfId="0" applyNumberFormat="1" applyAlignment="1" applyProtection="1">
      <alignment horizontal="left"/>
      <protection hidden="1"/>
    </xf>
    <xf numFmtId="6" fontId="0" fillId="0" borderId="0" xfId="0" applyNumberFormat="1" applyAlignment="1" applyProtection="1">
      <alignment horizontal="right"/>
      <protection hidden="1"/>
    </xf>
    <xf numFmtId="6" fontId="3" fillId="0" borderId="0" xfId="0" applyNumberFormat="1" applyFont="1" applyAlignment="1" applyProtection="1">
      <alignment horizontal="right"/>
      <protection hidden="1"/>
    </xf>
    <xf numFmtId="38" fontId="0" fillId="0" borderId="7" xfId="0" applyNumberFormat="1" applyFont="1" applyBorder="1" applyAlignment="1" applyProtection="1">
      <alignment horizontal="left" vertical="top"/>
      <protection hidden="1"/>
    </xf>
    <xf numFmtId="6" fontId="0" fillId="0" borderId="7" xfId="0" applyNumberFormat="1" applyFont="1" applyBorder="1" applyAlignment="1" applyProtection="1">
      <alignment horizontal="right"/>
      <protection hidden="1"/>
    </xf>
    <xf numFmtId="6" fontId="3" fillId="0" borderId="7" xfId="0" applyNumberFormat="1" applyFont="1" applyBorder="1" applyAlignment="1" applyProtection="1">
      <alignment horizontal="right"/>
      <protection hidden="1"/>
    </xf>
    <xf numFmtId="164" fontId="0" fillId="0" borderId="0" xfId="1" applyNumberFormat="1" applyFont="1" applyAlignment="1" applyProtection="1">
      <alignment horizontal="right"/>
      <protection hidden="1"/>
    </xf>
    <xf numFmtId="38" fontId="0" fillId="0" borderId="7" xfId="0" applyNumberFormat="1" applyBorder="1" applyProtection="1">
      <protection hidden="1"/>
    </xf>
    <xf numFmtId="164" fontId="2" fillId="0" borderId="7" xfId="1" applyNumberFormat="1" applyFont="1" applyBorder="1" applyAlignment="1" applyProtection="1">
      <alignment horizontal="right"/>
      <protection hidden="1"/>
    </xf>
    <xf numFmtId="6" fontId="0" fillId="0" borderId="0" xfId="0" applyNumberFormat="1" applyFont="1" applyAlignment="1" applyProtection="1">
      <alignment horizontal="left"/>
      <protection hidden="1"/>
    </xf>
    <xf numFmtId="6" fontId="3" fillId="9" borderId="1" xfId="0" applyNumberFormat="1" applyFont="1" applyFill="1" applyBorder="1" applyAlignment="1" applyProtection="1">
      <alignment horizontal="left"/>
      <protection hidden="1"/>
    </xf>
    <xf numFmtId="38" fontId="0" fillId="9" borderId="1" xfId="0" applyNumberFormat="1" applyFill="1" applyBorder="1" applyProtection="1">
      <protection hidden="1"/>
    </xf>
    <xf numFmtId="6" fontId="3" fillId="9" borderId="1" xfId="0" applyNumberFormat="1" applyFont="1" applyFill="1" applyBorder="1" applyAlignment="1" applyProtection="1">
      <alignment horizontal="right"/>
      <protection hidden="1"/>
    </xf>
    <xf numFmtId="38" fontId="9" fillId="0" borderId="0" xfId="0" applyNumberFormat="1" applyFont="1" applyAlignment="1" applyProtection="1">
      <alignment horizontal="left"/>
      <protection hidden="1"/>
    </xf>
    <xf numFmtId="38" fontId="7" fillId="0" borderId="0" xfId="0" applyNumberFormat="1" applyFont="1" applyFill="1" applyAlignment="1" applyProtection="1">
      <alignment horizontal="center"/>
      <protection hidden="1"/>
    </xf>
    <xf numFmtId="38" fontId="3" fillId="0" borderId="0" xfId="0" applyNumberFormat="1" applyFont="1" applyProtection="1">
      <protection hidden="1"/>
    </xf>
    <xf numFmtId="3" fontId="23" fillId="0" borderId="0" xfId="0" applyNumberFormat="1" applyFont="1" applyFill="1" applyProtection="1">
      <protection hidden="1"/>
    </xf>
    <xf numFmtId="38" fontId="24" fillId="0" borderId="0" xfId="0" applyNumberFormat="1" applyFont="1" applyFill="1" applyAlignment="1" applyProtection="1">
      <alignment horizontal="left"/>
      <protection hidden="1"/>
    </xf>
    <xf numFmtId="6" fontId="0" fillId="0" borderId="2" xfId="0" applyNumberFormat="1" applyFill="1" applyBorder="1" applyAlignment="1" applyProtection="1">
      <alignment horizontal="right"/>
      <protection hidden="1"/>
    </xf>
    <xf numFmtId="38" fontId="3" fillId="0" borderId="0" xfId="0" applyNumberFormat="1" applyFont="1" applyFill="1" applyAlignment="1">
      <alignment horizontal="center"/>
    </xf>
    <xf numFmtId="38" fontId="7" fillId="0" borderId="0" xfId="0" applyNumberFormat="1" applyFont="1" applyFill="1" applyAlignment="1">
      <alignment horizontal="center"/>
    </xf>
    <xf numFmtId="38" fontId="3" fillId="0" borderId="0" xfId="0" applyNumberFormat="1" applyFont="1" applyFill="1"/>
    <xf numFmtId="38" fontId="0" fillId="2" borderId="0" xfId="0" applyNumberFormat="1" applyFill="1" applyAlignment="1">
      <alignment horizontal="center"/>
    </xf>
    <xf numFmtId="0" fontId="26" fillId="0" borderId="0" xfId="0" applyFont="1" applyProtection="1">
      <protection hidden="1"/>
    </xf>
    <xf numFmtId="6" fontId="0" fillId="0" borderId="0" xfId="0" applyNumberFormat="1" applyBorder="1" applyAlignment="1" applyProtection="1">
      <alignment horizontal="right"/>
      <protection hidden="1"/>
    </xf>
    <xf numFmtId="38" fontId="0" fillId="0" borderId="0" xfId="0" applyNumberFormat="1" applyBorder="1" applyAlignment="1" applyProtection="1">
      <alignment horizontal="center"/>
      <protection hidden="1"/>
    </xf>
    <xf numFmtId="6" fontId="3" fillId="0" borderId="0" xfId="0" applyNumberFormat="1" applyFont="1" applyBorder="1" applyAlignment="1" applyProtection="1">
      <alignment horizontal="center"/>
      <protection hidden="1"/>
    </xf>
    <xf numFmtId="6" fontId="3" fillId="0" borderId="32" xfId="0" applyNumberFormat="1" applyFont="1" applyBorder="1" applyAlignment="1" applyProtection="1">
      <alignment horizontal="center"/>
      <protection hidden="1"/>
    </xf>
    <xf numFmtId="3" fontId="16" fillId="0" borderId="3" xfId="0" applyNumberFormat="1" applyFont="1" applyFill="1" applyBorder="1" applyAlignment="1" applyProtection="1">
      <alignment vertical="center"/>
      <protection hidden="1"/>
    </xf>
    <xf numFmtId="0" fontId="15" fillId="0" borderId="3" xfId="0" applyFont="1" applyBorder="1" applyAlignment="1">
      <alignment wrapText="1"/>
    </xf>
    <xf numFmtId="38" fontId="14" fillId="3" borderId="4" xfId="0" applyNumberFormat="1" applyFont="1" applyFill="1" applyBorder="1"/>
    <xf numFmtId="38" fontId="14" fillId="5" borderId="35" xfId="0" applyNumberFormat="1" applyFont="1" applyFill="1" applyBorder="1" applyAlignment="1">
      <alignment horizontal="center" vertical="center"/>
    </xf>
    <xf numFmtId="38" fontId="14" fillId="5" borderId="36" xfId="0" applyNumberFormat="1" applyFont="1" applyFill="1" applyBorder="1" applyAlignment="1">
      <alignment horizontal="center" vertical="center"/>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5" fillId="0" borderId="0" xfId="0" applyFont="1" applyFill="1"/>
    <xf numFmtId="38" fontId="3" fillId="0" borderId="3" xfId="0" applyNumberFormat="1" applyFont="1" applyBorder="1" applyAlignment="1">
      <alignment horizontal="right"/>
    </xf>
    <xf numFmtId="38" fontId="0" fillId="0" borderId="18" xfId="0" applyNumberFormat="1" applyBorder="1" applyAlignment="1" applyProtection="1">
      <alignment horizontal="left"/>
      <protection hidden="1"/>
    </xf>
    <xf numFmtId="38" fontId="0" fillId="0" borderId="27" xfId="0" applyNumberFormat="1" applyBorder="1" applyAlignment="1" applyProtection="1">
      <alignment horizontal="left"/>
      <protection hidden="1"/>
    </xf>
    <xf numFmtId="0" fontId="33" fillId="0" borderId="0" xfId="0" applyFont="1" applyBorder="1" applyAlignment="1">
      <alignment horizontal="centerContinuous"/>
    </xf>
    <xf numFmtId="0" fontId="3" fillId="0" borderId="0" xfId="0" applyFont="1" applyAlignment="1">
      <alignment horizontal="right"/>
    </xf>
    <xf numFmtId="0" fontId="3" fillId="0" borderId="0" xfId="0" applyFont="1" applyBorder="1" applyAlignment="1">
      <alignment horizontal="center" vertical="center"/>
    </xf>
    <xf numFmtId="0" fontId="3" fillId="3" borderId="2" xfId="0" quotePrefix="1" applyFont="1" applyFill="1" applyBorder="1" applyAlignment="1">
      <alignment horizontal="center" vertical="center"/>
    </xf>
    <xf numFmtId="0" fontId="3" fillId="3" borderId="3" xfId="0" quotePrefix="1" applyFont="1" applyFill="1" applyBorder="1" applyAlignment="1">
      <alignment horizontal="center" vertical="center"/>
    </xf>
    <xf numFmtId="0" fontId="3" fillId="3" borderId="3" xfId="0" applyFont="1" applyFill="1" applyBorder="1" applyAlignment="1">
      <alignment horizontal="center" vertical="center"/>
    </xf>
    <xf numFmtId="0" fontId="31" fillId="0" borderId="2" xfId="0" applyFont="1" applyFill="1" applyBorder="1" applyAlignment="1" applyProtection="1">
      <alignment vertical="center"/>
      <protection hidden="1"/>
    </xf>
    <xf numFmtId="3" fontId="31" fillId="0" borderId="2" xfId="0" applyNumberFormat="1" applyFont="1" applyFill="1" applyBorder="1" applyAlignment="1" applyProtection="1">
      <alignment vertical="center"/>
      <protection hidden="1"/>
    </xf>
    <xf numFmtId="0" fontId="31" fillId="0" borderId="0" xfId="0" applyFont="1" applyFill="1" applyBorder="1" applyAlignment="1" applyProtection="1">
      <alignment horizontal="center"/>
      <protection hidden="1"/>
    </xf>
    <xf numFmtId="0" fontId="3" fillId="0" borderId="0" xfId="0" applyFont="1" applyAlignment="1"/>
    <xf numFmtId="0" fontId="0" fillId="0" borderId="0" xfId="0" applyFont="1" applyAlignment="1"/>
    <xf numFmtId="0" fontId="0" fillId="0" borderId="0" xfId="0" applyFont="1" applyBorder="1" applyAlignment="1"/>
    <xf numFmtId="0" fontId="3" fillId="0" borderId="0" xfId="0" applyFont="1" applyBorder="1" applyAlignment="1"/>
    <xf numFmtId="0" fontId="24" fillId="0" borderId="0" xfId="0" applyFont="1" applyBorder="1" applyAlignment="1"/>
    <xf numFmtId="0" fontId="0" fillId="0" borderId="0" xfId="0" applyFont="1" applyFill="1" applyAlignment="1"/>
    <xf numFmtId="38" fontId="31" fillId="0" borderId="2" xfId="0" applyNumberFormat="1" applyFont="1" applyFill="1" applyBorder="1" applyAlignment="1" applyProtection="1">
      <protection hidden="1"/>
    </xf>
    <xf numFmtId="38" fontId="34" fillId="0" borderId="2" xfId="0" applyNumberFormat="1" applyFont="1" applyFill="1" applyBorder="1" applyAlignment="1" applyProtection="1">
      <protection hidden="1"/>
    </xf>
    <xf numFmtId="38" fontId="35" fillId="3" borderId="2" xfId="0" applyNumberFormat="1" applyFont="1" applyFill="1" applyBorder="1" applyAlignment="1"/>
    <xf numFmtId="3" fontId="31" fillId="0" borderId="0" xfId="0" applyNumberFormat="1" applyFont="1" applyFill="1" applyBorder="1" applyAlignment="1" applyProtection="1">
      <alignment vertical="center"/>
      <protection hidden="1"/>
    </xf>
    <xf numFmtId="38" fontId="31" fillId="0" borderId="0" xfId="0" applyNumberFormat="1" applyFont="1" applyFill="1" applyBorder="1" applyAlignment="1" applyProtection="1">
      <protection hidden="1"/>
    </xf>
    <xf numFmtId="0" fontId="35" fillId="0" borderId="0" xfId="0" applyFont="1" applyBorder="1" applyAlignment="1"/>
    <xf numFmtId="38" fontId="36" fillId="0" borderId="1" xfId="0" applyNumberFormat="1" applyFont="1" applyBorder="1" applyAlignment="1"/>
    <xf numFmtId="6" fontId="0" fillId="0" borderId="0" xfId="0" applyNumberFormat="1" applyFont="1" applyAlignment="1"/>
    <xf numFmtId="0" fontId="0" fillId="0" borderId="0" xfId="0" applyAlignment="1"/>
    <xf numFmtId="0" fontId="31" fillId="6" borderId="2" xfId="0" applyFont="1" applyFill="1" applyBorder="1" applyAlignment="1" applyProtection="1">
      <alignment vertical="center"/>
      <protection hidden="1"/>
    </xf>
    <xf numFmtId="38" fontId="31" fillId="6" borderId="2" xfId="0" applyNumberFormat="1" applyFont="1" applyFill="1" applyBorder="1" applyAlignment="1" applyProtection="1">
      <protection hidden="1"/>
    </xf>
    <xf numFmtId="38" fontId="34" fillId="6" borderId="2" xfId="0" applyNumberFormat="1" applyFont="1" applyFill="1" applyBorder="1" applyAlignment="1" applyProtection="1">
      <protection hidden="1"/>
    </xf>
    <xf numFmtId="0" fontId="0" fillId="6" borderId="0" xfId="0" applyFont="1" applyFill="1" applyAlignment="1"/>
    <xf numFmtId="0" fontId="26" fillId="0" borderId="0" xfId="0" applyFont="1" applyBorder="1" applyAlignment="1"/>
    <xf numFmtId="0" fontId="26" fillId="0" borderId="0" xfId="0" applyFont="1" applyAlignment="1"/>
    <xf numFmtId="0" fontId="37" fillId="0" borderId="0" xfId="0" applyFont="1" applyBorder="1" applyAlignment="1">
      <alignment horizontal="center"/>
    </xf>
    <xf numFmtId="0" fontId="26" fillId="0" borderId="0" xfId="0" applyFont="1" applyBorder="1"/>
    <xf numFmtId="0" fontId="24" fillId="0" borderId="0" xfId="0" quotePrefix="1" applyFont="1" applyBorder="1" applyAlignment="1">
      <alignment horizontal="right"/>
    </xf>
    <xf numFmtId="0" fontId="26" fillId="0" borderId="0" xfId="0" applyFont="1" applyFill="1" applyBorder="1" applyAlignment="1">
      <alignment horizontal="center"/>
    </xf>
    <xf numFmtId="0" fontId="16" fillId="0" borderId="0" xfId="0" applyFont="1" applyAlignment="1">
      <alignment horizontal="right"/>
    </xf>
    <xf numFmtId="3" fontId="16" fillId="0" borderId="0" xfId="0" applyNumberFormat="1" applyFont="1"/>
    <xf numFmtId="3" fontId="26" fillId="0" borderId="0" xfId="0" applyNumberFormat="1" applyFont="1" applyAlignment="1"/>
    <xf numFmtId="0" fontId="26" fillId="0" borderId="0" xfId="0" applyFont="1" applyFill="1" applyAlignment="1"/>
    <xf numFmtId="0" fontId="26" fillId="0" borderId="0" xfId="0" applyFont="1" applyFill="1" applyBorder="1" applyAlignment="1"/>
    <xf numFmtId="0" fontId="16" fillId="6" borderId="0" xfId="0" applyFont="1" applyFill="1" applyAlignment="1">
      <alignment horizontal="right"/>
    </xf>
    <xf numFmtId="3" fontId="16" fillId="6" borderId="0" xfId="0" applyNumberFormat="1" applyFont="1" applyFill="1"/>
    <xf numFmtId="3" fontId="26" fillId="6" borderId="0" xfId="0" applyNumberFormat="1" applyFont="1" applyFill="1" applyAlignment="1"/>
    <xf numFmtId="6" fontId="26" fillId="0" borderId="0" xfId="0" applyNumberFormat="1" applyFont="1" applyAlignment="1"/>
    <xf numFmtId="0" fontId="3" fillId="8" borderId="17" xfId="0" applyFont="1" applyFill="1" applyBorder="1" applyAlignment="1" applyProtection="1">
      <alignment horizontal="center" vertical="center"/>
      <protection hidden="1"/>
    </xf>
    <xf numFmtId="0" fontId="24" fillId="0" borderId="0" xfId="0" applyFont="1" applyBorder="1" applyAlignment="1" applyProtection="1">
      <alignment horizontal="center" vertical="center" wrapText="1"/>
      <protection hidden="1"/>
    </xf>
    <xf numFmtId="6" fontId="26" fillId="0" borderId="0" xfId="0" applyNumberFormat="1" applyFont="1" applyAlignment="1" applyProtection="1">
      <protection hidden="1"/>
    </xf>
    <xf numFmtId="0" fontId="26" fillId="0" borderId="0" xfId="0" applyFont="1" applyAlignment="1" applyProtection="1">
      <protection hidden="1"/>
    </xf>
    <xf numFmtId="0" fontId="0" fillId="0" borderId="0" xfId="0" applyFont="1" applyAlignment="1" applyProtection="1">
      <protection hidden="1"/>
    </xf>
    <xf numFmtId="0" fontId="3" fillId="10" borderId="3" xfId="0" applyFont="1" applyFill="1" applyBorder="1" applyAlignment="1" applyProtection="1">
      <alignment horizontal="center" vertical="center"/>
      <protection hidden="1"/>
    </xf>
    <xf numFmtId="0" fontId="3" fillId="8" borderId="3" xfId="0" quotePrefix="1" applyFont="1" applyFill="1" applyBorder="1" applyAlignment="1" applyProtection="1">
      <alignment horizontal="center" vertical="center"/>
      <protection hidden="1"/>
    </xf>
    <xf numFmtId="0" fontId="3" fillId="8" borderId="3"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3" fillId="12" borderId="3" xfId="0" applyFont="1" applyFill="1" applyBorder="1" applyAlignment="1" applyProtection="1">
      <alignment horizontal="center" vertical="center" wrapText="1"/>
      <protection hidden="1"/>
    </xf>
    <xf numFmtId="0" fontId="3" fillId="12" borderId="2" xfId="0" applyFont="1" applyFill="1" applyBorder="1" applyAlignment="1" applyProtection="1">
      <alignment horizontal="center" vertical="center" wrapText="1"/>
      <protection hidden="1"/>
    </xf>
    <xf numFmtId="0" fontId="26" fillId="13" borderId="17" xfId="0" applyFont="1" applyFill="1" applyBorder="1" applyAlignment="1" applyProtection="1">
      <alignment horizontal="center" vertical="center" wrapText="1"/>
      <protection hidden="1"/>
    </xf>
    <xf numFmtId="0" fontId="24" fillId="12" borderId="48" xfId="0" applyFont="1" applyFill="1" applyBorder="1" applyAlignment="1" applyProtection="1">
      <alignment horizontal="center"/>
      <protection hidden="1"/>
    </xf>
    <xf numFmtId="0" fontId="24" fillId="12" borderId="3" xfId="0" applyFont="1" applyFill="1" applyBorder="1" applyAlignment="1" applyProtection="1">
      <alignment horizontal="center" vertical="center" wrapText="1"/>
      <protection hidden="1"/>
    </xf>
    <xf numFmtId="0" fontId="24" fillId="12" borderId="31" xfId="0" applyFont="1" applyFill="1" applyBorder="1" applyAlignment="1" applyProtection="1">
      <alignment horizontal="center" vertical="center" wrapText="1"/>
      <protection hidden="1"/>
    </xf>
    <xf numFmtId="38" fontId="35" fillId="0" borderId="2" xfId="0" applyNumberFormat="1" applyFont="1" applyBorder="1" applyAlignment="1" applyProtection="1">
      <protection hidden="1"/>
    </xf>
    <xf numFmtId="38" fontId="36" fillId="0" borderId="2" xfId="0" applyNumberFormat="1" applyFont="1" applyBorder="1" applyAlignment="1" applyProtection="1">
      <protection hidden="1"/>
    </xf>
    <xf numFmtId="38" fontId="36" fillId="3" borderId="2" xfId="0" applyNumberFormat="1" applyFont="1" applyFill="1" applyBorder="1" applyAlignment="1" applyProtection="1">
      <protection hidden="1"/>
    </xf>
    <xf numFmtId="38" fontId="31" fillId="0" borderId="2" xfId="0" applyNumberFormat="1" applyFont="1" applyBorder="1" applyProtection="1">
      <protection hidden="1"/>
    </xf>
    <xf numFmtId="38" fontId="34" fillId="0" borderId="46" xfId="0" applyNumberFormat="1" applyFont="1" applyBorder="1" applyAlignment="1" applyProtection="1">
      <protection hidden="1"/>
    </xf>
    <xf numFmtId="10" fontId="34" fillId="0" borderId="0" xfId="0" applyNumberFormat="1" applyFont="1" applyBorder="1" applyAlignment="1" applyProtection="1">
      <protection hidden="1"/>
    </xf>
    <xf numFmtId="3" fontId="26" fillId="0" borderId="0" xfId="0" applyNumberFormat="1" applyFont="1" applyAlignment="1" applyProtection="1">
      <protection hidden="1"/>
    </xf>
    <xf numFmtId="6" fontId="0" fillId="0" borderId="0" xfId="0" applyNumberFormat="1" applyFont="1" applyAlignment="1" applyProtection="1">
      <protection hidden="1"/>
    </xf>
    <xf numFmtId="38" fontId="35" fillId="6" borderId="2" xfId="0" applyNumberFormat="1" applyFont="1" applyFill="1" applyBorder="1" applyAlignment="1" applyProtection="1">
      <protection hidden="1"/>
    </xf>
    <xf numFmtId="38" fontId="36" fillId="6" borderId="2" xfId="0" applyNumberFormat="1" applyFont="1" applyFill="1" applyBorder="1" applyAlignment="1" applyProtection="1">
      <protection hidden="1"/>
    </xf>
    <xf numFmtId="38" fontId="31" fillId="6" borderId="2" xfId="0" applyNumberFormat="1" applyFont="1" applyFill="1" applyBorder="1" applyProtection="1">
      <protection hidden="1"/>
    </xf>
    <xf numFmtId="38" fontId="34" fillId="6" borderId="46" xfId="0" applyNumberFormat="1" applyFont="1" applyFill="1" applyBorder="1" applyAlignment="1" applyProtection="1">
      <protection hidden="1"/>
    </xf>
    <xf numFmtId="10" fontId="34" fillId="6" borderId="0" xfId="0" applyNumberFormat="1" applyFont="1" applyFill="1" applyBorder="1" applyAlignment="1" applyProtection="1">
      <protection hidden="1"/>
    </xf>
    <xf numFmtId="6" fontId="26" fillId="6" borderId="0" xfId="0" applyNumberFormat="1" applyFont="1" applyFill="1" applyAlignment="1" applyProtection="1">
      <protection hidden="1"/>
    </xf>
    <xf numFmtId="3" fontId="26" fillId="6" borderId="0" xfId="0" applyNumberFormat="1" applyFont="1" applyFill="1" applyAlignment="1" applyProtection="1">
      <protection hidden="1"/>
    </xf>
    <xf numFmtId="6" fontId="0" fillId="6" borderId="0" xfId="0" applyNumberFormat="1" applyFont="1" applyFill="1" applyAlignment="1" applyProtection="1">
      <protection hidden="1"/>
    </xf>
    <xf numFmtId="38" fontId="35" fillId="0" borderId="0" xfId="0" applyNumberFormat="1" applyFont="1" applyBorder="1" applyAlignment="1" applyProtection="1">
      <protection hidden="1"/>
    </xf>
    <xf numFmtId="38" fontId="36" fillId="0" borderId="0" xfId="0" applyNumberFormat="1" applyFont="1" applyBorder="1" applyAlignment="1" applyProtection="1">
      <protection hidden="1"/>
    </xf>
    <xf numFmtId="38" fontId="31" fillId="0" borderId="0" xfId="0" applyNumberFormat="1" applyFont="1" applyBorder="1" applyAlignment="1" applyProtection="1">
      <protection hidden="1"/>
    </xf>
    <xf numFmtId="38" fontId="34" fillId="0" borderId="0" xfId="0" applyNumberFormat="1" applyFont="1" applyBorder="1" applyAlignment="1" applyProtection="1">
      <protection hidden="1"/>
    </xf>
    <xf numFmtId="38" fontId="35" fillId="3" borderId="2" xfId="0" applyNumberFormat="1" applyFont="1" applyFill="1" applyBorder="1" applyAlignment="1" applyProtection="1">
      <protection hidden="1"/>
    </xf>
    <xf numFmtId="38" fontId="31" fillId="3" borderId="2" xfId="0" applyNumberFormat="1" applyFont="1" applyFill="1" applyBorder="1" applyAlignment="1" applyProtection="1">
      <protection hidden="1"/>
    </xf>
    <xf numFmtId="38" fontId="36" fillId="0" borderId="1" xfId="0" applyNumberFormat="1" applyFont="1" applyBorder="1" applyAlignment="1" applyProtection="1">
      <protection hidden="1"/>
    </xf>
    <xf numFmtId="6" fontId="34" fillId="0" borderId="1" xfId="0" applyNumberFormat="1" applyFont="1" applyBorder="1" applyAlignment="1" applyProtection="1">
      <protection hidden="1"/>
    </xf>
    <xf numFmtId="167" fontId="0" fillId="0" borderId="0" xfId="0" applyNumberFormat="1"/>
    <xf numFmtId="167" fontId="3" fillId="0" borderId="49" xfId="0" applyNumberFormat="1" applyFont="1" applyBorder="1" applyAlignment="1">
      <alignment horizontal="right"/>
    </xf>
    <xf numFmtId="167" fontId="0" fillId="0" borderId="19" xfId="0" applyNumberFormat="1" applyFont="1" applyBorder="1" applyAlignment="1">
      <alignment horizontal="right"/>
    </xf>
    <xf numFmtId="167" fontId="0" fillId="0" borderId="20" xfId="0" applyNumberFormat="1" applyBorder="1"/>
    <xf numFmtId="167" fontId="39" fillId="0" borderId="50" xfId="0" applyNumberFormat="1" applyFont="1" applyBorder="1" applyAlignment="1">
      <alignment horizontal="right"/>
    </xf>
    <xf numFmtId="167" fontId="40" fillId="0" borderId="28" xfId="0" applyNumberFormat="1" applyFont="1" applyBorder="1" applyAlignment="1">
      <alignment horizontal="right"/>
    </xf>
    <xf numFmtId="167" fontId="40" fillId="0" borderId="29" xfId="0" applyNumberFormat="1" applyFont="1" applyBorder="1"/>
    <xf numFmtId="167" fontId="0" fillId="0" borderId="21" xfId="0" applyNumberFormat="1" applyBorder="1"/>
    <xf numFmtId="167" fontId="0" fillId="0" borderId="22" xfId="0" applyNumberFormat="1" applyBorder="1"/>
    <xf numFmtId="167" fontId="0" fillId="0" borderId="23" xfId="0" applyNumberFormat="1" applyBorder="1"/>
    <xf numFmtId="3" fontId="3" fillId="14" borderId="0" xfId="0" applyNumberFormat="1" applyFont="1" applyFill="1"/>
    <xf numFmtId="3" fontId="0" fillId="14" borderId="0" xfId="0" applyNumberFormat="1" applyFill="1"/>
    <xf numFmtId="167" fontId="0" fillId="14" borderId="0" xfId="0" applyNumberFormat="1" applyFill="1"/>
    <xf numFmtId="167" fontId="3" fillId="14" borderId="49" xfId="0" applyNumberFormat="1" applyFont="1" applyFill="1" applyBorder="1" applyAlignment="1">
      <alignment horizontal="right"/>
    </xf>
    <xf numFmtId="167" fontId="0" fillId="14" borderId="19" xfId="0" applyNumberFormat="1" applyFont="1" applyFill="1" applyBorder="1" applyAlignment="1">
      <alignment horizontal="right"/>
    </xf>
    <xf numFmtId="167" fontId="0" fillId="14" borderId="20" xfId="0" applyNumberFormat="1" applyFill="1" applyBorder="1"/>
    <xf numFmtId="167" fontId="39" fillId="14" borderId="50" xfId="0" applyNumberFormat="1" applyFont="1" applyFill="1" applyBorder="1" applyAlignment="1">
      <alignment horizontal="right"/>
    </xf>
    <xf numFmtId="167" fontId="40" fillId="14" borderId="28" xfId="0" applyNumberFormat="1" applyFont="1" applyFill="1" applyBorder="1" applyAlignment="1">
      <alignment horizontal="right"/>
    </xf>
    <xf numFmtId="167" fontId="40" fillId="14" borderId="29" xfId="0" applyNumberFormat="1" applyFont="1" applyFill="1" applyBorder="1"/>
    <xf numFmtId="167" fontId="0" fillId="14" borderId="21" xfId="0" applyNumberFormat="1" applyFill="1" applyBorder="1"/>
    <xf numFmtId="167" fontId="0" fillId="14" borderId="22" xfId="0" applyNumberFormat="1" applyFill="1" applyBorder="1"/>
    <xf numFmtId="167" fontId="0" fillId="14" borderId="23" xfId="0" applyNumberFormat="1" applyFill="1" applyBorder="1"/>
    <xf numFmtId="0" fontId="14" fillId="14" borderId="0" xfId="0" applyFont="1" applyFill="1"/>
    <xf numFmtId="3" fontId="25" fillId="14" borderId="0" xfId="0" applyNumberFormat="1" applyFont="1" applyFill="1" applyBorder="1" applyAlignment="1" applyProtection="1">
      <alignment vertical="center"/>
      <protection hidden="1"/>
    </xf>
    <xf numFmtId="0" fontId="15" fillId="14" borderId="0" xfId="0" applyFont="1" applyFill="1"/>
    <xf numFmtId="10" fontId="15" fillId="14" borderId="0" xfId="0" applyNumberFormat="1" applyFont="1" applyFill="1"/>
    <xf numFmtId="167" fontId="15" fillId="0" borderId="0" xfId="0" applyNumberFormat="1" applyFont="1"/>
    <xf numFmtId="6" fontId="0" fillId="6" borderId="0" xfId="0" applyNumberFormat="1" applyFont="1" applyFill="1" applyAlignment="1"/>
    <xf numFmtId="0" fontId="26" fillId="12" borderId="0" xfId="0" applyFont="1" applyFill="1" applyAlignment="1" applyProtection="1">
      <protection hidden="1"/>
    </xf>
    <xf numFmtId="0" fontId="3" fillId="10" borderId="40" xfId="0" applyFont="1" applyFill="1" applyBorder="1" applyAlignment="1" applyProtection="1">
      <alignment horizontal="center" vertical="center" wrapText="1"/>
      <protection hidden="1"/>
    </xf>
    <xf numFmtId="38" fontId="0" fillId="0" borderId="0" xfId="0" applyNumberFormat="1" applyFont="1" applyAlignment="1"/>
    <xf numFmtId="0" fontId="3" fillId="10" borderId="51" xfId="0" applyFont="1" applyFill="1" applyBorder="1" applyAlignment="1" applyProtection="1">
      <alignment vertical="center"/>
      <protection hidden="1"/>
    </xf>
    <xf numFmtId="0" fontId="3" fillId="10" borderId="31" xfId="0" applyFont="1" applyFill="1" applyBorder="1" applyAlignment="1" applyProtection="1">
      <alignment horizontal="center" vertical="center" wrapText="1"/>
      <protection hidden="1"/>
    </xf>
    <xf numFmtId="0" fontId="3" fillId="10" borderId="50" xfId="0" applyFont="1" applyFill="1" applyBorder="1" applyAlignment="1" applyProtection="1">
      <alignment horizontal="center" vertical="center" wrapText="1"/>
      <protection hidden="1"/>
    </xf>
    <xf numFmtId="0" fontId="39" fillId="10" borderId="52" xfId="0" applyFont="1" applyFill="1" applyBorder="1" applyAlignment="1" applyProtection="1">
      <alignment horizontal="center" vertical="center" wrapText="1"/>
      <protection hidden="1"/>
    </xf>
    <xf numFmtId="0" fontId="3" fillId="10" borderId="52" xfId="0" applyFont="1" applyFill="1" applyBorder="1" applyAlignment="1" applyProtection="1">
      <alignment horizontal="center" vertical="center" wrapText="1"/>
      <protection hidden="1"/>
    </xf>
    <xf numFmtId="3" fontId="0" fillId="0" borderId="0" xfId="0" applyNumberFormat="1" applyFont="1" applyAlignment="1"/>
    <xf numFmtId="3" fontId="0" fillId="6" borderId="0" xfId="0" applyNumberFormat="1" applyFont="1" applyFill="1" applyAlignment="1"/>
    <xf numFmtId="3" fontId="0" fillId="0" borderId="0" xfId="0" applyNumberFormat="1" applyFont="1" applyFill="1" applyAlignment="1"/>
    <xf numFmtId="4" fontId="0" fillId="0" borderId="0" xfId="0" applyNumberFormat="1" applyFont="1" applyFill="1" applyAlignment="1"/>
    <xf numFmtId="167" fontId="34" fillId="0" borderId="1" xfId="0" applyNumberFormat="1" applyFont="1" applyBorder="1" applyAlignment="1" applyProtection="1">
      <protection hidden="1"/>
    </xf>
    <xf numFmtId="0" fontId="24" fillId="10" borderId="3" xfId="0" applyFont="1" applyFill="1" applyBorder="1" applyAlignment="1" applyProtection="1">
      <alignment horizontal="center" vertical="center" wrapText="1"/>
      <protection hidden="1"/>
    </xf>
    <xf numFmtId="6" fontId="34" fillId="0" borderId="0" xfId="0" applyNumberFormat="1" applyFont="1" applyFill="1" applyBorder="1" applyAlignment="1" applyProtection="1">
      <protection hidden="1"/>
    </xf>
    <xf numFmtId="0" fontId="0" fillId="10" borderId="0" xfId="0" applyFont="1" applyFill="1" applyAlignment="1"/>
    <xf numFmtId="0" fontId="39" fillId="10" borderId="53" xfId="0" applyFont="1" applyFill="1" applyBorder="1" applyAlignment="1" applyProtection="1">
      <alignment horizontal="center" vertical="center" wrapText="1"/>
      <protection hidden="1"/>
    </xf>
    <xf numFmtId="0" fontId="3" fillId="10" borderId="54" xfId="0" applyFont="1" applyFill="1" applyBorder="1" applyAlignment="1" applyProtection="1">
      <alignment vertical="center"/>
      <protection hidden="1"/>
    </xf>
    <xf numFmtId="0" fontId="3" fillId="10" borderId="39" xfId="0" applyFont="1" applyFill="1" applyBorder="1" applyAlignment="1" applyProtection="1">
      <alignment horizontal="center" vertical="center" wrapText="1"/>
      <protection hidden="1"/>
    </xf>
    <xf numFmtId="0" fontId="24" fillId="10" borderId="38" xfId="0" applyFont="1" applyFill="1" applyBorder="1" applyAlignment="1" applyProtection="1">
      <alignment horizontal="center" vertical="center" wrapText="1"/>
      <protection hidden="1"/>
    </xf>
    <xf numFmtId="0" fontId="24" fillId="10" borderId="55" xfId="0" applyFont="1" applyFill="1" applyBorder="1" applyAlignment="1" applyProtection="1">
      <alignment horizontal="center" vertical="center" wrapText="1"/>
      <protection hidden="1"/>
    </xf>
    <xf numFmtId="167" fontId="0" fillId="0" borderId="25" xfId="0" applyNumberFormat="1" applyFont="1" applyBorder="1" applyAlignment="1"/>
    <xf numFmtId="167" fontId="0" fillId="0" borderId="0" xfId="0" applyNumberFormat="1" applyFont="1" applyBorder="1" applyAlignment="1"/>
    <xf numFmtId="167" fontId="0" fillId="0" borderId="24" xfId="0" applyNumberFormat="1" applyFont="1" applyBorder="1" applyAlignment="1"/>
    <xf numFmtId="167" fontId="0" fillId="6" borderId="25" xfId="0" applyNumberFormat="1" applyFont="1" applyFill="1" applyBorder="1" applyAlignment="1"/>
    <xf numFmtId="167" fontId="0" fillId="6" borderId="0" xfId="0" applyNumberFormat="1" applyFont="1" applyFill="1" applyBorder="1" applyAlignment="1"/>
    <xf numFmtId="167" fontId="3" fillId="0" borderId="56" xfId="0" applyNumberFormat="1" applyFont="1" applyBorder="1" applyAlignment="1"/>
    <xf numFmtId="167" fontId="3" fillId="0" borderId="57" xfId="0" applyNumberFormat="1" applyFont="1" applyBorder="1" applyAlignment="1"/>
    <xf numFmtId="167" fontId="3" fillId="0" borderId="58" xfId="0" applyNumberFormat="1" applyFont="1" applyBorder="1" applyAlignment="1"/>
    <xf numFmtId="6" fontId="3" fillId="10" borderId="20" xfId="0" applyNumberFormat="1" applyFont="1" applyFill="1" applyBorder="1" applyAlignment="1"/>
    <xf numFmtId="38" fontId="15" fillId="0" borderId="0" xfId="0" applyNumberFormat="1" applyFont="1"/>
    <xf numFmtId="10" fontId="0" fillId="0" borderId="0" xfId="0" applyNumberFormat="1" applyFont="1" applyAlignment="1"/>
    <xf numFmtId="0" fontId="3" fillId="10" borderId="19" xfId="0" applyFont="1" applyFill="1" applyBorder="1" applyAlignment="1" applyProtection="1">
      <alignment horizontal="center" vertical="center"/>
      <protection hidden="1"/>
    </xf>
    <xf numFmtId="167" fontId="34" fillId="0" borderId="0" xfId="0" applyNumberFormat="1" applyFont="1" applyBorder="1" applyAlignment="1" applyProtection="1">
      <protection hidden="1"/>
    </xf>
    <xf numFmtId="0" fontId="24" fillId="10" borderId="59" xfId="0" applyFont="1" applyFill="1" applyBorder="1" applyAlignment="1" applyProtection="1">
      <alignment horizontal="center" vertical="center" wrapText="1"/>
      <protection hidden="1"/>
    </xf>
    <xf numFmtId="167" fontId="3" fillId="0" borderId="1" xfId="0" applyNumberFormat="1" applyFont="1" applyBorder="1" applyAlignment="1"/>
    <xf numFmtId="0" fontId="24" fillId="10" borderId="0" xfId="0" applyFont="1" applyFill="1" applyBorder="1" applyAlignment="1" applyProtection="1">
      <alignment horizontal="center" wrapText="1"/>
      <protection hidden="1"/>
    </xf>
    <xf numFmtId="0" fontId="0" fillId="0" borderId="60" xfId="0" applyFont="1" applyBorder="1" applyAlignment="1"/>
    <xf numFmtId="0" fontId="24" fillId="10" borderId="61" xfId="0" applyFont="1" applyFill="1" applyBorder="1" applyAlignment="1" applyProtection="1">
      <alignment horizontal="center" vertical="center" wrapText="1"/>
      <protection hidden="1"/>
    </xf>
    <xf numFmtId="167" fontId="0" fillId="0" borderId="61" xfId="0" applyNumberFormat="1" applyFont="1" applyBorder="1" applyAlignment="1"/>
    <xf numFmtId="167" fontId="3" fillId="0" borderId="62" xfId="0" applyNumberFormat="1" applyFont="1" applyBorder="1" applyAlignment="1"/>
    <xf numFmtId="167" fontId="0" fillId="6" borderId="24" xfId="0" applyNumberFormat="1" applyFont="1" applyFill="1" applyBorder="1" applyAlignment="1"/>
    <xf numFmtId="167" fontId="0" fillId="6" borderId="61" xfId="0" applyNumberFormat="1" applyFont="1" applyFill="1" applyBorder="1" applyAlignment="1"/>
    <xf numFmtId="38" fontId="0" fillId="0" borderId="67" xfId="0" applyNumberFormat="1" applyFill="1" applyBorder="1" applyAlignment="1" applyProtection="1">
      <alignment horizontal="center"/>
      <protection hidden="1"/>
    </xf>
    <xf numFmtId="38" fontId="0" fillId="6" borderId="0" xfId="0" applyNumberFormat="1" applyFont="1" applyFill="1" applyAlignment="1"/>
    <xf numFmtId="10" fontId="0" fillId="6" borderId="0" xfId="0" applyNumberFormat="1" applyFont="1" applyFill="1" applyAlignment="1"/>
    <xf numFmtId="0" fontId="26" fillId="0" borderId="0" xfId="0" applyFont="1" applyFill="1" applyProtection="1">
      <protection hidden="1"/>
    </xf>
    <xf numFmtId="38" fontId="0" fillId="2" borderId="68" xfId="0" applyNumberFormat="1" applyFill="1" applyBorder="1" applyAlignment="1" applyProtection="1">
      <alignment horizontal="center"/>
      <protection locked="0"/>
    </xf>
    <xf numFmtId="38" fontId="0" fillId="2" borderId="69" xfId="0" applyNumberFormat="1" applyFill="1" applyBorder="1" applyAlignment="1" applyProtection="1">
      <alignment horizontal="center"/>
      <protection locked="0"/>
    </xf>
    <xf numFmtId="38" fontId="0" fillId="0" borderId="6" xfId="0" applyNumberFormat="1" applyFill="1" applyBorder="1" applyAlignment="1" applyProtection="1">
      <alignment horizontal="center"/>
      <protection hidden="1"/>
    </xf>
    <xf numFmtId="38" fontId="3" fillId="0" borderId="54" xfId="0" applyNumberFormat="1" applyFont="1" applyBorder="1" applyAlignment="1" applyProtection="1">
      <alignment horizontal="left"/>
      <protection hidden="1"/>
    </xf>
    <xf numFmtId="38" fontId="0" fillId="0" borderId="72" xfId="0" applyNumberFormat="1" applyFill="1" applyBorder="1" applyAlignment="1" applyProtection="1">
      <alignment horizontal="center"/>
      <protection hidden="1"/>
    </xf>
    <xf numFmtId="6" fontId="0" fillId="4" borderId="73" xfId="0" applyNumberFormat="1" applyFill="1" applyBorder="1" applyAlignment="1" applyProtection="1">
      <alignment horizontal="right"/>
      <protection hidden="1"/>
    </xf>
    <xf numFmtId="2" fontId="0" fillId="0" borderId="0" xfId="0" applyNumberFormat="1" applyFont="1" applyAlignment="1"/>
    <xf numFmtId="2" fontId="0" fillId="6" borderId="0" xfId="0" applyNumberFormat="1" applyFont="1" applyFill="1" applyAlignment="1"/>
    <xf numFmtId="2" fontId="0" fillId="0" borderId="0" xfId="0" applyNumberFormat="1" applyFont="1" applyFill="1" applyAlignment="1"/>
    <xf numFmtId="2" fontId="34" fillId="0" borderId="1" xfId="0" applyNumberFormat="1" applyFont="1" applyBorder="1" applyAlignment="1" applyProtection="1">
      <protection hidden="1"/>
    </xf>
    <xf numFmtId="0" fontId="15" fillId="0" borderId="3" xfId="0" applyFont="1" applyBorder="1" applyAlignment="1">
      <alignment wrapText="1"/>
    </xf>
    <xf numFmtId="38" fontId="5" fillId="2" borderId="75" xfId="0" applyNumberFormat="1" applyFont="1" applyFill="1" applyBorder="1" applyAlignment="1" applyProtection="1">
      <alignment horizontal="center"/>
      <protection hidden="1"/>
    </xf>
    <xf numFmtId="0" fontId="41" fillId="0" borderId="0" xfId="0" applyFont="1"/>
    <xf numFmtId="0" fontId="43" fillId="0" borderId="0" xfId="0" applyFont="1" applyFill="1" applyBorder="1" applyAlignment="1"/>
    <xf numFmtId="0" fontId="44" fillId="0" borderId="24" xfId="0" applyFont="1" applyFill="1" applyBorder="1" applyAlignment="1">
      <alignment vertical="top"/>
    </xf>
    <xf numFmtId="0" fontId="42" fillId="0" borderId="24" xfId="0" applyFont="1" applyFill="1" applyBorder="1" applyAlignment="1"/>
    <xf numFmtId="0" fontId="42" fillId="0" borderId="59" xfId="0" applyFont="1" applyFill="1" applyBorder="1" applyAlignment="1">
      <alignment horizontal="center" vertical="top" wrapText="1"/>
    </xf>
    <xf numFmtId="6" fontId="40" fillId="0" borderId="83" xfId="0" applyNumberFormat="1" applyFont="1" applyBorder="1"/>
    <xf numFmtId="6" fontId="40" fillId="0" borderId="84" xfId="0" applyNumberFormat="1" applyFont="1" applyBorder="1"/>
    <xf numFmtId="6" fontId="40" fillId="0" borderId="85" xfId="0" applyNumberFormat="1" applyFont="1" applyBorder="1"/>
    <xf numFmtId="0" fontId="40" fillId="0" borderId="0" xfId="0" applyFont="1"/>
    <xf numFmtId="0" fontId="21" fillId="10" borderId="86" xfId="0" applyFont="1" applyFill="1" applyBorder="1" applyAlignment="1">
      <alignment vertical="center"/>
    </xf>
    <xf numFmtId="168" fontId="26" fillId="10" borderId="87" xfId="0" applyNumberFormat="1" applyFont="1" applyFill="1" applyBorder="1"/>
    <xf numFmtId="168" fontId="26" fillId="10" borderId="88" xfId="0" applyNumberFormat="1" applyFont="1" applyFill="1" applyBorder="1"/>
    <xf numFmtId="169" fontId="26" fillId="10" borderId="89" xfId="0" applyNumberFormat="1" applyFont="1" applyFill="1" applyBorder="1"/>
    <xf numFmtId="0" fontId="26" fillId="0" borderId="0" xfId="0" applyFont="1"/>
    <xf numFmtId="0" fontId="45" fillId="10" borderId="77" xfId="0" applyFont="1" applyFill="1" applyBorder="1" applyAlignment="1">
      <alignment vertical="center"/>
    </xf>
    <xf numFmtId="168" fontId="40" fillId="10" borderId="90" xfId="0" applyNumberFormat="1" applyFont="1" applyFill="1" applyBorder="1"/>
    <xf numFmtId="168" fontId="40" fillId="10" borderId="91" xfId="0" applyNumberFormat="1" applyFont="1" applyFill="1" applyBorder="1"/>
    <xf numFmtId="0" fontId="46" fillId="0" borderId="60" xfId="0" applyFont="1" applyFill="1" applyBorder="1" applyAlignment="1">
      <alignment vertical="center"/>
    </xf>
    <xf numFmtId="0" fontId="48" fillId="0" borderId="82" xfId="0" applyFont="1" applyFill="1" applyBorder="1" applyAlignment="1">
      <alignment vertical="center"/>
    </xf>
    <xf numFmtId="166" fontId="40" fillId="0" borderId="84" xfId="0" applyNumberFormat="1" applyFont="1" applyBorder="1"/>
    <xf numFmtId="166" fontId="40" fillId="0" borderId="85" xfId="0" applyNumberFormat="1" applyFont="1" applyBorder="1"/>
    <xf numFmtId="168" fontId="40" fillId="10" borderId="52" xfId="0" applyNumberFormat="1" applyFont="1" applyFill="1" applyBorder="1"/>
    <xf numFmtId="168" fontId="40" fillId="10" borderId="29" xfId="0" applyNumberFormat="1" applyFont="1" applyFill="1" applyBorder="1"/>
    <xf numFmtId="169" fontId="0" fillId="0" borderId="0" xfId="0" applyNumberFormat="1"/>
    <xf numFmtId="168" fontId="26" fillId="10" borderId="96" xfId="0" applyNumberFormat="1" applyFont="1" applyFill="1" applyBorder="1"/>
    <xf numFmtId="0" fontId="48" fillId="0" borderId="97" xfId="0" applyFont="1" applyFill="1" applyBorder="1" applyAlignment="1">
      <alignment vertical="center"/>
    </xf>
    <xf numFmtId="0" fontId="44" fillId="0" borderId="0" xfId="0" applyFont="1" applyFill="1" applyBorder="1" applyAlignment="1"/>
    <xf numFmtId="0" fontId="0" fillId="0" borderId="19" xfId="0" applyBorder="1"/>
    <xf numFmtId="0" fontId="0" fillId="0" borderId="0" xfId="0" applyBorder="1"/>
    <xf numFmtId="0" fontId="42" fillId="0" borderId="76" xfId="0" applyFont="1" applyFill="1" applyBorder="1" applyAlignment="1">
      <alignment vertical="center"/>
    </xf>
    <xf numFmtId="6" fontId="3" fillId="0" borderId="98" xfId="0" applyNumberFormat="1" applyFont="1" applyBorder="1"/>
    <xf numFmtId="6" fontId="3" fillId="0" borderId="32" xfId="0" applyNumberFormat="1" applyFont="1" applyBorder="1"/>
    <xf numFmtId="6" fontId="3" fillId="0" borderId="99" xfId="0" applyNumberFormat="1" applyFont="1" applyBorder="1"/>
    <xf numFmtId="0" fontId="49" fillId="0" borderId="0" xfId="0" applyFont="1" applyFill="1" applyBorder="1" applyAlignment="1">
      <alignment vertical="center"/>
    </xf>
    <xf numFmtId="6" fontId="39" fillId="0" borderId="98" xfId="0" applyNumberFormat="1" applyFont="1" applyBorder="1"/>
    <xf numFmtId="6" fontId="39" fillId="0" borderId="38" xfId="0" applyNumberFormat="1" applyFont="1" applyBorder="1"/>
    <xf numFmtId="0" fontId="42" fillId="0" borderId="100" xfId="0" applyFont="1" applyFill="1" applyBorder="1" applyAlignment="1">
      <alignment vertical="center"/>
    </xf>
    <xf numFmtId="6" fontId="3" fillId="0" borderId="75" xfId="0" applyNumberFormat="1" applyFont="1" applyBorder="1"/>
    <xf numFmtId="2" fontId="42" fillId="10" borderId="73" xfId="0" applyNumberFormat="1" applyFont="1" applyFill="1" applyBorder="1" applyAlignment="1">
      <alignment vertical="center"/>
    </xf>
    <xf numFmtId="2" fontId="0" fillId="10" borderId="19" xfId="0" applyNumberFormat="1" applyFill="1" applyBorder="1"/>
    <xf numFmtId="2" fontId="0" fillId="10" borderId="101" xfId="0" applyNumberFormat="1" applyFill="1" applyBorder="1"/>
    <xf numFmtId="2" fontId="0" fillId="10" borderId="102" xfId="0" applyNumberFormat="1" applyFill="1" applyBorder="1"/>
    <xf numFmtId="2" fontId="0" fillId="10" borderId="103" xfId="0" applyNumberFormat="1" applyFill="1" applyBorder="1"/>
    <xf numFmtId="2" fontId="0" fillId="10" borderId="20" xfId="0" applyNumberFormat="1" applyFill="1" applyBorder="1"/>
    <xf numFmtId="2" fontId="45" fillId="10" borderId="77" xfId="0" applyNumberFormat="1" applyFont="1" applyFill="1" applyBorder="1" applyAlignment="1">
      <alignment vertical="center"/>
    </xf>
    <xf numFmtId="2" fontId="40" fillId="10" borderId="93" xfId="0" applyNumberFormat="1" applyFont="1" applyFill="1" applyBorder="1"/>
    <xf numFmtId="2" fontId="40" fillId="10" borderId="104" xfId="0" applyNumberFormat="1" applyFont="1" applyFill="1" applyBorder="1"/>
    <xf numFmtId="2" fontId="40" fillId="10" borderId="94" xfId="0" applyNumberFormat="1" applyFont="1" applyFill="1" applyBorder="1"/>
    <xf numFmtId="2" fontId="40" fillId="10" borderId="105" xfId="0" applyNumberFormat="1" applyFont="1" applyFill="1" applyBorder="1"/>
    <xf numFmtId="2" fontId="40" fillId="10" borderId="106" xfId="0" applyNumberFormat="1" applyFont="1" applyFill="1" applyBorder="1"/>
    <xf numFmtId="2" fontId="40" fillId="10" borderId="95" xfId="0" applyNumberFormat="1" applyFont="1" applyFill="1" applyBorder="1"/>
    <xf numFmtId="0" fontId="48" fillId="0" borderId="0" xfId="0" applyFont="1" applyFill="1" applyBorder="1" applyAlignment="1">
      <alignment vertical="center"/>
    </xf>
    <xf numFmtId="168" fontId="0" fillId="10" borderId="1" xfId="0" applyNumberFormat="1" applyFill="1" applyBorder="1"/>
    <xf numFmtId="0" fontId="42" fillId="0" borderId="0" xfId="0" applyFont="1" applyFill="1" applyBorder="1" applyAlignment="1">
      <alignment horizontal="center" vertical="top"/>
    </xf>
    <xf numFmtId="0" fontId="42" fillId="0" borderId="0" xfId="0" applyFont="1" applyFill="1" applyBorder="1" applyAlignment="1">
      <alignment horizontal="center" vertical="top" wrapText="1"/>
    </xf>
    <xf numFmtId="166" fontId="40" fillId="0" borderId="0" xfId="0" applyNumberFormat="1" applyFont="1" applyBorder="1"/>
    <xf numFmtId="6" fontId="3" fillId="0" borderId="0" xfId="0" applyNumberFormat="1" applyFont="1" applyBorder="1"/>
    <xf numFmtId="6" fontId="39" fillId="0" borderId="0" xfId="0" applyNumberFormat="1" applyFont="1" applyBorder="1"/>
    <xf numFmtId="2" fontId="0" fillId="10" borderId="0" xfId="0" applyNumberFormat="1" applyFill="1" applyBorder="1"/>
    <xf numFmtId="2" fontId="40" fillId="10" borderId="0" xfId="0" applyNumberFormat="1" applyFont="1" applyFill="1" applyBorder="1"/>
    <xf numFmtId="168" fontId="0" fillId="10" borderId="0" xfId="0" applyNumberFormat="1" applyFill="1" applyBorder="1"/>
    <xf numFmtId="0" fontId="45" fillId="0" borderId="75" xfId="0" applyFont="1" applyFill="1" applyBorder="1" applyAlignment="1">
      <alignment vertical="center"/>
    </xf>
    <xf numFmtId="0" fontId="14" fillId="5" borderId="47" xfId="0" applyFont="1" applyFill="1" applyBorder="1" applyAlignment="1">
      <alignment horizontal="center" vertical="center"/>
    </xf>
    <xf numFmtId="3" fontId="15" fillId="0" borderId="17" xfId="0" applyNumberFormat="1" applyFont="1" applyFill="1" applyBorder="1"/>
    <xf numFmtId="3" fontId="15" fillId="0" borderId="7" xfId="0" applyNumberFormat="1" applyFont="1" applyFill="1" applyBorder="1"/>
    <xf numFmtId="0" fontId="0" fillId="0" borderId="25" xfId="0" applyBorder="1"/>
    <xf numFmtId="0" fontId="0" fillId="0" borderId="0" xfId="0" applyBorder="1" applyAlignment="1">
      <alignment wrapText="1"/>
    </xf>
    <xf numFmtId="0" fontId="0" fillId="0" borderId="24" xfId="0" applyBorder="1" applyAlignment="1">
      <alignment wrapText="1"/>
    </xf>
    <xf numFmtId="0" fontId="0" fillId="0" borderId="27" xfId="0" applyBorder="1"/>
    <xf numFmtId="0" fontId="0" fillId="0" borderId="28" xfId="0" applyBorder="1"/>
    <xf numFmtId="0" fontId="0" fillId="0" borderId="64" xfId="0" applyBorder="1"/>
    <xf numFmtId="0" fontId="41" fillId="0" borderId="0" xfId="0" applyFont="1" applyBorder="1" applyAlignment="1" applyProtection="1">
      <alignment vertical="center" wrapText="1"/>
      <protection hidden="1"/>
    </xf>
    <xf numFmtId="0" fontId="5" fillId="0" borderId="0" xfId="0" applyFont="1" applyBorder="1" applyAlignment="1" applyProtection="1">
      <protection hidden="1"/>
    </xf>
    <xf numFmtId="0" fontId="0" fillId="0" borderId="29" xfId="0" applyBorder="1"/>
    <xf numFmtId="0" fontId="24" fillId="10" borderId="0" xfId="0" applyFont="1" applyFill="1" applyBorder="1" applyAlignment="1" applyProtection="1">
      <alignment horizontal="center" vertical="center" wrapText="1"/>
      <protection hidden="1"/>
    </xf>
    <xf numFmtId="0" fontId="26" fillId="10" borderId="0" xfId="0" applyFont="1" applyFill="1" applyBorder="1" applyAlignment="1" applyProtection="1">
      <alignment horizontal="center" vertical="center" wrapText="1"/>
      <protection hidden="1"/>
    </xf>
    <xf numFmtId="167" fontId="0" fillId="10" borderId="0" xfId="0" applyNumberFormat="1" applyFill="1" applyAlignment="1">
      <alignment wrapText="1"/>
    </xf>
    <xf numFmtId="170" fontId="0" fillId="0" borderId="0" xfId="0" applyNumberFormat="1" applyFont="1" applyFill="1" applyAlignment="1"/>
    <xf numFmtId="0" fontId="42" fillId="0" borderId="59" xfId="0" applyFont="1" applyFill="1" applyBorder="1" applyAlignment="1">
      <alignment horizontal="center" vertical="top" wrapText="1"/>
    </xf>
    <xf numFmtId="0" fontId="0" fillId="0" borderId="24" xfId="0" applyBorder="1"/>
    <xf numFmtId="0" fontId="44" fillId="0" borderId="31" xfId="0" applyFont="1" applyFill="1" applyBorder="1" applyAlignment="1">
      <alignment vertical="top"/>
    </xf>
    <xf numFmtId="0" fontId="53" fillId="0" borderId="78" xfId="0" applyFont="1" applyFill="1" applyBorder="1" applyAlignment="1">
      <alignment horizontal="center" vertical="top"/>
    </xf>
    <xf numFmtId="6" fontId="0" fillId="0" borderId="0" xfId="0" applyNumberFormat="1" applyAlignment="1"/>
    <xf numFmtId="6" fontId="40" fillId="0" borderId="0" xfId="0" applyNumberFormat="1" applyFont="1" applyAlignment="1"/>
    <xf numFmtId="0" fontId="49" fillId="0" borderId="59" xfId="0" applyFont="1" applyFill="1" applyBorder="1" applyAlignment="1">
      <alignment horizontal="center" vertical="top" wrapText="1"/>
    </xf>
    <xf numFmtId="0" fontId="0" fillId="6" borderId="0" xfId="0" applyFill="1" applyAlignment="1"/>
    <xf numFmtId="0" fontId="0" fillId="6" borderId="0" xfId="0" applyFill="1" applyAlignment="1">
      <alignment horizontal="right"/>
    </xf>
    <xf numFmtId="0" fontId="0" fillId="0" borderId="25" xfId="0" applyBorder="1" applyAlignment="1"/>
    <xf numFmtId="0" fontId="0" fillId="0" borderId="0" xfId="0" applyBorder="1" applyAlignment="1"/>
    <xf numFmtId="0" fontId="0" fillId="0" borderId="24" xfId="0" applyBorder="1" applyAlignment="1"/>
    <xf numFmtId="0" fontId="0" fillId="6" borderId="27" xfId="0" applyFill="1" applyBorder="1" applyAlignment="1"/>
    <xf numFmtId="0" fontId="0" fillId="6" borderId="28" xfId="0" applyFill="1" applyBorder="1" applyAlignment="1"/>
    <xf numFmtId="0" fontId="0" fillId="6" borderId="29" xfId="0" applyFill="1" applyBorder="1" applyAlignment="1"/>
    <xf numFmtId="2" fontId="0" fillId="0" borderId="0" xfId="0" applyNumberFormat="1" applyAlignment="1"/>
    <xf numFmtId="0" fontId="42" fillId="0" borderId="78" xfId="0" applyFont="1" applyFill="1" applyBorder="1" applyAlignment="1">
      <alignment horizontal="center" vertical="top"/>
    </xf>
    <xf numFmtId="0" fontId="0" fillId="0" borderId="31" xfId="0" applyBorder="1" applyAlignment="1"/>
    <xf numFmtId="0" fontId="0" fillId="0" borderId="78" xfId="0" applyBorder="1" applyAlignment="1"/>
    <xf numFmtId="3" fontId="0" fillId="0" borderId="0" xfId="0" applyNumberFormat="1" applyAlignment="1"/>
    <xf numFmtId="2" fontId="0" fillId="0" borderId="4" xfId="0" applyNumberFormat="1" applyBorder="1" applyAlignment="1"/>
    <xf numFmtId="2" fontId="0" fillId="0" borderId="17" xfId="0" applyNumberFormat="1" applyBorder="1" applyAlignment="1"/>
    <xf numFmtId="0" fontId="44" fillId="13" borderId="31" xfId="0" applyFont="1" applyFill="1" applyBorder="1" applyAlignment="1">
      <alignment vertical="top"/>
    </xf>
    <xf numFmtId="0" fontId="53" fillId="13" borderId="78" xfId="0" applyFont="1" applyFill="1" applyBorder="1" applyAlignment="1">
      <alignment horizontal="center" vertical="top"/>
    </xf>
    <xf numFmtId="2" fontId="0" fillId="13" borderId="31" xfId="0" applyNumberFormat="1" applyFill="1" applyBorder="1" applyAlignment="1"/>
    <xf numFmtId="2" fontId="0" fillId="13" borderId="0" xfId="0" applyNumberFormat="1" applyFill="1" applyBorder="1" applyAlignment="1"/>
    <xf numFmtId="0" fontId="0" fillId="13" borderId="31" xfId="0" applyFill="1" applyBorder="1" applyAlignment="1"/>
    <xf numFmtId="0" fontId="0" fillId="13" borderId="0" xfId="0" applyFill="1" applyBorder="1" applyAlignment="1"/>
    <xf numFmtId="2" fontId="0" fillId="13" borderId="4" xfId="0" applyNumberFormat="1" applyFill="1" applyBorder="1" applyAlignment="1"/>
    <xf numFmtId="2" fontId="0" fillId="13" borderId="17" xfId="0" applyNumberFormat="1" applyFill="1" applyBorder="1" applyAlignment="1"/>
    <xf numFmtId="6" fontId="0" fillId="6" borderId="0" xfId="0" applyNumberFormat="1" applyFill="1" applyAlignment="1"/>
    <xf numFmtId="6" fontId="40" fillId="6" borderId="0" xfId="0" applyNumberFormat="1" applyFont="1" applyFill="1" applyAlignment="1"/>
    <xf numFmtId="0" fontId="0" fillId="6" borderId="0" xfId="0" applyFill="1" applyBorder="1" applyAlignment="1"/>
    <xf numFmtId="2" fontId="0" fillId="6" borderId="31" xfId="0" applyNumberFormat="1" applyFill="1" applyBorder="1" applyAlignment="1"/>
    <xf numFmtId="2" fontId="0" fillId="6" borderId="0" xfId="0" applyNumberFormat="1" applyFill="1" applyBorder="1" applyAlignment="1"/>
    <xf numFmtId="6" fontId="0" fillId="0" borderId="0" xfId="0" applyNumberFormat="1" applyFill="1" applyAlignment="1"/>
    <xf numFmtId="170" fontId="0" fillId="0" borderId="31" xfId="0" applyNumberFormat="1" applyBorder="1" applyAlignment="1"/>
    <xf numFmtId="168" fontId="26" fillId="0" borderId="78" xfId="0" applyNumberFormat="1" applyFont="1" applyBorder="1" applyAlignment="1"/>
    <xf numFmtId="2" fontId="40" fillId="0" borderId="17" xfId="0" applyNumberFormat="1" applyFont="1" applyBorder="1" applyAlignment="1"/>
    <xf numFmtId="2" fontId="26" fillId="0" borderId="30" xfId="0" applyNumberFormat="1" applyFont="1" applyBorder="1" applyAlignment="1"/>
    <xf numFmtId="168" fontId="26" fillId="0" borderId="1" xfId="0" applyNumberFormat="1" applyFont="1" applyBorder="1"/>
    <xf numFmtId="170" fontId="0" fillId="6" borderId="31" xfId="0" applyNumberFormat="1" applyFill="1" applyBorder="1" applyAlignment="1"/>
    <xf numFmtId="168" fontId="26" fillId="6" borderId="78" xfId="0" applyNumberFormat="1" applyFont="1" applyFill="1" applyBorder="1" applyAlignment="1"/>
    <xf numFmtId="170" fontId="0" fillId="0" borderId="0" xfId="0" applyNumberFormat="1" applyAlignment="1"/>
    <xf numFmtId="0" fontId="44" fillId="13" borderId="0" xfId="0" applyFont="1" applyFill="1" applyBorder="1" applyAlignment="1">
      <alignment vertical="top"/>
    </xf>
    <xf numFmtId="3" fontId="0" fillId="13" borderId="0" xfId="0" applyNumberFormat="1" applyFill="1" applyBorder="1" applyAlignment="1"/>
    <xf numFmtId="3" fontId="0" fillId="6" borderId="0" xfId="0" applyNumberFormat="1" applyFill="1" applyBorder="1" applyAlignment="1"/>
    <xf numFmtId="2" fontId="0" fillId="13" borderId="2" xfId="0" applyNumberFormat="1" applyFill="1" applyBorder="1" applyAlignment="1"/>
    <xf numFmtId="0" fontId="0" fillId="13" borderId="3" xfId="0" applyFill="1" applyBorder="1" applyAlignment="1"/>
    <xf numFmtId="0" fontId="0" fillId="13" borderId="59" xfId="0" applyFill="1" applyBorder="1" applyAlignment="1"/>
    <xf numFmtId="2" fontId="0" fillId="13" borderId="59" xfId="0" applyNumberFormat="1" applyFill="1" applyBorder="1" applyAlignment="1"/>
    <xf numFmtId="3" fontId="3" fillId="0" borderId="1" xfId="0" applyNumberFormat="1" applyFont="1" applyBorder="1" applyAlignment="1"/>
    <xf numFmtId="2" fontId="26" fillId="0" borderId="17" xfId="0" applyNumberFormat="1" applyFont="1" applyBorder="1" applyAlignment="1"/>
    <xf numFmtId="0" fontId="0" fillId="7" borderId="0" xfId="0" applyFill="1" applyAlignment="1"/>
    <xf numFmtId="170" fontId="0" fillId="7" borderId="0" xfId="0" applyNumberFormat="1" applyFill="1" applyAlignment="1"/>
    <xf numFmtId="2" fontId="26" fillId="7" borderId="17" xfId="0" applyNumberFormat="1" applyFont="1" applyFill="1" applyBorder="1" applyAlignment="1"/>
    <xf numFmtId="0" fontId="0" fillId="13" borderId="0" xfId="0" applyFill="1" applyAlignment="1"/>
    <xf numFmtId="0" fontId="42" fillId="13" borderId="59" xfId="0" applyFont="1" applyFill="1" applyBorder="1" applyAlignment="1">
      <alignment horizontal="center" vertical="top" wrapText="1"/>
    </xf>
    <xf numFmtId="0" fontId="49" fillId="13" borderId="59" xfId="0" applyFont="1" applyFill="1" applyBorder="1" applyAlignment="1">
      <alignment horizontal="center" vertical="top" wrapText="1"/>
    </xf>
    <xf numFmtId="170" fontId="0" fillId="13" borderId="0" xfId="0" applyNumberFormat="1" applyFill="1" applyAlignment="1"/>
    <xf numFmtId="2" fontId="26" fillId="13" borderId="17" xfId="0" applyNumberFormat="1" applyFont="1" applyFill="1" applyBorder="1" applyAlignment="1"/>
    <xf numFmtId="170" fontId="0" fillId="13" borderId="31" xfId="0" applyNumberFormat="1" applyFill="1" applyBorder="1" applyAlignment="1"/>
    <xf numFmtId="170" fontId="0" fillId="13" borderId="78" xfId="0" applyNumberFormat="1" applyFill="1" applyBorder="1" applyAlignment="1"/>
    <xf numFmtId="10" fontId="0" fillId="0" borderId="0" xfId="0" applyNumberFormat="1" applyAlignment="1"/>
    <xf numFmtId="0" fontId="14" fillId="0" borderId="31" xfId="0" applyFont="1" applyBorder="1" applyAlignment="1">
      <alignment horizontal="center" wrapText="1"/>
    </xf>
    <xf numFmtId="0" fontId="3" fillId="13" borderId="39" xfId="0" applyFont="1" applyFill="1" applyBorder="1" applyAlignment="1" applyProtection="1">
      <alignment horizontal="center" vertical="center" wrapText="1"/>
      <protection hidden="1"/>
    </xf>
    <xf numFmtId="1" fontId="0" fillId="0" borderId="0" xfId="0" applyNumberFormat="1" applyAlignment="1"/>
    <xf numFmtId="167" fontId="0" fillId="13" borderId="31" xfId="0" applyNumberFormat="1" applyFill="1" applyBorder="1" applyAlignment="1"/>
    <xf numFmtId="3" fontId="26" fillId="13" borderId="4" xfId="0" applyNumberFormat="1" applyFont="1" applyFill="1" applyBorder="1" applyAlignment="1"/>
    <xf numFmtId="3" fontId="16" fillId="0" borderId="5" xfId="0" applyNumberFormat="1" applyFont="1" applyFill="1" applyBorder="1" applyAlignment="1" applyProtection="1">
      <alignment vertical="center"/>
      <protection hidden="1"/>
    </xf>
    <xf numFmtId="3" fontId="16" fillId="6" borderId="4" xfId="0" applyNumberFormat="1" applyFont="1" applyFill="1" applyBorder="1" applyAlignment="1" applyProtection="1">
      <alignment vertical="center"/>
      <protection hidden="1"/>
    </xf>
    <xf numFmtId="3" fontId="16" fillId="0" borderId="4" xfId="0" applyNumberFormat="1" applyFont="1" applyFill="1" applyBorder="1" applyAlignment="1" applyProtection="1">
      <alignment vertical="center"/>
      <protection hidden="1"/>
    </xf>
    <xf numFmtId="2" fontId="0" fillId="0" borderId="0" xfId="0" applyNumberFormat="1" applyBorder="1"/>
    <xf numFmtId="2" fontId="0" fillId="0" borderId="114" xfId="0" applyNumberFormat="1" applyBorder="1"/>
    <xf numFmtId="2" fontId="0" fillId="13" borderId="115" xfId="0" applyNumberFormat="1" applyFill="1" applyBorder="1"/>
    <xf numFmtId="0" fontId="0" fillId="0" borderId="114" xfId="0" applyBorder="1"/>
    <xf numFmtId="0" fontId="0" fillId="13" borderId="115" xfId="0" applyFill="1" applyBorder="1"/>
    <xf numFmtId="2" fontId="0" fillId="0" borderId="116" xfId="0" applyNumberFormat="1" applyBorder="1"/>
    <xf numFmtId="2" fontId="0" fillId="0" borderId="118" xfId="0" applyNumberFormat="1" applyBorder="1"/>
    <xf numFmtId="2" fontId="0" fillId="13" borderId="124" xfId="0" applyNumberFormat="1" applyFill="1" applyBorder="1"/>
    <xf numFmtId="0" fontId="0" fillId="13" borderId="124" xfId="0" applyFill="1" applyBorder="1"/>
    <xf numFmtId="2" fontId="0" fillId="13" borderId="123" xfId="0" applyNumberFormat="1" applyFill="1" applyBorder="1"/>
    <xf numFmtId="2" fontId="0" fillId="13" borderId="125" xfId="0" applyNumberFormat="1" applyFill="1" applyBorder="1"/>
    <xf numFmtId="0" fontId="0" fillId="0" borderId="0" xfId="0" applyFill="1"/>
    <xf numFmtId="0" fontId="0" fillId="0" borderId="120" xfId="0" applyBorder="1"/>
    <xf numFmtId="0" fontId="0" fillId="0" borderId="122" xfId="0" applyBorder="1"/>
    <xf numFmtId="10" fontId="16" fillId="0" borderId="114" xfId="0" applyNumberFormat="1" applyFont="1" applyFill="1" applyBorder="1" applyAlignment="1" applyProtection="1">
      <alignment vertical="center"/>
      <protection hidden="1"/>
    </xf>
    <xf numFmtId="0" fontId="0" fillId="0" borderId="126" xfId="0" applyBorder="1"/>
    <xf numFmtId="10" fontId="16" fillId="13" borderId="127" xfId="0" applyNumberFormat="1" applyFont="1" applyFill="1" applyBorder="1" applyAlignment="1" applyProtection="1">
      <alignment vertical="center"/>
      <protection hidden="1"/>
    </xf>
    <xf numFmtId="0" fontId="0" fillId="13" borderId="127" xfId="0" applyFill="1" applyBorder="1"/>
    <xf numFmtId="0" fontId="0" fillId="13" borderId="128" xfId="0" applyFill="1" applyBorder="1"/>
    <xf numFmtId="0" fontId="0" fillId="0" borderId="0" xfId="0" applyFill="1" applyAlignment="1"/>
    <xf numFmtId="0" fontId="0" fillId="0" borderId="0" xfId="0" applyFill="1" applyAlignment="1">
      <alignment wrapText="1"/>
    </xf>
    <xf numFmtId="0" fontId="0" fillId="0" borderId="0" xfId="0" applyFill="1" applyBorder="1" applyAlignment="1">
      <alignment wrapText="1"/>
    </xf>
    <xf numFmtId="0" fontId="0" fillId="0" borderId="0" xfId="0" applyFill="1" applyBorder="1"/>
    <xf numFmtId="0" fontId="0" fillId="0" borderId="120" xfId="0" applyFill="1" applyBorder="1" applyAlignment="1">
      <alignment wrapText="1"/>
    </xf>
    <xf numFmtId="0" fontId="0" fillId="0" borderId="121" xfId="0" applyFill="1" applyBorder="1" applyAlignment="1">
      <alignment wrapText="1"/>
    </xf>
    <xf numFmtId="0" fontId="0" fillId="0" borderId="122" xfId="0" applyFill="1" applyBorder="1" applyAlignment="1">
      <alignment wrapText="1"/>
    </xf>
    <xf numFmtId="0" fontId="0" fillId="0" borderId="114" xfId="0" applyBorder="1" applyAlignment="1"/>
    <xf numFmtId="0" fontId="0" fillId="13" borderId="115" xfId="0" applyFill="1" applyBorder="1" applyAlignment="1"/>
    <xf numFmtId="0" fontId="0" fillId="6" borderId="126" xfId="0" applyFill="1" applyBorder="1" applyAlignment="1"/>
    <xf numFmtId="0" fontId="0" fillId="6" borderId="117" xfId="0" applyFill="1" applyBorder="1" applyAlignment="1"/>
    <xf numFmtId="0" fontId="0" fillId="6" borderId="119" xfId="0" applyFill="1" applyBorder="1" applyAlignment="1"/>
    <xf numFmtId="0" fontId="0" fillId="0" borderId="0" xfId="0" applyFill="1" applyBorder="1" applyAlignment="1"/>
    <xf numFmtId="3" fontId="0" fillId="0" borderId="0" xfId="0" applyNumberFormat="1" applyFill="1" applyBorder="1" applyAlignment="1">
      <alignment wrapText="1"/>
    </xf>
    <xf numFmtId="0" fontId="0" fillId="0" borderId="23" xfId="0" applyBorder="1"/>
    <xf numFmtId="0" fontId="0" fillId="0" borderId="60" xfId="0" applyBorder="1" applyAlignment="1"/>
    <xf numFmtId="0" fontId="0" fillId="6" borderId="77" xfId="0" applyFill="1" applyBorder="1" applyAlignment="1"/>
    <xf numFmtId="0" fontId="0" fillId="13" borderId="60" xfId="0" applyFill="1" applyBorder="1" applyAlignment="1"/>
    <xf numFmtId="3" fontId="0" fillId="0" borderId="60" xfId="0" applyNumberFormat="1" applyFill="1" applyBorder="1" applyAlignment="1">
      <alignment wrapText="1"/>
    </xf>
    <xf numFmtId="0" fontId="0" fillId="6" borderId="77" xfId="0" applyFill="1" applyBorder="1"/>
    <xf numFmtId="0" fontId="3" fillId="0" borderId="21" xfId="0" applyFont="1" applyBorder="1"/>
    <xf numFmtId="0" fontId="0" fillId="0" borderId="20" xfId="0" applyBorder="1"/>
    <xf numFmtId="0" fontId="0" fillId="0" borderId="24" xfId="0" applyFill="1" applyBorder="1"/>
    <xf numFmtId="0" fontId="0" fillId="0" borderId="24" xfId="0" applyFill="1" applyBorder="1" applyAlignment="1">
      <alignment wrapText="1"/>
    </xf>
    <xf numFmtId="0" fontId="0" fillId="0" borderId="25" xfId="0" applyFill="1" applyBorder="1"/>
    <xf numFmtId="0" fontId="3" fillId="13" borderId="24" xfId="0" applyFont="1" applyFill="1" applyBorder="1" applyAlignment="1">
      <alignment wrapText="1"/>
    </xf>
    <xf numFmtId="0" fontId="0" fillId="13" borderId="0" xfId="0" applyFill="1" applyBorder="1"/>
    <xf numFmtId="0" fontId="42" fillId="0" borderId="109" xfId="0" applyFont="1" applyFill="1" applyBorder="1" applyAlignment="1">
      <alignment horizontal="center" wrapText="1"/>
    </xf>
    <xf numFmtId="0" fontId="42" fillId="13" borderId="108" xfId="0" applyFont="1" applyFill="1" applyBorder="1" applyAlignment="1">
      <alignment horizontal="center" wrapText="1"/>
    </xf>
    <xf numFmtId="0" fontId="49" fillId="0" borderId="15" xfId="0" applyFont="1" applyFill="1" applyBorder="1" applyAlignment="1">
      <alignment horizontal="center" wrapText="1"/>
    </xf>
    <xf numFmtId="0" fontId="49" fillId="13" borderId="113" xfId="0" applyFont="1" applyFill="1" applyBorder="1" applyAlignment="1">
      <alignment horizontal="center" wrapText="1"/>
    </xf>
    <xf numFmtId="0" fontId="42" fillId="13" borderId="129" xfId="0" applyFont="1" applyFill="1" applyBorder="1" applyAlignment="1">
      <alignment horizontal="center" wrapText="1"/>
    </xf>
    <xf numFmtId="2" fontId="0" fillId="13" borderId="0" xfId="0" applyNumberFormat="1" applyFill="1" applyBorder="1"/>
    <xf numFmtId="2" fontId="0" fillId="13" borderId="118" xfId="0" applyNumberFormat="1" applyFill="1" applyBorder="1"/>
    <xf numFmtId="168" fontId="0" fillId="0" borderId="25" xfId="0" applyNumberFormat="1" applyBorder="1"/>
    <xf numFmtId="164" fontId="0" fillId="0" borderId="24" xfId="0" applyNumberFormat="1" applyBorder="1"/>
    <xf numFmtId="0" fontId="0" fillId="0" borderId="61" xfId="0" applyBorder="1"/>
    <xf numFmtId="168" fontId="0" fillId="0" borderId="61" xfId="0" applyNumberFormat="1" applyBorder="1"/>
    <xf numFmtId="0" fontId="0" fillId="0" borderId="77" xfId="0" applyBorder="1"/>
    <xf numFmtId="0" fontId="42" fillId="0" borderId="0" xfId="0" applyFont="1" applyAlignment="1">
      <alignment horizontal="center" wrapText="1"/>
    </xf>
    <xf numFmtId="0" fontId="46" fillId="0" borderId="109" xfId="0" applyFont="1" applyFill="1" applyBorder="1" applyAlignment="1" applyProtection="1">
      <alignment horizontal="center" wrapText="1"/>
      <protection hidden="1"/>
    </xf>
    <xf numFmtId="0" fontId="42" fillId="13" borderId="113" xfId="0" applyFont="1" applyFill="1" applyBorder="1" applyAlignment="1" applyProtection="1">
      <alignment horizontal="center" wrapText="1"/>
      <protection hidden="1"/>
    </xf>
    <xf numFmtId="0" fontId="42" fillId="0" borderId="60" xfId="0" applyFont="1" applyBorder="1" applyAlignment="1">
      <alignment horizontal="center" wrapText="1"/>
    </xf>
    <xf numFmtId="3" fontId="0" fillId="13" borderId="60" xfId="0" applyNumberFormat="1" applyFill="1" applyBorder="1" applyAlignment="1"/>
    <xf numFmtId="3" fontId="0" fillId="6" borderId="77" xfId="0" applyNumberFormat="1" applyFill="1" applyBorder="1" applyAlignment="1"/>
    <xf numFmtId="3" fontId="0" fillId="0" borderId="60" xfId="0" applyNumberFormat="1" applyBorder="1" applyAlignment="1"/>
    <xf numFmtId="3" fontId="0" fillId="6" borderId="77" xfId="0" applyNumberFormat="1" applyFill="1" applyBorder="1"/>
    <xf numFmtId="0" fontId="3" fillId="13" borderId="51" xfId="0" applyFont="1" applyFill="1" applyBorder="1" applyAlignment="1">
      <alignment wrapText="1"/>
    </xf>
    <xf numFmtId="0" fontId="0" fillId="13" borderId="65" xfId="0" applyFill="1" applyBorder="1"/>
    <xf numFmtId="3" fontId="0" fillId="0" borderId="130" xfId="0" applyNumberFormat="1" applyBorder="1" applyAlignment="1">
      <alignment horizontal="center"/>
    </xf>
    <xf numFmtId="3" fontId="0" fillId="0" borderId="12" xfId="0" applyNumberFormat="1" applyBorder="1" applyAlignment="1">
      <alignment horizontal="center"/>
    </xf>
    <xf numFmtId="3" fontId="0" fillId="13" borderId="12" xfId="0" applyNumberFormat="1" applyFill="1" applyBorder="1" applyAlignment="1">
      <alignment horizontal="center"/>
    </xf>
    <xf numFmtId="164" fontId="0" fillId="13" borderId="131" xfId="0" applyNumberFormat="1" applyFill="1" applyBorder="1" applyAlignment="1">
      <alignment horizontal="center"/>
    </xf>
    <xf numFmtId="0" fontId="0" fillId="0" borderId="130" xfId="0" applyBorder="1"/>
    <xf numFmtId="0" fontId="0" fillId="0" borderId="12" xfId="0" applyBorder="1"/>
    <xf numFmtId="0" fontId="0" fillId="0" borderId="131" xfId="0" applyBorder="1"/>
    <xf numFmtId="3" fontId="0" fillId="0" borderId="130" xfId="0" applyNumberFormat="1" applyBorder="1"/>
    <xf numFmtId="3" fontId="0" fillId="0" borderId="12" xfId="0" applyNumberFormat="1" applyBorder="1"/>
    <xf numFmtId="3" fontId="0" fillId="13" borderId="12" xfId="0" applyNumberFormat="1" applyFill="1" applyBorder="1"/>
    <xf numFmtId="164" fontId="0" fillId="13" borderId="131" xfId="0" applyNumberFormat="1" applyFill="1" applyBorder="1"/>
    <xf numFmtId="3" fontId="0" fillId="0" borderId="133" xfId="0" applyNumberFormat="1" applyBorder="1"/>
    <xf numFmtId="3" fontId="0" fillId="0" borderId="134" xfId="0" applyNumberFormat="1" applyBorder="1"/>
    <xf numFmtId="3" fontId="0" fillId="13" borderId="134" xfId="0" applyNumberFormat="1" applyFill="1" applyBorder="1"/>
    <xf numFmtId="164" fontId="0" fillId="13" borderId="135" xfId="0" applyNumberFormat="1" applyFill="1" applyBorder="1"/>
    <xf numFmtId="0" fontId="0" fillId="0" borderId="135" xfId="0" applyBorder="1"/>
    <xf numFmtId="0" fontId="0" fillId="0" borderId="133" xfId="0" applyBorder="1"/>
    <xf numFmtId="0" fontId="0" fillId="0" borderId="136" xfId="0" applyBorder="1"/>
    <xf numFmtId="169" fontId="0" fillId="0" borderId="12" xfId="0" applyNumberFormat="1" applyBorder="1"/>
    <xf numFmtId="169" fontId="0" fillId="13" borderId="12" xfId="0" applyNumberFormat="1" applyFill="1" applyBorder="1"/>
    <xf numFmtId="0" fontId="0" fillId="13" borderId="12" xfId="0" applyFill="1" applyBorder="1"/>
    <xf numFmtId="3" fontId="0" fillId="0" borderId="136" xfId="0" applyNumberFormat="1" applyBorder="1" applyAlignment="1">
      <alignment horizontal="center"/>
    </xf>
    <xf numFmtId="3" fontId="0" fillId="0" borderId="10" xfId="0" applyNumberFormat="1" applyBorder="1" applyAlignment="1">
      <alignment horizontal="center"/>
    </xf>
    <xf numFmtId="3" fontId="0" fillId="13" borderId="10" xfId="0" applyNumberFormat="1" applyFill="1" applyBorder="1" applyAlignment="1">
      <alignment horizontal="center"/>
    </xf>
    <xf numFmtId="164" fontId="0" fillId="13" borderId="137" xfId="0" applyNumberFormat="1" applyFill="1" applyBorder="1" applyAlignment="1">
      <alignment horizontal="center"/>
    </xf>
    <xf numFmtId="3" fontId="0" fillId="0" borderId="136" xfId="0" applyNumberFormat="1" applyBorder="1"/>
    <xf numFmtId="3" fontId="0" fillId="0" borderId="10" xfId="0" applyNumberFormat="1" applyBorder="1"/>
    <xf numFmtId="3" fontId="0" fillId="13" borderId="10" xfId="0" applyNumberFormat="1" applyFill="1" applyBorder="1"/>
    <xf numFmtId="164" fontId="0" fillId="13" borderId="137" xfId="0" applyNumberFormat="1" applyFill="1" applyBorder="1"/>
    <xf numFmtId="0" fontId="26" fillId="0" borderId="138" xfId="0" applyFont="1" applyFill="1" applyBorder="1" applyAlignment="1" applyProtection="1">
      <alignment horizontal="center" vertical="center" wrapText="1"/>
      <protection hidden="1"/>
    </xf>
    <xf numFmtId="0" fontId="3" fillId="13" borderId="113" xfId="0" applyFont="1" applyFill="1" applyBorder="1" applyAlignment="1" applyProtection="1">
      <alignment horizontal="center" vertical="center" wrapText="1"/>
      <protection hidden="1"/>
    </xf>
    <xf numFmtId="0" fontId="44" fillId="0" borderId="138" xfId="0" applyFont="1" applyFill="1" applyBorder="1" applyAlignment="1">
      <alignment vertical="top" wrapText="1"/>
    </xf>
    <xf numFmtId="0" fontId="44" fillId="13" borderId="108" xfId="0" applyFont="1" applyFill="1" applyBorder="1" applyAlignment="1">
      <alignment vertical="top" wrapText="1"/>
    </xf>
    <xf numFmtId="0" fontId="53" fillId="0" borderId="47" xfId="0" applyFont="1" applyFill="1" applyBorder="1" applyAlignment="1">
      <alignment horizontal="center" vertical="top" wrapText="1"/>
    </xf>
    <xf numFmtId="0" fontId="53" fillId="13" borderId="139" xfId="0" applyFont="1" applyFill="1" applyBorder="1" applyAlignment="1">
      <alignment horizontal="center" vertical="top" wrapText="1"/>
    </xf>
    <xf numFmtId="0" fontId="44" fillId="13" borderId="47" xfId="0" applyFont="1" applyFill="1" applyBorder="1" applyAlignment="1">
      <alignment vertical="top" wrapText="1"/>
    </xf>
    <xf numFmtId="0" fontId="0" fillId="0" borderId="97" xfId="0" applyBorder="1" applyAlignment="1">
      <alignment horizontal="center" wrapText="1"/>
    </xf>
    <xf numFmtId="0" fontId="0" fillId="0" borderId="140" xfId="0" applyBorder="1" applyAlignment="1">
      <alignment horizontal="center" wrapText="1"/>
    </xf>
    <xf numFmtId="0" fontId="0" fillId="0" borderId="82" xfId="0" applyBorder="1" applyAlignment="1">
      <alignment wrapText="1"/>
    </xf>
    <xf numFmtId="0" fontId="0" fillId="0" borderId="141" xfId="0" applyFill="1" applyBorder="1"/>
    <xf numFmtId="0" fontId="0" fillId="13" borderId="113" xfId="0" applyFill="1" applyBorder="1"/>
    <xf numFmtId="0" fontId="44" fillId="0" borderId="141" xfId="0" applyFont="1" applyFill="1" applyBorder="1" applyAlignment="1">
      <alignment vertical="top"/>
    </xf>
    <xf numFmtId="0" fontId="44" fillId="13" borderId="108" xfId="0" applyFont="1" applyFill="1" applyBorder="1" applyAlignment="1">
      <alignment vertical="top"/>
    </xf>
    <xf numFmtId="0" fontId="53" fillId="0" borderId="17" xfId="0" applyFont="1" applyFill="1" applyBorder="1" applyAlignment="1">
      <alignment horizontal="center" vertical="top"/>
    </xf>
    <xf numFmtId="0" fontId="53" fillId="13" borderId="142" xfId="0" applyFont="1" applyFill="1" applyBorder="1" applyAlignment="1">
      <alignment horizontal="center" vertical="top"/>
    </xf>
    <xf numFmtId="0" fontId="53" fillId="0" borderId="141" xfId="0" applyFont="1" applyFill="1" applyBorder="1" applyAlignment="1">
      <alignment horizontal="center" vertical="top"/>
    </xf>
    <xf numFmtId="0" fontId="44" fillId="13" borderId="17" xfId="0" applyFont="1" applyFill="1" applyBorder="1" applyAlignment="1">
      <alignment vertical="top"/>
    </xf>
    <xf numFmtId="0" fontId="0" fillId="0" borderId="65" xfId="0" applyBorder="1"/>
    <xf numFmtId="0" fontId="0" fillId="0" borderId="74" xfId="0" applyBorder="1"/>
    <xf numFmtId="0" fontId="3" fillId="0" borderId="143" xfId="0" applyFont="1" applyBorder="1" applyAlignment="1">
      <alignment horizontal="center"/>
    </xf>
    <xf numFmtId="0" fontId="3" fillId="0" borderId="16" xfId="0" applyFont="1" applyBorder="1" applyAlignment="1">
      <alignment horizontal="center"/>
    </xf>
    <xf numFmtId="0" fontId="3" fillId="13" borderId="16" xfId="0" applyFont="1" applyFill="1" applyBorder="1" applyAlignment="1">
      <alignment horizontal="center"/>
    </xf>
    <xf numFmtId="169" fontId="0" fillId="0" borderId="10" xfId="0" applyNumberFormat="1" applyBorder="1"/>
    <xf numFmtId="169" fontId="0" fillId="13" borderId="10" xfId="0" applyNumberFormat="1" applyFill="1" applyBorder="1"/>
    <xf numFmtId="0" fontId="0" fillId="13" borderId="10" xfId="0" applyFill="1" applyBorder="1"/>
    <xf numFmtId="0" fontId="42" fillId="0" borderId="145" xfId="0" applyFont="1" applyBorder="1" applyAlignment="1">
      <alignment horizontal="center" wrapText="1"/>
    </xf>
    <xf numFmtId="0" fontId="42" fillId="0" borderId="146" xfId="0" applyFont="1" applyFill="1" applyBorder="1" applyAlignment="1">
      <alignment horizontal="center" wrapText="1"/>
    </xf>
    <xf numFmtId="0" fontId="42" fillId="0" borderId="146" xfId="0" applyFont="1" applyBorder="1" applyAlignment="1">
      <alignment horizontal="center" wrapText="1"/>
    </xf>
    <xf numFmtId="0" fontId="42" fillId="13" borderId="146" xfId="0" applyFont="1" applyFill="1" applyBorder="1" applyAlignment="1">
      <alignment horizontal="center" wrapText="1"/>
    </xf>
    <xf numFmtId="0" fontId="44" fillId="0" borderId="147" xfId="0" applyFont="1" applyBorder="1" applyAlignment="1">
      <alignment wrapText="1"/>
    </xf>
    <xf numFmtId="0" fontId="44" fillId="0" borderId="148" xfId="0" applyFont="1" applyFill="1" applyBorder="1" applyAlignment="1">
      <alignment vertical="center" wrapText="1"/>
    </xf>
    <xf numFmtId="0" fontId="44" fillId="0" borderId="148" xfId="0" applyFont="1" applyBorder="1" applyAlignment="1">
      <alignment horizontal="center" wrapText="1"/>
    </xf>
    <xf numFmtId="0" fontId="44" fillId="13" borderId="148" xfId="0" applyFont="1" applyFill="1" applyBorder="1" applyAlignment="1">
      <alignment horizontal="center" wrapText="1"/>
    </xf>
    <xf numFmtId="0" fontId="0" fillId="13" borderId="148" xfId="0" applyFill="1" applyBorder="1" applyAlignment="1">
      <alignment horizontal="center" wrapText="1"/>
    </xf>
    <xf numFmtId="0" fontId="44" fillId="13" borderId="148" xfId="0" applyFont="1" applyFill="1" applyBorder="1" applyAlignment="1">
      <alignment horizontal="center" vertical="center" wrapText="1"/>
    </xf>
    <xf numFmtId="0" fontId="0" fillId="13" borderId="149" xfId="0" applyFill="1" applyBorder="1" applyAlignment="1">
      <alignment horizontal="center" wrapText="1"/>
    </xf>
    <xf numFmtId="0" fontId="42" fillId="13" borderId="150" xfId="0" applyFont="1" applyFill="1" applyBorder="1" applyAlignment="1">
      <alignment horizontal="center" wrapText="1"/>
    </xf>
    <xf numFmtId="0" fontId="3" fillId="13" borderId="129" xfId="0" applyFont="1" applyFill="1" applyBorder="1" applyAlignment="1">
      <alignment horizontal="center"/>
    </xf>
    <xf numFmtId="164" fontId="0" fillId="13" borderId="151" xfId="0" applyNumberFormat="1" applyFill="1" applyBorder="1" applyAlignment="1">
      <alignment horizontal="center"/>
    </xf>
    <xf numFmtId="164" fontId="0" fillId="13" borderId="152" xfId="0" applyNumberFormat="1" applyFill="1" applyBorder="1" applyAlignment="1">
      <alignment horizontal="center"/>
    </xf>
    <xf numFmtId="0" fontId="0" fillId="0" borderId="152" xfId="0" applyBorder="1"/>
    <xf numFmtId="0" fontId="3" fillId="13" borderId="54" xfId="0" applyFont="1" applyFill="1" applyBorder="1" applyAlignment="1">
      <alignment wrapText="1"/>
    </xf>
    <xf numFmtId="168" fontId="0" fillId="13" borderId="136" xfId="0" applyNumberFormat="1" applyFill="1" applyBorder="1" applyAlignment="1">
      <alignment horizontal="center"/>
    </xf>
    <xf numFmtId="168" fontId="0" fillId="13" borderId="130" xfId="0" applyNumberFormat="1" applyFill="1" applyBorder="1" applyAlignment="1">
      <alignment horizontal="center"/>
    </xf>
    <xf numFmtId="0" fontId="42" fillId="0" borderId="63" xfId="0" applyFont="1" applyBorder="1" applyAlignment="1">
      <alignment horizontal="center" wrapText="1"/>
    </xf>
    <xf numFmtId="0" fontId="42" fillId="0" borderId="42" xfId="0" applyFont="1" applyFill="1" applyBorder="1" applyAlignment="1">
      <alignment horizontal="center" wrapText="1"/>
    </xf>
    <xf numFmtId="0" fontId="42" fillId="0" borderId="42" xfId="0" applyFont="1" applyBorder="1" applyAlignment="1">
      <alignment horizontal="center" wrapText="1"/>
    </xf>
    <xf numFmtId="0" fontId="42" fillId="13" borderId="42" xfId="0" applyFont="1" applyFill="1" applyBorder="1" applyAlignment="1">
      <alignment horizontal="center" wrapText="1"/>
    </xf>
    <xf numFmtId="0" fontId="42" fillId="13" borderId="153" xfId="0" applyFont="1" applyFill="1" applyBorder="1" applyAlignment="1">
      <alignment horizontal="center" wrapText="1"/>
    </xf>
    <xf numFmtId="164" fontId="0" fillId="13" borderId="151" xfId="0" applyNumberFormat="1" applyFill="1" applyBorder="1"/>
    <xf numFmtId="164" fontId="0" fillId="13" borderId="152" xfId="0" applyNumberFormat="1" applyFill="1" applyBorder="1"/>
    <xf numFmtId="0" fontId="0" fillId="13" borderId="64" xfId="0" applyFill="1" applyBorder="1"/>
    <xf numFmtId="168" fontId="0" fillId="13" borderId="136" xfId="0" applyNumberFormat="1" applyFill="1" applyBorder="1"/>
    <xf numFmtId="168" fontId="0" fillId="13" borderId="130" xfId="0" applyNumberFormat="1" applyFill="1" applyBorder="1"/>
    <xf numFmtId="0" fontId="3" fillId="13" borderId="25" xfId="0" applyFont="1" applyFill="1" applyBorder="1" applyAlignment="1">
      <alignment wrapText="1"/>
    </xf>
    <xf numFmtId="0" fontId="0" fillId="13" borderId="97" xfId="0" applyFill="1" applyBorder="1"/>
    <xf numFmtId="0" fontId="0" fillId="13" borderId="140" xfId="0" applyFill="1" applyBorder="1"/>
    <xf numFmtId="0" fontId="0" fillId="0" borderId="140" xfId="0" applyBorder="1"/>
    <xf numFmtId="164" fontId="0" fillId="13" borderId="154" xfId="0" applyNumberFormat="1" applyFill="1" applyBorder="1"/>
    <xf numFmtId="0" fontId="0" fillId="0" borderId="154" xfId="0" applyBorder="1"/>
    <xf numFmtId="168" fontId="0" fillId="13" borderId="133" xfId="0" applyNumberFormat="1" applyFill="1" applyBorder="1"/>
    <xf numFmtId="0" fontId="3" fillId="13" borderId="18" xfId="0" applyFont="1" applyFill="1" applyBorder="1" applyAlignment="1">
      <alignment wrapText="1"/>
    </xf>
    <xf numFmtId="0" fontId="3" fillId="13" borderId="20" xfId="0" applyFont="1" applyFill="1" applyBorder="1" applyAlignment="1">
      <alignment wrapText="1"/>
    </xf>
    <xf numFmtId="0" fontId="3" fillId="0" borderId="61" xfId="0" applyFont="1" applyBorder="1" applyAlignment="1">
      <alignment wrapText="1"/>
    </xf>
    <xf numFmtId="0" fontId="44" fillId="0" borderId="132" xfId="0" applyFont="1" applyBorder="1" applyAlignment="1">
      <alignment wrapText="1"/>
    </xf>
    <xf numFmtId="0" fontId="44" fillId="0" borderId="14" xfId="0" applyFont="1" applyFill="1" applyBorder="1" applyAlignment="1">
      <alignment vertical="center" wrapText="1"/>
    </xf>
    <xf numFmtId="0" fontId="44" fillId="0" borderId="14" xfId="0" applyFont="1" applyBorder="1" applyAlignment="1">
      <alignment horizontal="center" wrapText="1"/>
    </xf>
    <xf numFmtId="0" fontId="44" fillId="13" borderId="14" xfId="0" applyFont="1" applyFill="1" applyBorder="1" applyAlignment="1">
      <alignment horizontal="center" wrapText="1"/>
    </xf>
    <xf numFmtId="0" fontId="0" fillId="13" borderId="14" xfId="0" applyFill="1" applyBorder="1" applyAlignment="1">
      <alignment horizontal="center" wrapText="1"/>
    </xf>
    <xf numFmtId="0" fontId="44" fillId="13" borderId="14" xfId="0" applyFont="1" applyFill="1" applyBorder="1" applyAlignment="1">
      <alignment horizontal="center" vertical="center" wrapText="1"/>
    </xf>
    <xf numFmtId="0" fontId="0" fillId="13" borderId="155" xfId="0" applyFill="1" applyBorder="1" applyAlignment="1">
      <alignment horizontal="center" wrapText="1"/>
    </xf>
    <xf numFmtId="0" fontId="3" fillId="13" borderId="144" xfId="0" applyFont="1" applyFill="1" applyBorder="1" applyAlignment="1">
      <alignment horizontal="center"/>
    </xf>
    <xf numFmtId="3" fontId="0" fillId="13" borderId="73" xfId="0" applyNumberFormat="1" applyFill="1" applyBorder="1" applyAlignment="1"/>
    <xf numFmtId="167" fontId="0" fillId="13" borderId="10" xfId="0" applyNumberFormat="1" applyFill="1" applyBorder="1" applyAlignment="1">
      <alignment horizontal="center"/>
    </xf>
    <xf numFmtId="167" fontId="0" fillId="13" borderId="12" xfId="0" applyNumberFormat="1" applyFill="1" applyBorder="1" applyAlignment="1">
      <alignment horizontal="center"/>
    </xf>
    <xf numFmtId="167" fontId="0" fillId="13" borderId="10" xfId="0" applyNumberFormat="1" applyFill="1" applyBorder="1"/>
    <xf numFmtId="167" fontId="0" fillId="13" borderId="12" xfId="0" applyNumberFormat="1" applyFill="1" applyBorder="1"/>
    <xf numFmtId="167" fontId="0" fillId="13" borderId="134" xfId="0" applyNumberFormat="1" applyFill="1" applyBorder="1"/>
    <xf numFmtId="167" fontId="0" fillId="0" borderId="134" xfId="0" applyNumberFormat="1" applyBorder="1"/>
    <xf numFmtId="164" fontId="0" fillId="0" borderId="152" xfId="0" applyNumberFormat="1" applyBorder="1"/>
    <xf numFmtId="0" fontId="54" fillId="0" borderId="0" xfId="0" applyFont="1"/>
    <xf numFmtId="0" fontId="0" fillId="0" borderId="0" xfId="0" applyProtection="1">
      <protection hidden="1"/>
    </xf>
    <xf numFmtId="170" fontId="0" fillId="0" borderId="0" xfId="0" applyNumberFormat="1" applyProtection="1">
      <protection hidden="1"/>
    </xf>
    <xf numFmtId="9" fontId="0" fillId="0" borderId="0" xfId="1" applyFont="1" applyAlignment="1" applyProtection="1">
      <alignment horizontal="right"/>
      <protection hidden="1"/>
    </xf>
    <xf numFmtId="1" fontId="0" fillId="0" borderId="0" xfId="0" applyNumberFormat="1" applyProtection="1">
      <protection hidden="1"/>
    </xf>
    <xf numFmtId="0" fontId="3" fillId="0" borderId="0" xfId="0" applyFont="1" applyProtection="1">
      <protection hidden="1"/>
    </xf>
    <xf numFmtId="10" fontId="0" fillId="0" borderId="0" xfId="0" applyNumberFormat="1" applyProtection="1">
      <protection hidden="1"/>
    </xf>
    <xf numFmtId="0" fontId="3" fillId="0" borderId="0" xfId="0" applyFont="1" applyBorder="1" applyProtection="1">
      <protection hidden="1"/>
    </xf>
    <xf numFmtId="168" fontId="3" fillId="0" borderId="0" xfId="0" applyNumberFormat="1" applyFont="1" applyProtection="1">
      <protection hidden="1"/>
    </xf>
    <xf numFmtId="168" fontId="3" fillId="0" borderId="0" xfId="0" applyNumberFormat="1" applyFont="1" applyBorder="1" applyProtection="1">
      <protection hidden="1"/>
    </xf>
    <xf numFmtId="167" fontId="3" fillId="0" borderId="0" xfId="0" applyNumberFormat="1" applyFont="1" applyProtection="1">
      <protection hidden="1"/>
    </xf>
    <xf numFmtId="0" fontId="0" fillId="0" borderId="25" xfId="0" applyBorder="1" applyProtection="1">
      <protection hidden="1"/>
    </xf>
    <xf numFmtId="0" fontId="0" fillId="0" borderId="0" xfId="0" applyBorder="1" applyProtection="1">
      <protection hidden="1"/>
    </xf>
    <xf numFmtId="3" fontId="0" fillId="0" borderId="24" xfId="0" applyNumberFormat="1" applyBorder="1" applyProtection="1">
      <protection hidden="1"/>
    </xf>
    <xf numFmtId="0" fontId="50" fillId="0" borderId="0" xfId="0" applyFont="1" applyBorder="1" applyProtection="1">
      <protection hidden="1"/>
    </xf>
    <xf numFmtId="0" fontId="0" fillId="0" borderId="27" xfId="0" applyBorder="1" applyProtection="1">
      <protection hidden="1"/>
    </xf>
    <xf numFmtId="0" fontId="0" fillId="0" borderId="28" xfId="0" applyBorder="1" applyProtection="1">
      <protection hidden="1"/>
    </xf>
    <xf numFmtId="1" fontId="3" fillId="0" borderId="0" xfId="0" applyNumberFormat="1" applyFont="1" applyProtection="1">
      <protection hidden="1"/>
    </xf>
    <xf numFmtId="0" fontId="8" fillId="0" borderId="0" xfId="0" applyFont="1" applyBorder="1" applyAlignment="1" applyProtection="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0" fillId="0" borderId="0" xfId="0" quotePrefix="1" applyAlignment="1" applyProtection="1">
      <alignment wrapText="1"/>
      <protection hidden="1"/>
    </xf>
    <xf numFmtId="167" fontId="3" fillId="0" borderId="49" xfId="0" applyNumberFormat="1" applyFont="1" applyBorder="1" applyAlignment="1" applyProtection="1">
      <alignment horizontal="right"/>
      <protection hidden="1"/>
    </xf>
    <xf numFmtId="167" fontId="0" fillId="15" borderId="20" xfId="0" applyNumberFormat="1" applyFill="1" applyBorder="1" applyProtection="1">
      <protection hidden="1"/>
    </xf>
    <xf numFmtId="3" fontId="0" fillId="0" borderId="0" xfId="0" applyNumberFormat="1" applyBorder="1" applyProtection="1">
      <protection hidden="1"/>
    </xf>
    <xf numFmtId="4" fontId="0" fillId="0" borderId="24" xfId="0" applyNumberFormat="1" applyBorder="1" applyProtection="1">
      <protection hidden="1"/>
    </xf>
    <xf numFmtId="167" fontId="3" fillId="0" borderId="49" xfId="0" applyNumberFormat="1" applyFont="1" applyFill="1" applyBorder="1" applyAlignment="1" applyProtection="1">
      <alignment horizontal="right"/>
      <protection hidden="1"/>
    </xf>
    <xf numFmtId="167" fontId="0" fillId="0" borderId="19" xfId="0" applyNumberFormat="1" applyFont="1" applyFill="1" applyBorder="1" applyAlignment="1" applyProtection="1">
      <alignment horizontal="right"/>
      <protection hidden="1"/>
    </xf>
    <xf numFmtId="167" fontId="39" fillId="0" borderId="50" xfId="0" applyNumberFormat="1" applyFont="1" applyBorder="1" applyAlignment="1" applyProtection="1">
      <alignment horizontal="right"/>
      <protection hidden="1"/>
    </xf>
    <xf numFmtId="167" fontId="40" fillId="15" borderId="29" xfId="0" applyNumberFormat="1" applyFont="1" applyFill="1" applyBorder="1" applyProtection="1">
      <protection hidden="1"/>
    </xf>
    <xf numFmtId="3" fontId="40" fillId="0" borderId="0" xfId="0" applyNumberFormat="1" applyFont="1" applyBorder="1" applyProtection="1">
      <protection hidden="1"/>
    </xf>
    <xf numFmtId="0" fontId="40" fillId="0" borderId="0" xfId="0" applyFont="1" applyProtection="1">
      <protection hidden="1"/>
    </xf>
    <xf numFmtId="167" fontId="39" fillId="0" borderId="50" xfId="0" applyNumberFormat="1" applyFont="1" applyFill="1" applyBorder="1" applyAlignment="1" applyProtection="1">
      <alignment horizontal="right"/>
      <protection hidden="1"/>
    </xf>
    <xf numFmtId="167" fontId="40" fillId="0" borderId="28" xfId="0" applyNumberFormat="1" applyFont="1" applyFill="1" applyBorder="1" applyAlignment="1" applyProtection="1">
      <alignment horizontal="right"/>
      <protection hidden="1"/>
    </xf>
    <xf numFmtId="167" fontId="40" fillId="0" borderId="0" xfId="0" applyNumberFormat="1" applyFont="1" applyProtection="1">
      <protection hidden="1"/>
    </xf>
    <xf numFmtId="167" fontId="0" fillId="0" borderId="21" xfId="0" applyNumberFormat="1" applyBorder="1" applyProtection="1">
      <protection hidden="1"/>
    </xf>
    <xf numFmtId="167" fontId="0" fillId="0" borderId="22" xfId="0" applyNumberFormat="1" applyBorder="1" applyProtection="1">
      <protection hidden="1"/>
    </xf>
    <xf numFmtId="167" fontId="0" fillId="15" borderId="23" xfId="0" applyNumberFormat="1" applyFill="1" applyBorder="1" applyProtection="1">
      <protection hidden="1"/>
    </xf>
    <xf numFmtId="167" fontId="0" fillId="0" borderId="21" xfId="0" applyNumberFormat="1" applyFill="1" applyBorder="1" applyProtection="1">
      <protection hidden="1"/>
    </xf>
    <xf numFmtId="167" fontId="0" fillId="0" borderId="22" xfId="0" applyNumberFormat="1" applyFill="1" applyBorder="1" applyProtection="1">
      <protection hidden="1"/>
    </xf>
    <xf numFmtId="3" fontId="3" fillId="0" borderId="17" xfId="0" applyNumberFormat="1" applyFont="1" applyBorder="1" applyProtection="1">
      <protection hidden="1"/>
    </xf>
    <xf numFmtId="4" fontId="3" fillId="18" borderId="65" xfId="0" applyNumberFormat="1" applyFont="1" applyFill="1" applyBorder="1" applyProtection="1">
      <protection hidden="1"/>
    </xf>
    <xf numFmtId="0" fontId="40" fillId="0" borderId="25" xfId="0" applyFont="1" applyBorder="1" applyProtection="1">
      <protection hidden="1"/>
    </xf>
    <xf numFmtId="0" fontId="40" fillId="0" borderId="0" xfId="0" applyFont="1" applyBorder="1" applyProtection="1">
      <protection hidden="1"/>
    </xf>
    <xf numFmtId="0" fontId="39" fillId="0" borderId="0" xfId="0" applyFont="1" applyBorder="1" applyProtection="1">
      <protection hidden="1"/>
    </xf>
    <xf numFmtId="3" fontId="39" fillId="0" borderId="0" xfId="0" applyNumberFormat="1" applyFont="1" applyBorder="1" applyProtection="1">
      <protection hidden="1"/>
    </xf>
    <xf numFmtId="0" fontId="39" fillId="0" borderId="0" xfId="0" applyFont="1" applyProtection="1">
      <protection hidden="1"/>
    </xf>
    <xf numFmtId="0" fontId="3" fillId="0" borderId="25" xfId="0" applyFont="1" applyBorder="1" applyProtection="1">
      <protection hidden="1"/>
    </xf>
    <xf numFmtId="3" fontId="3" fillId="17" borderId="0" xfId="0" applyNumberFormat="1" applyFont="1" applyFill="1" applyBorder="1" applyProtection="1">
      <protection hidden="1"/>
    </xf>
    <xf numFmtId="3" fontId="7" fillId="0" borderId="24" xfId="0" applyNumberFormat="1" applyFont="1" applyBorder="1" applyProtection="1">
      <protection hidden="1"/>
    </xf>
    <xf numFmtId="0" fontId="7" fillId="0" borderId="0" xfId="0" applyFont="1" applyBorder="1" applyProtection="1">
      <protection hidden="1"/>
    </xf>
    <xf numFmtId="3" fontId="50" fillId="0" borderId="24" xfId="0" applyNumberFormat="1" applyFont="1" applyBorder="1" applyProtection="1">
      <protection hidden="1"/>
    </xf>
    <xf numFmtId="0" fontId="3" fillId="0" borderId="27" xfId="0" applyFont="1" applyBorder="1" applyProtection="1">
      <protection hidden="1"/>
    </xf>
    <xf numFmtId="0" fontId="3" fillId="0" borderId="28" xfId="0" applyFont="1" applyBorder="1" applyProtection="1">
      <protection hidden="1"/>
    </xf>
    <xf numFmtId="0" fontId="7" fillId="0" borderId="29" xfId="0" applyFont="1" applyBorder="1" applyProtection="1">
      <protection hidden="1"/>
    </xf>
    <xf numFmtId="0" fontId="7" fillId="0" borderId="0" xfId="0" applyFont="1" applyProtection="1">
      <protection hidden="1"/>
    </xf>
    <xf numFmtId="0" fontId="8" fillId="0" borderId="18" xfId="0" quotePrefix="1" applyFont="1" applyBorder="1" applyProtection="1">
      <protection hidden="1"/>
    </xf>
    <xf numFmtId="10" fontId="3" fillId="0" borderId="19" xfId="0" applyNumberFormat="1" applyFont="1" applyBorder="1" applyProtection="1">
      <protection hidden="1"/>
    </xf>
    <xf numFmtId="0" fontId="8" fillId="0" borderId="19" xfId="0" quotePrefix="1" applyFont="1" applyBorder="1" applyProtection="1">
      <protection hidden="1"/>
    </xf>
    <xf numFmtId="0" fontId="0" fillId="0" borderId="19" xfId="0" applyBorder="1" applyProtection="1">
      <protection hidden="1"/>
    </xf>
    <xf numFmtId="1" fontId="0" fillId="0" borderId="19" xfId="0" applyNumberFormat="1" applyBorder="1" applyProtection="1">
      <protection hidden="1"/>
    </xf>
    <xf numFmtId="0" fontId="24" fillId="0" borderId="19" xfId="0" applyFont="1" applyBorder="1" applyAlignment="1" applyProtection="1">
      <alignment wrapText="1"/>
      <protection hidden="1"/>
    </xf>
    <xf numFmtId="0" fontId="3" fillId="0" borderId="20" xfId="0" applyFont="1" applyBorder="1" applyProtection="1">
      <protection hidden="1"/>
    </xf>
    <xf numFmtId="0" fontId="3" fillId="0" borderId="0" xfId="0" applyFont="1" applyAlignment="1" applyProtection="1">
      <alignment horizontal="center" wrapText="1"/>
      <protection hidden="1"/>
    </xf>
    <xf numFmtId="1" fontId="0" fillId="0" borderId="0" xfId="0" applyNumberFormat="1" applyBorder="1" applyProtection="1">
      <protection hidden="1"/>
    </xf>
    <xf numFmtId="0" fontId="3" fillId="0" borderId="24" xfId="0" applyFont="1" applyBorder="1" applyProtection="1">
      <protection hidden="1"/>
    </xf>
    <xf numFmtId="0" fontId="3" fillId="0" borderId="0" xfId="0" applyFont="1" applyAlignment="1" applyProtection="1">
      <alignment horizontal="center"/>
      <protection hidden="1"/>
    </xf>
    <xf numFmtId="3" fontId="3" fillId="0" borderId="0" xfId="0" applyNumberFormat="1" applyFont="1" applyBorder="1" applyProtection="1">
      <protection hidden="1"/>
    </xf>
    <xf numFmtId="0" fontId="3" fillId="0" borderId="0" xfId="0" applyFont="1" applyBorder="1" applyAlignment="1" applyProtection="1">
      <protection hidden="1"/>
    </xf>
    <xf numFmtId="1" fontId="3" fillId="0" borderId="0" xfId="0" applyNumberFormat="1" applyFont="1" applyBorder="1" applyProtection="1">
      <protection hidden="1"/>
    </xf>
    <xf numFmtId="167" fontId="24" fillId="0" borderId="0" xfId="0" applyNumberFormat="1" applyFont="1" applyBorder="1" applyProtection="1">
      <protection hidden="1"/>
    </xf>
    <xf numFmtId="164" fontId="3" fillId="0" borderId="24" xfId="0" applyNumberFormat="1" applyFont="1" applyBorder="1" applyProtection="1">
      <protection hidden="1"/>
    </xf>
    <xf numFmtId="10" fontId="3" fillId="0" borderId="0" xfId="0" applyNumberFormat="1" applyFont="1" applyProtection="1">
      <protection hidden="1"/>
    </xf>
    <xf numFmtId="1" fontId="39" fillId="0" borderId="0" xfId="0" applyNumberFormat="1" applyFont="1" applyBorder="1" applyProtection="1">
      <protection hidden="1"/>
    </xf>
    <xf numFmtId="167" fontId="39" fillId="0" borderId="0" xfId="0" applyNumberFormat="1" applyFont="1" applyBorder="1" applyProtection="1">
      <protection hidden="1"/>
    </xf>
    <xf numFmtId="164" fontId="39" fillId="0" borderId="24" xfId="0" applyNumberFormat="1" applyFont="1" applyBorder="1" applyProtection="1">
      <protection hidden="1"/>
    </xf>
    <xf numFmtId="168" fontId="7" fillId="0" borderId="0" xfId="0" applyNumberFormat="1" applyFont="1" applyBorder="1" applyProtection="1">
      <protection hidden="1"/>
    </xf>
    <xf numFmtId="1" fontId="40" fillId="0" borderId="0" xfId="0" applyNumberFormat="1" applyFont="1" applyBorder="1" applyProtection="1">
      <protection hidden="1"/>
    </xf>
    <xf numFmtId="167" fontId="0" fillId="0" borderId="107" xfId="0" applyNumberFormat="1" applyBorder="1" applyProtection="1">
      <protection hidden="1"/>
    </xf>
    <xf numFmtId="0" fontId="0" fillId="0" borderId="24" xfId="0" applyBorder="1" applyProtection="1">
      <protection hidden="1"/>
    </xf>
    <xf numFmtId="167" fontId="0" fillId="0" borderId="0" xfId="0" applyNumberFormat="1" applyProtection="1">
      <protection hidden="1"/>
    </xf>
    <xf numFmtId="0" fontId="8" fillId="0" borderId="25" xfId="0" applyFont="1" applyBorder="1" applyProtection="1">
      <protection hidden="1"/>
    </xf>
    <xf numFmtId="0" fontId="8" fillId="0" borderId="0" xfId="0" applyFont="1" applyBorder="1" applyProtection="1">
      <protection hidden="1"/>
    </xf>
    <xf numFmtId="167" fontId="3" fillId="0" borderId="0" xfId="0" applyNumberFormat="1" applyFont="1" applyBorder="1" applyProtection="1">
      <protection hidden="1"/>
    </xf>
    <xf numFmtId="10" fontId="3" fillId="0" borderId="24" xfId="0" applyNumberFormat="1" applyFont="1" applyBorder="1" applyProtection="1">
      <protection hidden="1"/>
    </xf>
    <xf numFmtId="10" fontId="39" fillId="0" borderId="24" xfId="0" applyNumberFormat="1" applyFont="1" applyBorder="1" applyProtection="1">
      <protection hidden="1"/>
    </xf>
    <xf numFmtId="167" fontId="39" fillId="0" borderId="0" xfId="0" applyNumberFormat="1" applyFont="1" applyProtection="1">
      <protection hidden="1"/>
    </xf>
    <xf numFmtId="1" fontId="0" fillId="0" borderId="28" xfId="0" applyNumberFormat="1" applyBorder="1" applyProtection="1">
      <protection hidden="1"/>
    </xf>
    <xf numFmtId="0" fontId="0" fillId="0" borderId="29" xfId="0" applyBorder="1" applyProtection="1">
      <protection hidden="1"/>
    </xf>
    <xf numFmtId="167" fontId="3" fillId="0" borderId="18" xfId="0" applyNumberFormat="1" applyFont="1" applyBorder="1" applyAlignment="1">
      <alignment horizontal="center" vertical="center"/>
    </xf>
    <xf numFmtId="2" fontId="3" fillId="0" borderId="20" xfId="0" applyNumberFormat="1" applyFont="1" applyBorder="1" applyAlignment="1">
      <alignment horizontal="center" vertical="center"/>
    </xf>
    <xf numFmtId="167" fontId="3" fillId="15" borderId="18" xfId="0" applyNumberFormat="1" applyFont="1" applyFill="1" applyBorder="1" applyAlignment="1">
      <alignment horizontal="center" vertical="center"/>
    </xf>
    <xf numFmtId="2" fontId="3" fillId="15" borderId="20" xfId="0" applyNumberFormat="1" applyFont="1" applyFill="1" applyBorder="1" applyAlignment="1">
      <alignment horizontal="center" vertical="center"/>
    </xf>
    <xf numFmtId="167" fontId="0" fillId="0" borderId="0" xfId="0" applyNumberFormat="1" applyAlignment="1">
      <alignment wrapText="1"/>
    </xf>
    <xf numFmtId="167" fontId="3" fillId="0" borderId="25" xfId="0" applyNumberFormat="1" applyFont="1" applyBorder="1" applyAlignment="1">
      <alignment horizontal="center" vertical="center"/>
    </xf>
    <xf numFmtId="2" fontId="55" fillId="0" borderId="24" xfId="0" applyNumberFormat="1" applyFont="1" applyBorder="1" applyAlignment="1">
      <alignment horizontal="center" vertical="center"/>
    </xf>
    <xf numFmtId="167" fontId="3" fillId="15" borderId="25" xfId="0" applyNumberFormat="1" applyFont="1" applyFill="1" applyBorder="1" applyAlignment="1">
      <alignment horizontal="center" vertical="center"/>
    </xf>
    <xf numFmtId="2" fontId="55" fillId="15" borderId="24" xfId="0" applyNumberFormat="1" applyFont="1" applyFill="1" applyBorder="1" applyAlignment="1">
      <alignment horizontal="center" vertical="center"/>
    </xf>
    <xf numFmtId="167" fontId="55" fillId="15" borderId="25" xfId="0" applyNumberFormat="1" applyFont="1" applyFill="1" applyBorder="1" applyAlignment="1">
      <alignment horizontal="center" vertical="center"/>
    </xf>
    <xf numFmtId="167" fontId="0" fillId="0" borderId="25" xfId="0" applyNumberFormat="1" applyBorder="1"/>
    <xf numFmtId="2" fontId="0" fillId="0" borderId="24" xfId="0" applyNumberFormat="1" applyBorder="1"/>
    <xf numFmtId="167" fontId="0" fillId="15" borderId="25" xfId="0" applyNumberFormat="1" applyFill="1" applyBorder="1"/>
    <xf numFmtId="2" fontId="0" fillId="15" borderId="24" xfId="0" applyNumberFormat="1" applyFill="1" applyBorder="1"/>
    <xf numFmtId="167" fontId="0" fillId="15" borderId="19" xfId="0" applyNumberFormat="1" applyFill="1" applyBorder="1"/>
    <xf numFmtId="167" fontId="0" fillId="0" borderId="25" xfId="0" applyNumberFormat="1" applyFill="1" applyBorder="1"/>
    <xf numFmtId="167" fontId="24" fillId="0" borderId="0" xfId="0" applyNumberFormat="1" applyFont="1"/>
    <xf numFmtId="167" fontId="40" fillId="15" borderId="28" xfId="0" applyNumberFormat="1" applyFont="1" applyFill="1" applyBorder="1"/>
    <xf numFmtId="167" fontId="40" fillId="0" borderId="25" xfId="0" applyNumberFormat="1" applyFont="1" applyBorder="1"/>
    <xf numFmtId="167" fontId="40" fillId="15" borderId="25" xfId="0" applyNumberFormat="1" applyFont="1" applyFill="1" applyBorder="1"/>
    <xf numFmtId="167" fontId="40" fillId="0" borderId="25" xfId="0" applyNumberFormat="1" applyFont="1" applyFill="1" applyBorder="1"/>
    <xf numFmtId="2" fontId="40" fillId="0" borderId="24" xfId="0" applyNumberFormat="1" applyFont="1" applyBorder="1"/>
    <xf numFmtId="167" fontId="40" fillId="0" borderId="0" xfId="0" applyNumberFormat="1" applyFont="1"/>
    <xf numFmtId="167" fontId="0" fillId="15" borderId="22" xfId="0" applyNumberFormat="1" applyFill="1" applyBorder="1"/>
    <xf numFmtId="167" fontId="3" fillId="0" borderId="25" xfId="0" applyNumberFormat="1" applyFont="1" applyBorder="1"/>
    <xf numFmtId="2" fontId="3" fillId="0" borderId="24" xfId="0" applyNumberFormat="1" applyFont="1" applyBorder="1"/>
    <xf numFmtId="167" fontId="3" fillId="15" borderId="25" xfId="0" applyNumberFormat="1" applyFont="1" applyFill="1" applyBorder="1"/>
    <xf numFmtId="2" fontId="3" fillId="15" borderId="24" xfId="0" applyNumberFormat="1" applyFont="1" applyFill="1" applyBorder="1"/>
    <xf numFmtId="167" fontId="3" fillId="0" borderId="0" xfId="0" applyNumberFormat="1" applyFont="1"/>
    <xf numFmtId="167" fontId="26" fillId="0" borderId="0" xfId="0" applyNumberFormat="1" applyFont="1"/>
    <xf numFmtId="167" fontId="26" fillId="0" borderId="25" xfId="0" applyNumberFormat="1" applyFont="1" applyBorder="1"/>
    <xf numFmtId="2" fontId="26" fillId="0" borderId="24" xfId="0" applyNumberFormat="1" applyFont="1" applyBorder="1"/>
    <xf numFmtId="167" fontId="26" fillId="15" borderId="25" xfId="0" applyNumberFormat="1" applyFont="1" applyFill="1" applyBorder="1"/>
    <xf numFmtId="2" fontId="26" fillId="15" borderId="24" xfId="0" applyNumberFormat="1" applyFont="1" applyFill="1" applyBorder="1"/>
    <xf numFmtId="2" fontId="40" fillId="15" borderId="24" xfId="0" applyNumberFormat="1" applyFont="1" applyFill="1" applyBorder="1"/>
    <xf numFmtId="167" fontId="39" fillId="0" borderId="0" xfId="0" applyNumberFormat="1" applyFont="1"/>
    <xf numFmtId="167" fontId="3" fillId="0" borderId="156" xfId="0" applyNumberFormat="1" applyFont="1" applyBorder="1"/>
    <xf numFmtId="2" fontId="3" fillId="0" borderId="76" xfId="0" applyNumberFormat="1" applyFont="1" applyBorder="1"/>
    <xf numFmtId="167" fontId="3" fillId="15" borderId="156" xfId="0" applyNumberFormat="1" applyFont="1" applyFill="1" applyBorder="1"/>
    <xf numFmtId="2" fontId="3" fillId="15" borderId="76" xfId="0" applyNumberFormat="1" applyFont="1" applyFill="1" applyBorder="1"/>
    <xf numFmtId="170" fontId="0" fillId="0" borderId="0" xfId="0" applyNumberFormat="1"/>
    <xf numFmtId="167" fontId="3" fillId="0" borderId="66" xfId="0" applyNumberFormat="1" applyFont="1" applyBorder="1"/>
    <xf numFmtId="167" fontId="3" fillId="15" borderId="66" xfId="0" applyNumberFormat="1" applyFont="1" applyFill="1" applyBorder="1"/>
    <xf numFmtId="10" fontId="0" fillId="0" borderId="0" xfId="0" applyNumberFormat="1"/>
    <xf numFmtId="167" fontId="0" fillId="0" borderId="27" xfId="0" applyNumberFormat="1" applyBorder="1"/>
    <xf numFmtId="2" fontId="0" fillId="0" borderId="29" xfId="0" applyNumberFormat="1" applyBorder="1"/>
    <xf numFmtId="167" fontId="0" fillId="15" borderId="27" xfId="0" applyNumberFormat="1" applyFill="1" applyBorder="1"/>
    <xf numFmtId="2" fontId="0" fillId="15" borderId="29" xfId="0" applyNumberFormat="1" applyFill="1" applyBorder="1"/>
    <xf numFmtId="167" fontId="0" fillId="7" borderId="0" xfId="0" applyNumberFormat="1" applyFill="1"/>
    <xf numFmtId="2" fontId="0" fillId="7" borderId="0" xfId="0" applyNumberFormat="1" applyFill="1"/>
    <xf numFmtId="167" fontId="8" fillId="0" borderId="0" xfId="0" applyNumberFormat="1" applyFont="1" applyFill="1"/>
    <xf numFmtId="167" fontId="0" fillId="0" borderId="0" xfId="0" applyNumberFormat="1" applyFill="1"/>
    <xf numFmtId="0" fontId="56" fillId="0" borderId="0" xfId="0" applyFont="1" applyBorder="1" applyAlignment="1"/>
    <xf numFmtId="3" fontId="3" fillId="0" borderId="0" xfId="0" applyNumberFormat="1" applyFont="1"/>
    <xf numFmtId="167" fontId="0" fillId="0" borderId="18" xfId="0" applyNumberFormat="1" applyBorder="1"/>
    <xf numFmtId="2" fontId="0" fillId="0" borderId="20" xfId="0" applyNumberFormat="1" applyBorder="1"/>
    <xf numFmtId="167" fontId="0" fillId="15" borderId="18" xfId="0" applyNumberFormat="1" applyFill="1" applyBorder="1"/>
    <xf numFmtId="2" fontId="0" fillId="15" borderId="20" xfId="0" applyNumberFormat="1" applyFill="1" applyBorder="1"/>
    <xf numFmtId="167" fontId="0" fillId="0" borderId="19" xfId="0" applyNumberFormat="1" applyBorder="1"/>
    <xf numFmtId="2" fontId="0" fillId="0" borderId="24" xfId="0" applyNumberFormat="1" applyFill="1" applyBorder="1"/>
    <xf numFmtId="167" fontId="40" fillId="0" borderId="28" xfId="0" applyNumberFormat="1" applyFont="1" applyBorder="1"/>
    <xf numFmtId="2" fontId="40" fillId="0" borderId="24" xfId="0" applyNumberFormat="1" applyFont="1" applyFill="1" applyBorder="1"/>
    <xf numFmtId="2" fontId="3" fillId="0" borderId="157" xfId="0" applyNumberFormat="1" applyFont="1" applyBorder="1"/>
    <xf numFmtId="2" fontId="3" fillId="15" borderId="157" xfId="0" applyNumberFormat="1" applyFont="1" applyFill="1" applyBorder="1"/>
    <xf numFmtId="167" fontId="39" fillId="0" borderId="25" xfId="0" applyNumberFormat="1" applyFont="1" applyBorder="1" applyAlignment="1">
      <alignment horizontal="center" vertical="center"/>
    </xf>
    <xf numFmtId="1" fontId="39" fillId="0" borderId="24" xfId="0" applyNumberFormat="1" applyFont="1" applyBorder="1" applyAlignment="1">
      <alignment horizontal="center" vertical="center"/>
    </xf>
    <xf numFmtId="167" fontId="39" fillId="15" borderId="25" xfId="0" applyNumberFormat="1" applyFont="1" applyFill="1" applyBorder="1" applyAlignment="1">
      <alignment horizontal="center" vertical="center"/>
    </xf>
    <xf numFmtId="1" fontId="39" fillId="15" borderId="24" xfId="0" applyNumberFormat="1" applyFont="1" applyFill="1" applyBorder="1" applyAlignment="1">
      <alignment horizontal="center" vertical="center"/>
    </xf>
    <xf numFmtId="167" fontId="39" fillId="0" borderId="24" xfId="0" applyNumberFormat="1" applyFont="1" applyBorder="1" applyAlignment="1">
      <alignment horizontal="center" vertical="center"/>
    </xf>
    <xf numFmtId="167" fontId="39" fillId="15" borderId="24" xfId="0" applyNumberFormat="1" applyFont="1" applyFill="1" applyBorder="1" applyAlignment="1">
      <alignment horizontal="center" vertical="center"/>
    </xf>
    <xf numFmtId="167" fontId="39" fillId="0" borderId="24" xfId="0" applyNumberFormat="1" applyFont="1" applyFill="1" applyBorder="1" applyAlignment="1">
      <alignment horizontal="center" vertical="center"/>
    </xf>
    <xf numFmtId="167" fontId="3" fillId="0" borderId="0" xfId="0" applyNumberFormat="1" applyFont="1" applyFill="1" applyBorder="1" applyAlignment="1">
      <alignment horizontal="left"/>
    </xf>
    <xf numFmtId="167" fontId="3" fillId="0" borderId="66" xfId="0" applyNumberFormat="1" applyFont="1" applyBorder="1" applyAlignment="1">
      <alignment horizontal="center"/>
    </xf>
    <xf numFmtId="167" fontId="3" fillId="15" borderId="66" xfId="0" applyNumberFormat="1" applyFont="1" applyFill="1" applyBorder="1" applyAlignment="1">
      <alignment horizontal="center"/>
    </xf>
    <xf numFmtId="167" fontId="0" fillId="0" borderId="0" xfId="0" applyNumberFormat="1" applyAlignment="1">
      <alignment horizontal="right"/>
    </xf>
    <xf numFmtId="167" fontId="3" fillId="0" borderId="0" xfId="0" applyNumberFormat="1" applyFont="1" applyAlignment="1">
      <alignment horizontal="right"/>
    </xf>
    <xf numFmtId="167" fontId="3" fillId="0" borderId="64" xfId="0" applyNumberFormat="1" applyFont="1" applyBorder="1"/>
    <xf numFmtId="167" fontId="3" fillId="15" borderId="64" xfId="0" applyNumberFormat="1" applyFont="1" applyFill="1" applyBorder="1"/>
    <xf numFmtId="3" fontId="39" fillId="0" borderId="25" xfId="0" applyNumberFormat="1" applyFont="1" applyBorder="1" applyAlignment="1">
      <alignment horizontal="center" vertical="center"/>
    </xf>
    <xf numFmtId="2" fontId="39" fillId="0" borderId="24" xfId="0" applyNumberFormat="1" applyFont="1" applyBorder="1"/>
    <xf numFmtId="3" fontId="39" fillId="15" borderId="25" xfId="0" applyNumberFormat="1" applyFont="1" applyFill="1" applyBorder="1" applyAlignment="1">
      <alignment horizontal="center" vertical="center"/>
    </xf>
    <xf numFmtId="2" fontId="39" fillId="15" borderId="24" xfId="0" applyNumberFormat="1" applyFont="1" applyFill="1" applyBorder="1"/>
    <xf numFmtId="167" fontId="3" fillId="0" borderId="25" xfId="0" applyNumberFormat="1" applyFont="1" applyFill="1" applyBorder="1" applyAlignment="1">
      <alignment horizontal="center" vertical="center"/>
    </xf>
    <xf numFmtId="9" fontId="0" fillId="2" borderId="0" xfId="0" applyNumberFormat="1" applyFill="1"/>
    <xf numFmtId="167" fontId="7" fillId="0" borderId="0" xfId="0" applyNumberFormat="1" applyFont="1"/>
    <xf numFmtId="167" fontId="7" fillId="0" borderId="56" xfId="0" applyNumberFormat="1" applyFont="1" applyBorder="1" applyAlignment="1">
      <alignment horizontal="center" vertical="center"/>
    </xf>
    <xf numFmtId="2" fontId="7" fillId="0" borderId="24" xfId="0" applyNumberFormat="1" applyFont="1" applyBorder="1"/>
    <xf numFmtId="167" fontId="7" fillId="15" borderId="56" xfId="0" applyNumberFormat="1" applyFont="1" applyFill="1" applyBorder="1" applyAlignment="1">
      <alignment horizontal="center" vertical="center"/>
    </xf>
    <xf numFmtId="2" fontId="7" fillId="15" borderId="24" xfId="0" applyNumberFormat="1" applyFont="1" applyFill="1" applyBorder="1"/>
    <xf numFmtId="167" fontId="0" fillId="0" borderId="25" xfId="0" applyNumberFormat="1" applyFont="1" applyBorder="1" applyAlignment="1">
      <alignment horizontal="right" vertical="center"/>
    </xf>
    <xf numFmtId="167" fontId="0" fillId="15" borderId="25" xfId="0" applyNumberFormat="1" applyFont="1" applyFill="1" applyBorder="1" applyAlignment="1">
      <alignment horizontal="right" vertical="center"/>
    </xf>
    <xf numFmtId="10" fontId="14" fillId="0" borderId="25" xfId="0" applyNumberFormat="1" applyFont="1" applyBorder="1" applyAlignment="1">
      <alignment horizontal="center" vertical="center"/>
    </xf>
    <xf numFmtId="10" fontId="14" fillId="15" borderId="25" xfId="0" applyNumberFormat="1" applyFont="1" applyFill="1" applyBorder="1" applyAlignment="1">
      <alignment horizontal="center" vertical="center"/>
    </xf>
    <xf numFmtId="3" fontId="0" fillId="0" borderId="0" xfId="0" applyNumberFormat="1"/>
    <xf numFmtId="0" fontId="0" fillId="0" borderId="18" xfId="0" applyBorder="1"/>
    <xf numFmtId="0" fontId="3" fillId="0" borderId="49" xfId="0" applyFont="1" applyBorder="1" applyAlignment="1">
      <alignment horizontal="right"/>
    </xf>
    <xf numFmtId="3" fontId="3" fillId="0" borderId="25" xfId="0" applyNumberFormat="1" applyFont="1" applyBorder="1" applyAlignment="1">
      <alignment horizontal="center" vertical="center"/>
    </xf>
    <xf numFmtId="3" fontId="3" fillId="15" borderId="25" xfId="0" applyNumberFormat="1" applyFont="1" applyFill="1" applyBorder="1" applyAlignment="1">
      <alignment horizontal="center" vertical="center"/>
    </xf>
    <xf numFmtId="0" fontId="39" fillId="0" borderId="50" xfId="0" applyFont="1" applyBorder="1" applyAlignment="1">
      <alignment horizontal="right"/>
    </xf>
    <xf numFmtId="167" fontId="0" fillId="0" borderId="107" xfId="0" applyNumberFormat="1" applyBorder="1"/>
    <xf numFmtId="10" fontId="14" fillId="0" borderId="0" xfId="0" applyNumberFormat="1" applyFont="1" applyAlignment="1">
      <alignment horizontal="center" vertical="center"/>
    </xf>
    <xf numFmtId="2" fontId="0" fillId="0" borderId="0" xfId="0" applyNumberFormat="1"/>
    <xf numFmtId="10" fontId="14" fillId="15" borderId="0" xfId="0" applyNumberFormat="1" applyFont="1" applyFill="1" applyAlignment="1">
      <alignment horizontal="center" vertical="center"/>
    </xf>
    <xf numFmtId="2" fontId="0" fillId="15" borderId="0" xfId="0" applyNumberFormat="1" applyFill="1"/>
    <xf numFmtId="10" fontId="57" fillId="0" borderId="0" xfId="0" applyNumberFormat="1" applyFont="1"/>
    <xf numFmtId="10" fontId="0" fillId="15" borderId="0" xfId="0" applyNumberFormat="1" applyFill="1"/>
    <xf numFmtId="2" fontId="7" fillId="0" borderId="0" xfId="0" applyNumberFormat="1" applyFont="1"/>
    <xf numFmtId="167" fontId="7" fillId="15" borderId="0" xfId="0" applyNumberFormat="1" applyFont="1" applyFill="1"/>
    <xf numFmtId="2" fontId="7" fillId="15" borderId="0" xfId="0" applyNumberFormat="1" applyFont="1" applyFill="1"/>
    <xf numFmtId="167" fontId="0" fillId="0" borderId="0" xfId="0" quotePrefix="1" applyNumberFormat="1"/>
    <xf numFmtId="167" fontId="0" fillId="15" borderId="0" xfId="0" applyNumberFormat="1" applyFill="1"/>
    <xf numFmtId="6" fontId="0" fillId="0" borderId="0" xfId="0" applyNumberFormat="1"/>
    <xf numFmtId="169" fontId="26" fillId="0" borderId="0" xfId="0" applyNumberFormat="1" applyFont="1"/>
    <xf numFmtId="168" fontId="0" fillId="0" borderId="0" xfId="0" applyNumberFormat="1"/>
    <xf numFmtId="167" fontId="0" fillId="14" borderId="0" xfId="0" applyNumberFormat="1" applyFill="1" applyAlignment="1">
      <alignment wrapText="1"/>
    </xf>
    <xf numFmtId="38" fontId="0" fillId="0" borderId="42" xfId="0" applyNumberFormat="1" applyBorder="1" applyAlignment="1" applyProtection="1">
      <alignment horizontal="center"/>
      <protection hidden="1"/>
    </xf>
    <xf numFmtId="6" fontId="0" fillId="0" borderId="44" xfId="0" applyNumberFormat="1" applyBorder="1" applyAlignment="1" applyProtection="1">
      <alignment horizontal="right"/>
      <protection hidden="1"/>
    </xf>
    <xf numFmtId="38" fontId="0" fillId="0" borderId="43" xfId="0" applyNumberFormat="1" applyBorder="1" applyAlignment="1" applyProtection="1">
      <alignment horizontal="center"/>
      <protection hidden="1"/>
    </xf>
    <xf numFmtId="6" fontId="0" fillId="0" borderId="45" xfId="0" applyNumberFormat="1" applyBorder="1" applyAlignment="1" applyProtection="1">
      <alignment horizontal="right"/>
      <protection hidden="1"/>
    </xf>
    <xf numFmtId="38" fontId="0" fillId="0" borderId="6" xfId="0" applyNumberFormat="1" applyBorder="1" applyAlignment="1" applyProtection="1">
      <alignment horizontal="center"/>
      <protection hidden="1"/>
    </xf>
    <xf numFmtId="6" fontId="0" fillId="0" borderId="36" xfId="0" applyNumberFormat="1" applyBorder="1" applyAlignment="1" applyProtection="1">
      <alignment horizontal="right"/>
      <protection hidden="1"/>
    </xf>
    <xf numFmtId="6" fontId="0" fillId="0" borderId="0" xfId="0" applyNumberFormat="1" applyFont="1" applyAlignment="1" applyProtection="1">
      <alignment horizontal="right"/>
      <protection hidden="1"/>
    </xf>
    <xf numFmtId="6" fontId="3" fillId="0" borderId="1" xfId="0" applyNumberFormat="1" applyFont="1" applyBorder="1" applyAlignment="1" applyProtection="1">
      <alignment horizontal="right"/>
      <protection hidden="1"/>
    </xf>
    <xf numFmtId="0" fontId="42" fillId="19" borderId="60" xfId="0" applyFont="1" applyFill="1" applyBorder="1" applyAlignment="1">
      <alignment vertical="center"/>
    </xf>
    <xf numFmtId="0" fontId="46" fillId="19" borderId="60" xfId="0" applyFont="1" applyFill="1" applyBorder="1" applyAlignment="1">
      <alignment vertical="center"/>
    </xf>
    <xf numFmtId="6" fontId="0" fillId="0" borderId="25" xfId="0" applyNumberFormat="1" applyBorder="1"/>
    <xf numFmtId="6" fontId="40" fillId="0" borderId="25" xfId="0" applyNumberFormat="1" applyFont="1" applyBorder="1"/>
    <xf numFmtId="6" fontId="26" fillId="0" borderId="25" xfId="0" applyNumberFormat="1" applyFont="1" applyBorder="1"/>
    <xf numFmtId="167" fontId="3" fillId="0" borderId="7" xfId="0" applyNumberFormat="1" applyFont="1" applyBorder="1"/>
    <xf numFmtId="167" fontId="0" fillId="0" borderId="0" xfId="0" applyNumberFormat="1" applyBorder="1"/>
    <xf numFmtId="0" fontId="15" fillId="2" borderId="0" xfId="0" applyFont="1" applyFill="1"/>
    <xf numFmtId="168" fontId="26" fillId="2" borderId="87" xfId="0" applyNumberFormat="1" applyFont="1" applyFill="1" applyBorder="1"/>
    <xf numFmtId="168" fontId="26" fillId="2" borderId="88" xfId="0" applyNumberFormat="1" applyFont="1" applyFill="1" applyBorder="1"/>
    <xf numFmtId="169" fontId="26" fillId="2" borderId="89" xfId="0" applyNumberFormat="1" applyFont="1" applyFill="1" applyBorder="1"/>
    <xf numFmtId="0" fontId="45" fillId="2" borderId="77" xfId="0" applyFont="1" applyFill="1" applyBorder="1" applyAlignment="1">
      <alignment vertical="center"/>
    </xf>
    <xf numFmtId="168" fontId="40" fillId="2" borderId="90" xfId="0" applyNumberFormat="1" applyFont="1" applyFill="1" applyBorder="1"/>
    <xf numFmtId="168" fontId="40" fillId="2" borderId="91" xfId="0" applyNumberFormat="1" applyFont="1" applyFill="1" applyBorder="1"/>
    <xf numFmtId="169" fontId="40" fillId="2" borderId="92" xfId="0" applyNumberFormat="1" applyFont="1" applyFill="1" applyBorder="1"/>
    <xf numFmtId="168" fontId="26" fillId="2" borderId="96" xfId="0" applyNumberFormat="1" applyFont="1" applyFill="1" applyBorder="1"/>
    <xf numFmtId="168" fontId="40" fillId="2" borderId="52" xfId="0" applyNumberFormat="1" applyFont="1" applyFill="1" applyBorder="1"/>
    <xf numFmtId="168" fontId="40" fillId="2" borderId="29" xfId="0" applyNumberFormat="1" applyFont="1" applyFill="1" applyBorder="1"/>
    <xf numFmtId="168" fontId="26" fillId="2" borderId="94" xfId="0" applyNumberFormat="1" applyFont="1" applyFill="1" applyBorder="1"/>
    <xf numFmtId="168" fontId="26" fillId="2" borderId="59" xfId="0" applyNumberFormat="1" applyFont="1" applyFill="1" applyBorder="1"/>
    <xf numFmtId="6" fontId="0" fillId="0" borderId="79" xfId="0" applyNumberFormat="1" applyFill="1" applyBorder="1"/>
    <xf numFmtId="6" fontId="0" fillId="0" borderId="80" xfId="0" applyNumberFormat="1" applyFill="1" applyBorder="1"/>
    <xf numFmtId="6" fontId="0" fillId="0" borderId="81" xfId="0" applyNumberFormat="1" applyFill="1" applyBorder="1"/>
    <xf numFmtId="0" fontId="15" fillId="13" borderId="0" xfId="0" applyFont="1" applyFill="1" applyAlignment="1">
      <alignment horizontal="center"/>
    </xf>
    <xf numFmtId="0" fontId="15" fillId="13" borderId="0" xfId="0" applyFont="1" applyFill="1" applyAlignment="1">
      <alignment vertical="center"/>
    </xf>
    <xf numFmtId="0" fontId="15" fillId="13" borderId="0" xfId="0" applyFont="1" applyFill="1"/>
    <xf numFmtId="10" fontId="15" fillId="0" borderId="0" xfId="0" applyNumberFormat="1" applyFont="1"/>
    <xf numFmtId="3" fontId="15" fillId="13" borderId="26" xfId="0" applyNumberFormat="1" applyFont="1" applyFill="1" applyBorder="1"/>
    <xf numFmtId="3" fontId="15" fillId="13" borderId="37" xfId="0" applyNumberFormat="1" applyFont="1" applyFill="1" applyBorder="1"/>
    <xf numFmtId="38" fontId="14" fillId="13" borderId="35" xfId="0" applyNumberFormat="1" applyFont="1" applyFill="1" applyBorder="1" applyAlignment="1">
      <alignment horizontal="center" vertical="center"/>
    </xf>
    <xf numFmtId="38" fontId="14" fillId="13" borderId="36" xfId="0" applyNumberFormat="1" applyFont="1" applyFill="1" applyBorder="1" applyAlignment="1">
      <alignment horizontal="center" vertical="center"/>
    </xf>
    <xf numFmtId="0" fontId="14" fillId="13" borderId="35" xfId="0" applyFont="1" applyFill="1" applyBorder="1" applyAlignment="1">
      <alignment horizontal="center" vertical="center"/>
    </xf>
    <xf numFmtId="0" fontId="14" fillId="13" borderId="36" xfId="0" applyFont="1" applyFill="1" applyBorder="1" applyAlignment="1">
      <alignment horizontal="center" vertical="center"/>
    </xf>
    <xf numFmtId="6" fontId="0" fillId="0" borderId="6" xfId="0" applyNumberFormat="1" applyFill="1" applyBorder="1" applyAlignment="1" applyProtection="1">
      <alignment horizontal="right"/>
      <protection hidden="1"/>
    </xf>
    <xf numFmtId="0" fontId="15" fillId="13" borderId="5" xfId="0" applyFont="1" applyFill="1" applyBorder="1" applyAlignment="1">
      <alignment wrapText="1"/>
    </xf>
    <xf numFmtId="0" fontId="14" fillId="13" borderId="158" xfId="0" applyFont="1" applyFill="1" applyBorder="1" applyAlignment="1">
      <alignment horizontal="center" vertical="center"/>
    </xf>
    <xf numFmtId="6" fontId="0" fillId="2" borderId="79" xfId="0" applyNumberFormat="1" applyFill="1" applyBorder="1"/>
    <xf numFmtId="6" fontId="0" fillId="2" borderId="80" xfId="0" applyNumberFormat="1" applyFill="1" applyBorder="1"/>
    <xf numFmtId="6" fontId="0" fillId="2" borderId="81" xfId="0" applyNumberFormat="1" applyFill="1" applyBorder="1"/>
    <xf numFmtId="0" fontId="0" fillId="2" borderId="0" xfId="0" applyFill="1"/>
    <xf numFmtId="0" fontId="0" fillId="0" borderId="25" xfId="0" applyBorder="1" applyProtection="1">
      <protection hidden="1"/>
    </xf>
    <xf numFmtId="0" fontId="0" fillId="0" borderId="0" xfId="0" applyBorder="1" applyProtection="1">
      <protection hidden="1"/>
    </xf>
    <xf numFmtId="40" fontId="14" fillId="0" borderId="0" xfId="0" applyNumberFormat="1" applyFont="1" applyBorder="1" applyAlignment="1">
      <alignment horizontal="center"/>
    </xf>
    <xf numFmtId="0" fontId="58" fillId="0" borderId="0" xfId="0" applyFont="1" applyProtection="1">
      <protection hidden="1"/>
    </xf>
    <xf numFmtId="167" fontId="58" fillId="0" borderId="0" xfId="0" applyNumberFormat="1" applyFont="1" applyProtection="1">
      <protection hidden="1"/>
    </xf>
    <xf numFmtId="38" fontId="58" fillId="0" borderId="0" xfId="0" applyNumberFormat="1" applyFont="1" applyProtection="1"/>
    <xf numFmtId="0" fontId="27" fillId="0" borderId="0" xfId="0" applyFont="1" applyFill="1" applyProtection="1">
      <protection hidden="1"/>
    </xf>
    <xf numFmtId="0" fontId="28" fillId="0" borderId="0" xfId="0" applyFont="1" applyFill="1" applyProtection="1">
      <protection hidden="1"/>
    </xf>
    <xf numFmtId="0" fontId="14" fillId="0" borderId="0" xfId="0" applyFont="1" applyFill="1"/>
    <xf numFmtId="0" fontId="15" fillId="0" borderId="18" xfId="0" applyFont="1" applyFill="1" applyBorder="1"/>
    <xf numFmtId="0" fontId="15" fillId="0" borderId="19" xfId="0" applyFont="1" applyFill="1" applyBorder="1"/>
    <xf numFmtId="0" fontId="15" fillId="0" borderId="20" xfId="0" applyFont="1" applyFill="1" applyBorder="1"/>
    <xf numFmtId="0" fontId="15" fillId="0" borderId="0" xfId="0" applyFont="1" applyFill="1" applyBorder="1"/>
    <xf numFmtId="0" fontId="15" fillId="0" borderId="24" xfId="0" applyFont="1" applyFill="1" applyBorder="1"/>
    <xf numFmtId="0" fontId="15" fillId="0" borderId="25" xfId="0" applyFont="1" applyFill="1" applyBorder="1"/>
    <xf numFmtId="0" fontId="15" fillId="0" borderId="28" xfId="0" applyFont="1" applyFill="1" applyBorder="1"/>
    <xf numFmtId="0" fontId="15" fillId="0" borderId="29" xfId="0" applyFont="1" applyFill="1" applyBorder="1"/>
    <xf numFmtId="3" fontId="14" fillId="0" borderId="0" xfId="0" applyNumberFormat="1" applyFont="1" applyFill="1" applyBorder="1" applyAlignment="1">
      <alignment horizontal="center"/>
    </xf>
    <xf numFmtId="0" fontId="15" fillId="0" borderId="27" xfId="0" applyFont="1" applyFill="1" applyBorder="1"/>
    <xf numFmtId="3" fontId="16" fillId="20" borderId="3" xfId="0" applyNumberFormat="1" applyFont="1" applyFill="1" applyBorder="1" applyAlignment="1" applyProtection="1">
      <alignment vertical="center"/>
      <protection hidden="1"/>
    </xf>
    <xf numFmtId="3" fontId="16" fillId="20" borderId="2" xfId="0" applyNumberFormat="1" applyFont="1" applyFill="1" applyBorder="1" applyAlignment="1" applyProtection="1">
      <alignment vertical="center" wrapText="1"/>
      <protection hidden="1"/>
    </xf>
    <xf numFmtId="3" fontId="16" fillId="20" borderId="2" xfId="0" applyNumberFormat="1" applyFont="1" applyFill="1" applyBorder="1" applyAlignment="1" applyProtection="1">
      <alignment vertical="center"/>
      <protection hidden="1"/>
    </xf>
    <xf numFmtId="3" fontId="16" fillId="20" borderId="3" xfId="0" applyNumberFormat="1" applyFont="1" applyFill="1" applyBorder="1" applyAlignment="1" applyProtection="1">
      <alignment vertical="center" wrapText="1"/>
      <protection hidden="1"/>
    </xf>
    <xf numFmtId="0" fontId="1" fillId="0" borderId="61" xfId="0" applyFont="1" applyBorder="1"/>
    <xf numFmtId="0" fontId="1" fillId="5" borderId="74" xfId="0" applyFont="1" applyFill="1" applyBorder="1"/>
    <xf numFmtId="0" fontId="1" fillId="0" borderId="74" xfId="0" applyFont="1" applyBorder="1"/>
    <xf numFmtId="0" fontId="1" fillId="5" borderId="62" xfId="0" applyFont="1" applyFill="1" applyBorder="1"/>
    <xf numFmtId="0" fontId="0" fillId="0" borderId="82" xfId="0" applyBorder="1" applyAlignment="1">
      <alignment horizontal="center" vertical="center"/>
    </xf>
    <xf numFmtId="0" fontId="0" fillId="16" borderId="82" xfId="0" applyFill="1" applyBorder="1" applyAlignment="1">
      <alignment horizontal="center" vertical="center"/>
    </xf>
    <xf numFmtId="0" fontId="0" fillId="0" borderId="74" xfId="0" applyBorder="1" applyAlignment="1">
      <alignment horizontal="center" vertical="center"/>
    </xf>
    <xf numFmtId="0" fontId="0" fillId="16" borderId="74" xfId="0" applyFill="1" applyBorder="1" applyAlignment="1">
      <alignment horizontal="center" vertical="center"/>
    </xf>
    <xf numFmtId="0" fontId="0" fillId="0" borderId="62" xfId="0" applyBorder="1" applyAlignment="1">
      <alignment horizontal="center" vertical="center"/>
    </xf>
    <xf numFmtId="167" fontId="61" fillId="3" borderId="2" xfId="0" applyNumberFormat="1" applyFont="1" applyFill="1" applyBorder="1" applyAlignment="1">
      <alignment horizontal="center" vertical="center" wrapText="1"/>
    </xf>
    <xf numFmtId="167" fontId="14" fillId="0" borderId="2" xfId="0" applyNumberFormat="1" applyFont="1" applyBorder="1" applyAlignment="1">
      <alignment horizontal="center" vertical="center" wrapText="1"/>
    </xf>
    <xf numFmtId="167" fontId="15" fillId="21" borderId="2" xfId="0" applyNumberFormat="1" applyFont="1" applyFill="1" applyBorder="1"/>
    <xf numFmtId="167" fontId="15" fillId="16" borderId="2" xfId="0" applyNumberFormat="1" applyFont="1" applyFill="1" applyBorder="1"/>
    <xf numFmtId="0" fontId="58" fillId="20" borderId="35" xfId="0" applyFont="1" applyFill="1" applyBorder="1"/>
    <xf numFmtId="6" fontId="0" fillId="20" borderId="6" xfId="0" applyNumberFormat="1" applyFill="1" applyBorder="1"/>
    <xf numFmtId="10" fontId="0" fillId="20" borderId="36" xfId="0" applyNumberFormat="1" applyFill="1" applyBorder="1"/>
    <xf numFmtId="0" fontId="58" fillId="20" borderId="26" xfId="0" applyFont="1" applyFill="1" applyBorder="1"/>
    <xf numFmtId="6" fontId="0" fillId="20" borderId="2" xfId="0" applyNumberFormat="1" applyFill="1" applyBorder="1"/>
    <xf numFmtId="10" fontId="0" fillId="20" borderId="37" xfId="0" applyNumberFormat="1" applyFill="1" applyBorder="1"/>
    <xf numFmtId="0" fontId="58" fillId="20" borderId="39" xfId="0" applyFont="1" applyFill="1" applyBorder="1"/>
    <xf numFmtId="6" fontId="0" fillId="20" borderId="67" xfId="0" applyNumberFormat="1" applyFill="1" applyBorder="1"/>
    <xf numFmtId="10" fontId="0" fillId="20" borderId="40" xfId="0" applyNumberFormat="1" applyFill="1" applyBorder="1"/>
    <xf numFmtId="0" fontId="15" fillId="22" borderId="5" xfId="0" applyFont="1" applyFill="1" applyBorder="1" applyAlignment="1">
      <alignment wrapText="1"/>
    </xf>
    <xf numFmtId="0" fontId="14" fillId="22" borderId="159" xfId="0" applyFont="1" applyFill="1" applyBorder="1" applyAlignment="1">
      <alignment horizontal="center" vertical="center"/>
    </xf>
    <xf numFmtId="3" fontId="15" fillId="22" borderId="26" xfId="0" applyNumberFormat="1" applyFont="1" applyFill="1" applyBorder="1"/>
    <xf numFmtId="38" fontId="50" fillId="0" borderId="0" xfId="0" applyNumberFormat="1" applyFont="1" applyProtection="1"/>
    <xf numFmtId="38" fontId="7" fillId="0" borderId="0" xfId="0" applyNumberFormat="1" applyFont="1" applyFill="1" applyProtection="1"/>
    <xf numFmtId="38" fontId="50" fillId="0" borderId="0" xfId="0" applyNumberFormat="1" applyFont="1" applyAlignment="1" applyProtection="1">
      <alignment horizontal="right"/>
    </xf>
    <xf numFmtId="0" fontId="8" fillId="0" borderId="107" xfId="0" applyFont="1" applyBorder="1" applyAlignment="1">
      <alignment horizontal="center"/>
    </xf>
    <xf numFmtId="0" fontId="8" fillId="0" borderId="160" xfId="0" applyFont="1" applyBorder="1" applyAlignment="1">
      <alignment horizontal="center"/>
    </xf>
    <xf numFmtId="0" fontId="8" fillId="0" borderId="161" xfId="0" applyFont="1" applyFill="1" applyBorder="1" applyAlignment="1"/>
    <xf numFmtId="0" fontId="8" fillId="0" borderId="21" xfId="0" applyFont="1" applyBorder="1" applyAlignment="1"/>
    <xf numFmtId="3" fontId="15" fillId="20" borderId="26" xfId="0" applyNumberFormat="1" applyFont="1" applyFill="1" applyBorder="1"/>
    <xf numFmtId="3" fontId="15" fillId="13" borderId="64" xfId="0" applyNumberFormat="1" applyFont="1" applyFill="1" applyBorder="1"/>
    <xf numFmtId="0" fontId="15" fillId="20" borderId="39" xfId="0" applyFont="1" applyFill="1" applyBorder="1" applyAlignment="1">
      <alignment wrapText="1"/>
    </xf>
    <xf numFmtId="0" fontId="15" fillId="20" borderId="40" xfId="0" applyFont="1" applyFill="1" applyBorder="1" applyAlignment="1">
      <alignment wrapText="1"/>
    </xf>
    <xf numFmtId="0" fontId="15" fillId="23" borderId="26" xfId="0" applyFont="1" applyFill="1" applyBorder="1"/>
    <xf numFmtId="0" fontId="15" fillId="23" borderId="37" xfId="0" applyFont="1" applyFill="1" applyBorder="1"/>
    <xf numFmtId="0" fontId="15" fillId="23" borderId="74" xfId="0" applyFont="1" applyFill="1" applyBorder="1"/>
    <xf numFmtId="4" fontId="0" fillId="0" borderId="24" xfId="0" applyNumberFormat="1" applyFill="1" applyBorder="1" applyProtection="1">
      <protection hidden="1"/>
    </xf>
    <xf numFmtId="3" fontId="7" fillId="0" borderId="24" xfId="0" applyNumberFormat="1" applyFont="1" applyFill="1" applyBorder="1" applyProtection="1">
      <protection hidden="1"/>
    </xf>
    <xf numFmtId="3" fontId="16" fillId="20" borderId="7" xfId="0" applyNumberFormat="1" applyFont="1" applyFill="1" applyBorder="1" applyAlignment="1" applyProtection="1">
      <alignment vertical="center"/>
      <protection hidden="1"/>
    </xf>
    <xf numFmtId="3" fontId="16" fillId="20" borderId="17" xfId="0" applyNumberFormat="1" applyFont="1" applyFill="1" applyBorder="1" applyAlignment="1" applyProtection="1">
      <alignment vertical="center" wrapText="1"/>
      <protection hidden="1"/>
    </xf>
    <xf numFmtId="3" fontId="16" fillId="20" borderId="17" xfId="0" applyNumberFormat="1" applyFont="1" applyFill="1" applyBorder="1" applyAlignment="1" applyProtection="1">
      <alignment vertical="center"/>
      <protection hidden="1"/>
    </xf>
    <xf numFmtId="3" fontId="16" fillId="23" borderId="17" xfId="0" applyNumberFormat="1" applyFont="1" applyFill="1" applyBorder="1" applyAlignment="1" applyProtection="1">
      <alignment vertical="center" wrapText="1"/>
      <protection hidden="1"/>
    </xf>
    <xf numFmtId="3" fontId="16" fillId="20" borderId="7" xfId="0" applyNumberFormat="1" applyFont="1" applyFill="1" applyBorder="1" applyAlignment="1" applyProtection="1">
      <alignment vertical="center" wrapText="1"/>
      <protection hidden="1"/>
    </xf>
    <xf numFmtId="0" fontId="15" fillId="23" borderId="2" xfId="0" applyFont="1" applyFill="1" applyBorder="1"/>
    <xf numFmtId="38" fontId="14" fillId="13" borderId="49" xfId="0" applyNumberFormat="1" applyFont="1" applyFill="1" applyBorder="1" applyAlignment="1">
      <alignment horizontal="center" vertical="center"/>
    </xf>
    <xf numFmtId="38" fontId="14" fillId="13" borderId="164" xfId="0" applyNumberFormat="1" applyFont="1" applyFill="1" applyBorder="1" applyAlignment="1">
      <alignment horizontal="center" vertical="center"/>
    </xf>
    <xf numFmtId="0" fontId="14" fillId="13" borderId="49" xfId="0" applyFont="1" applyFill="1" applyBorder="1" applyAlignment="1">
      <alignment horizontal="center" vertical="center"/>
    </xf>
    <xf numFmtId="0" fontId="14" fillId="13" borderId="164" xfId="0" applyFont="1" applyFill="1" applyBorder="1" applyAlignment="1">
      <alignment horizontal="center" vertical="center"/>
    </xf>
    <xf numFmtId="0" fontId="14" fillId="13" borderId="101" xfId="0" applyFont="1" applyFill="1" applyBorder="1" applyAlignment="1">
      <alignment horizontal="center" vertical="center"/>
    </xf>
    <xf numFmtId="0" fontId="15" fillId="22" borderId="28" xfId="0" applyFont="1" applyFill="1" applyBorder="1" applyAlignment="1">
      <alignment horizontal="center" wrapText="1"/>
    </xf>
    <xf numFmtId="0" fontId="14" fillId="22" borderId="19" xfId="0" applyFont="1" applyFill="1" applyBorder="1" applyAlignment="1">
      <alignment horizontal="center" vertical="center"/>
    </xf>
    <xf numFmtId="0" fontId="15" fillId="22" borderId="159" xfId="0" applyFont="1" applyFill="1" applyBorder="1"/>
    <xf numFmtId="0" fontId="15" fillId="22" borderId="17" xfId="0" applyFont="1" applyFill="1" applyBorder="1"/>
    <xf numFmtId="0" fontId="15" fillId="22" borderId="57" xfId="0" applyFont="1" applyFill="1" applyBorder="1"/>
    <xf numFmtId="3" fontId="0" fillId="0" borderId="0" xfId="0" applyNumberFormat="1" applyFill="1" applyBorder="1" applyProtection="1">
      <protection hidden="1"/>
    </xf>
    <xf numFmtId="167" fontId="0" fillId="0" borderId="25" xfId="0" applyNumberFormat="1" applyFill="1" applyBorder="1" applyAlignment="1" applyProtection="1">
      <alignment wrapText="1"/>
      <protection hidden="1"/>
    </xf>
    <xf numFmtId="167" fontId="0" fillId="0" borderId="0" xfId="0" applyNumberFormat="1" applyFill="1" applyBorder="1" applyAlignment="1" applyProtection="1">
      <alignment horizontal="center" wrapText="1"/>
      <protection hidden="1"/>
    </xf>
    <xf numFmtId="167" fontId="0" fillId="0" borderId="0" xfId="0" applyNumberFormat="1" applyFill="1" applyBorder="1" applyAlignment="1" applyProtection="1">
      <alignment horizontal="center"/>
      <protection hidden="1"/>
    </xf>
    <xf numFmtId="0" fontId="0" fillId="0" borderId="0" xfId="0" applyFill="1" applyBorder="1" applyAlignment="1" applyProtection="1">
      <alignment wrapText="1"/>
      <protection hidden="1"/>
    </xf>
    <xf numFmtId="0" fontId="0" fillId="0" borderId="24" xfId="0" applyFill="1" applyBorder="1" applyAlignment="1" applyProtection="1">
      <alignment wrapText="1"/>
      <protection hidden="1"/>
    </xf>
    <xf numFmtId="0" fontId="0" fillId="0" borderId="0" xfId="0" applyFill="1" applyProtection="1">
      <protection hidden="1"/>
    </xf>
    <xf numFmtId="0" fontId="8" fillId="0" borderId="0" xfId="0" applyFont="1" applyFill="1" applyBorder="1" applyAlignment="1" applyProtection="1">
      <protection hidden="1"/>
    </xf>
    <xf numFmtId="0" fontId="0" fillId="0" borderId="25" xfId="0" applyFill="1" applyBorder="1" applyAlignment="1" applyProtection="1">
      <alignment wrapText="1"/>
      <protection hidden="1"/>
    </xf>
    <xf numFmtId="1" fontId="0" fillId="0" borderId="0" xfId="0" applyNumberFormat="1" applyFill="1" applyBorder="1" applyAlignment="1" applyProtection="1">
      <alignment wrapText="1"/>
      <protection hidden="1"/>
    </xf>
    <xf numFmtId="0" fontId="0" fillId="0" borderId="24" xfId="0" applyFill="1" applyBorder="1" applyAlignment="1" applyProtection="1">
      <alignment horizontal="center" vertical="center" wrapText="1"/>
      <protection hidden="1"/>
    </xf>
    <xf numFmtId="0" fontId="0" fillId="0" borderId="0" xfId="0" applyFill="1" applyAlignment="1" applyProtection="1">
      <alignment wrapText="1"/>
      <protection hidden="1"/>
    </xf>
    <xf numFmtId="0" fontId="58" fillId="0" borderId="0" xfId="0" applyFont="1" applyFill="1" applyProtection="1">
      <protection hidden="1"/>
    </xf>
    <xf numFmtId="0" fontId="40" fillId="0" borderId="24" xfId="0" applyFont="1" applyFill="1" applyBorder="1" applyProtection="1">
      <protection hidden="1"/>
    </xf>
    <xf numFmtId="0" fontId="52" fillId="0" borderId="0" xfId="0" applyFont="1" applyFill="1" applyProtection="1">
      <protection hidden="1"/>
    </xf>
    <xf numFmtId="0" fontId="27" fillId="0" borderId="0" xfId="0" applyFont="1" applyFill="1" applyAlignment="1" applyProtection="1">
      <protection hidden="1"/>
    </xf>
    <xf numFmtId="0" fontId="27" fillId="0" borderId="0" xfId="0" applyFont="1" applyFill="1" applyAlignment="1" applyProtection="1">
      <alignment horizontal="left" indent="10"/>
      <protection hidden="1"/>
    </xf>
    <xf numFmtId="0" fontId="14" fillId="0" borderId="21" xfId="0" applyFont="1" applyFill="1" applyBorder="1"/>
    <xf numFmtId="0" fontId="14" fillId="0" borderId="22" xfId="0" applyFont="1" applyFill="1" applyBorder="1"/>
    <xf numFmtId="0" fontId="14" fillId="0" borderId="23" xfId="0" applyFont="1" applyFill="1" applyBorder="1"/>
    <xf numFmtId="0" fontId="14" fillId="0" borderId="0" xfId="0" applyFont="1" applyFill="1" applyBorder="1"/>
    <xf numFmtId="38" fontId="0" fillId="0" borderId="0" xfId="0" applyNumberFormat="1" applyFill="1" applyProtection="1"/>
    <xf numFmtId="38" fontId="0" fillId="0" borderId="0" xfId="0" applyNumberFormat="1" applyFill="1" applyAlignment="1" applyProtection="1">
      <alignment horizontal="right"/>
      <protection hidden="1"/>
    </xf>
    <xf numFmtId="38" fontId="8" fillId="0" borderId="0" xfId="0" applyNumberFormat="1" applyFont="1" applyFill="1" applyAlignment="1" applyProtection="1">
      <alignment horizontal="left" vertical="top"/>
      <protection hidden="1"/>
    </xf>
    <xf numFmtId="38" fontId="8" fillId="0" borderId="0" xfId="0" applyNumberFormat="1" applyFont="1" applyFill="1" applyAlignment="1" applyProtection="1">
      <alignment horizontal="centerContinuous"/>
      <protection hidden="1"/>
    </xf>
    <xf numFmtId="38" fontId="0" fillId="0" borderId="0" xfId="0" applyNumberFormat="1" applyFill="1" applyAlignment="1" applyProtection="1">
      <alignment horizontal="centerContinuous"/>
      <protection hidden="1"/>
    </xf>
    <xf numFmtId="38" fontId="0" fillId="0" borderId="0" xfId="0" applyNumberFormat="1" applyFill="1" applyProtection="1">
      <protection hidden="1"/>
    </xf>
    <xf numFmtId="38" fontId="3" fillId="0" borderId="0" xfId="0" applyNumberFormat="1" applyFont="1" applyFill="1" applyAlignment="1" applyProtection="1">
      <alignment horizontal="right"/>
      <protection hidden="1"/>
    </xf>
    <xf numFmtId="38" fontId="0" fillId="0" borderId="0" xfId="0" applyNumberFormat="1" applyFill="1" applyAlignment="1" applyProtection="1">
      <alignment horizontal="center"/>
      <protection hidden="1"/>
    </xf>
    <xf numFmtId="6" fontId="3" fillId="0" borderId="2" xfId="0" applyNumberFormat="1" applyFont="1" applyFill="1" applyBorder="1" applyAlignment="1" applyProtection="1">
      <alignment horizontal="center"/>
      <protection hidden="1"/>
    </xf>
    <xf numFmtId="38" fontId="8" fillId="0" borderId="0" xfId="0" applyNumberFormat="1" applyFont="1" applyFill="1" applyAlignment="1" applyProtection="1">
      <alignment horizontal="left"/>
      <protection hidden="1"/>
    </xf>
    <xf numFmtId="6" fontId="3" fillId="0" borderId="32" xfId="0" applyNumberFormat="1" applyFont="1" applyFill="1" applyBorder="1" applyAlignment="1" applyProtection="1">
      <alignment horizontal="center"/>
      <protection hidden="1"/>
    </xf>
    <xf numFmtId="38" fontId="0" fillId="0" borderId="0" xfId="0" applyNumberFormat="1" applyFill="1" applyAlignment="1" applyProtection="1">
      <alignment horizontal="right"/>
    </xf>
    <xf numFmtId="171" fontId="0" fillId="0" borderId="2" xfId="0" applyNumberFormat="1" applyFill="1" applyBorder="1" applyAlignment="1" applyProtection="1">
      <alignment horizontal="center" vertical="center"/>
      <protection hidden="1"/>
    </xf>
    <xf numFmtId="6" fontId="3" fillId="0" borderId="0" xfId="0" applyNumberFormat="1" applyFont="1" applyFill="1" applyBorder="1" applyAlignment="1" applyProtection="1">
      <alignment horizontal="center"/>
      <protection hidden="1"/>
    </xf>
    <xf numFmtId="38" fontId="0" fillId="0" borderId="0" xfId="0" applyNumberFormat="1" applyFill="1" applyAlignment="1" applyProtection="1">
      <alignment horizontal="center" wrapText="1"/>
      <protection hidden="1"/>
    </xf>
    <xf numFmtId="171" fontId="0" fillId="0" borderId="0" xfId="0" applyNumberFormat="1" applyFill="1" applyBorder="1" applyAlignment="1" applyProtection="1">
      <alignment horizontal="center" vertical="center"/>
      <protection hidden="1"/>
    </xf>
    <xf numFmtId="38" fontId="3" fillId="0" borderId="0" xfId="0" applyNumberFormat="1" applyFont="1" applyFill="1" applyProtection="1">
      <protection hidden="1"/>
    </xf>
    <xf numFmtId="14" fontId="3" fillId="0" borderId="0" xfId="0" applyNumberFormat="1" applyFont="1" applyFill="1" applyAlignment="1" applyProtection="1">
      <alignment horizontal="right"/>
      <protection hidden="1"/>
    </xf>
    <xf numFmtId="38" fontId="0" fillId="0" borderId="35" xfId="0" applyNumberFormat="1" applyFill="1" applyBorder="1" applyAlignment="1" applyProtection="1">
      <alignment horizontal="left"/>
      <protection hidden="1"/>
    </xf>
    <xf numFmtId="6" fontId="0" fillId="0" borderId="6" xfId="0" applyNumberFormat="1" applyFill="1" applyBorder="1" applyAlignment="1" applyProtection="1">
      <alignment horizontal="center"/>
      <protection hidden="1"/>
    </xf>
    <xf numFmtId="6" fontId="3" fillId="0" borderId="36" xfId="0" applyNumberFormat="1" applyFont="1" applyFill="1" applyBorder="1" applyAlignment="1" applyProtection="1">
      <alignment horizontal="right"/>
      <protection hidden="1"/>
    </xf>
    <xf numFmtId="38" fontId="0" fillId="0" borderId="26" xfId="0" applyNumberFormat="1" applyFill="1" applyBorder="1" applyAlignment="1" applyProtection="1">
      <alignment horizontal="left"/>
      <protection hidden="1"/>
    </xf>
    <xf numFmtId="6" fontId="0" fillId="0" borderId="2" xfId="0" applyNumberFormat="1" applyFill="1" applyBorder="1" applyAlignment="1" applyProtection="1">
      <alignment horizontal="center"/>
      <protection hidden="1"/>
    </xf>
    <xf numFmtId="6" fontId="3" fillId="0" borderId="37" xfId="0" applyNumberFormat="1" applyFont="1" applyFill="1" applyBorder="1" applyAlignment="1" applyProtection="1">
      <alignment horizontal="right"/>
      <protection hidden="1"/>
    </xf>
    <xf numFmtId="38" fontId="0" fillId="0" borderId="38" xfId="0" applyNumberFormat="1" applyFill="1" applyBorder="1" applyAlignment="1" applyProtection="1">
      <alignment horizontal="left"/>
      <protection hidden="1"/>
    </xf>
    <xf numFmtId="6" fontId="0" fillId="0" borderId="3" xfId="0" applyNumberFormat="1" applyFill="1" applyBorder="1" applyAlignment="1" applyProtection="1">
      <alignment horizontal="center"/>
      <protection hidden="1"/>
    </xf>
    <xf numFmtId="38" fontId="33" fillId="0" borderId="39" xfId="0" applyNumberFormat="1" applyFont="1" applyFill="1" applyBorder="1" applyAlignment="1" applyProtection="1">
      <alignment horizontal="left"/>
      <protection hidden="1"/>
    </xf>
    <xf numFmtId="6" fontId="0" fillId="0" borderId="67" xfId="0" applyNumberFormat="1" applyFill="1" applyBorder="1" applyAlignment="1" applyProtection="1">
      <alignment horizontal="center"/>
      <protection hidden="1"/>
    </xf>
    <xf numFmtId="6" fontId="3" fillId="0" borderId="40" xfId="0" applyNumberFormat="1" applyFont="1" applyFill="1" applyBorder="1" applyAlignment="1" applyProtection="1">
      <alignment horizontal="right"/>
      <protection hidden="1"/>
    </xf>
    <xf numFmtId="38" fontId="3" fillId="0" borderId="35" xfId="0" applyNumberFormat="1" applyFont="1" applyFill="1" applyBorder="1" applyAlignment="1" applyProtection="1">
      <alignment horizontal="left"/>
      <protection hidden="1"/>
    </xf>
    <xf numFmtId="38" fontId="3" fillId="0" borderId="6" xfId="0" applyNumberFormat="1" applyFont="1" applyFill="1" applyBorder="1" applyAlignment="1" applyProtection="1">
      <alignment horizontal="center"/>
      <protection hidden="1"/>
    </xf>
    <xf numFmtId="38" fontId="0" fillId="0" borderId="0" xfId="0" applyNumberFormat="1" applyFill="1" applyAlignment="1" applyProtection="1">
      <alignment horizontal="left"/>
      <protection hidden="1"/>
    </xf>
    <xf numFmtId="6" fontId="0" fillId="0" borderId="0" xfId="0" applyNumberFormat="1" applyFill="1" applyAlignment="1" applyProtection="1">
      <alignment horizontal="right"/>
      <protection hidden="1"/>
    </xf>
    <xf numFmtId="6" fontId="3" fillId="0" borderId="0" xfId="0" applyNumberFormat="1" applyFont="1" applyFill="1" applyAlignment="1" applyProtection="1">
      <alignment horizontal="right"/>
      <protection hidden="1"/>
    </xf>
    <xf numFmtId="38" fontId="0" fillId="0" borderId="7" xfId="0" applyNumberFormat="1" applyFont="1" applyFill="1" applyBorder="1" applyAlignment="1" applyProtection="1">
      <alignment horizontal="left" vertical="top"/>
      <protection hidden="1"/>
    </xf>
    <xf numFmtId="38" fontId="3" fillId="0" borderId="7" xfId="0" applyNumberFormat="1" applyFont="1" applyFill="1" applyBorder="1" applyProtection="1">
      <protection hidden="1"/>
    </xf>
    <xf numFmtId="6" fontId="0" fillId="0" borderId="7" xfId="0" applyNumberFormat="1" applyFont="1" applyFill="1" applyBorder="1" applyAlignment="1" applyProtection="1">
      <alignment horizontal="right"/>
      <protection hidden="1"/>
    </xf>
    <xf numFmtId="6" fontId="3" fillId="0" borderId="7" xfId="0" applyNumberFormat="1" applyFont="1" applyFill="1" applyBorder="1" applyAlignment="1" applyProtection="1">
      <alignment horizontal="right"/>
      <protection hidden="1"/>
    </xf>
    <xf numFmtId="38" fontId="0" fillId="0" borderId="0" xfId="0" applyNumberFormat="1" applyFill="1" applyAlignment="1" applyProtection="1">
      <alignment horizontal="left" vertical="top"/>
      <protection hidden="1"/>
    </xf>
    <xf numFmtId="164" fontId="0" fillId="0" borderId="0" xfId="1" applyNumberFormat="1" applyFont="1" applyFill="1" applyAlignment="1" applyProtection="1">
      <alignment horizontal="right"/>
      <protection hidden="1"/>
    </xf>
    <xf numFmtId="38" fontId="0" fillId="0" borderId="0" xfId="0" applyNumberFormat="1" applyFill="1"/>
    <xf numFmtId="10" fontId="3" fillId="0" borderId="75" xfId="0" applyNumberFormat="1" applyFont="1" applyFill="1" applyBorder="1" applyProtection="1">
      <protection hidden="1"/>
    </xf>
    <xf numFmtId="9" fontId="3" fillId="0" borderId="75" xfId="0" applyNumberFormat="1" applyFont="1" applyFill="1" applyBorder="1" applyProtection="1">
      <protection hidden="1"/>
    </xf>
    <xf numFmtId="38" fontId="8" fillId="2" borderId="0" xfId="0" applyNumberFormat="1" applyFont="1" applyFill="1" applyAlignment="1" applyProtection="1">
      <alignment horizontal="center"/>
      <protection hidden="1"/>
    </xf>
    <xf numFmtId="38" fontId="62" fillId="0" borderId="0" xfId="0" applyNumberFormat="1" applyFont="1" applyAlignment="1" applyProtection="1">
      <alignment horizontal="left"/>
      <protection hidden="1"/>
    </xf>
    <xf numFmtId="10" fontId="40" fillId="2" borderId="75" xfId="0" applyNumberFormat="1" applyFont="1" applyFill="1" applyBorder="1" applyProtection="1">
      <protection hidden="1"/>
    </xf>
    <xf numFmtId="3" fontId="3" fillId="2" borderId="75" xfId="0" applyNumberFormat="1" applyFont="1" applyFill="1" applyBorder="1" applyProtection="1">
      <protection hidden="1"/>
    </xf>
    <xf numFmtId="1" fontId="58" fillId="0" borderId="0" xfId="0" applyNumberFormat="1" applyFont="1" applyFill="1" applyBorder="1" applyAlignment="1">
      <alignment horizontal="center"/>
    </xf>
    <xf numFmtId="0" fontId="15" fillId="2" borderId="0" xfId="0" applyFont="1" applyFill="1" applyAlignment="1">
      <alignment horizontal="right"/>
    </xf>
    <xf numFmtId="167" fontId="15" fillId="2" borderId="0" xfId="0" applyNumberFormat="1" applyFont="1" applyFill="1"/>
    <xf numFmtId="3" fontId="15" fillId="2" borderId="37" xfId="0" applyNumberFormat="1" applyFont="1" applyFill="1" applyBorder="1"/>
    <xf numFmtId="0" fontId="3" fillId="0" borderId="21" xfId="0" applyFont="1" applyBorder="1" applyProtection="1">
      <protection hidden="1"/>
    </xf>
    <xf numFmtId="0" fontId="17" fillId="9" borderId="2" xfId="0" applyFont="1" applyFill="1" applyBorder="1" applyAlignment="1" applyProtection="1">
      <alignment vertical="center"/>
      <protection hidden="1"/>
    </xf>
    <xf numFmtId="3" fontId="16" fillId="9" borderId="2" xfId="0" applyNumberFormat="1" applyFont="1" applyFill="1" applyBorder="1" applyAlignment="1" applyProtection="1">
      <alignment vertical="center"/>
      <protection hidden="1"/>
    </xf>
    <xf numFmtId="0" fontId="15" fillId="9" borderId="2" xfId="0" applyFont="1" applyFill="1" applyBorder="1"/>
    <xf numFmtId="38" fontId="14" fillId="9" borderId="4" xfId="0" applyNumberFormat="1" applyFont="1" applyFill="1" applyBorder="1"/>
    <xf numFmtId="3" fontId="15" fillId="9" borderId="26" xfId="0" applyNumberFormat="1" applyFont="1" applyFill="1" applyBorder="1"/>
    <xf numFmtId="3" fontId="15" fillId="9" borderId="37" xfId="0" applyNumberFormat="1" applyFont="1" applyFill="1" applyBorder="1"/>
    <xf numFmtId="3" fontId="15" fillId="9" borderId="17" xfId="0" applyNumberFormat="1" applyFont="1" applyFill="1" applyBorder="1"/>
    <xf numFmtId="10" fontId="15" fillId="9" borderId="2" xfId="0" applyNumberFormat="1" applyFont="1" applyFill="1" applyBorder="1"/>
    <xf numFmtId="0" fontId="15" fillId="9" borderId="74" xfId="0" applyFont="1" applyFill="1" applyBorder="1"/>
    <xf numFmtId="3" fontId="15" fillId="9" borderId="64" xfId="0" applyNumberFormat="1" applyFont="1" applyFill="1" applyBorder="1"/>
    <xf numFmtId="0" fontId="15" fillId="9" borderId="26" xfId="0" applyFont="1" applyFill="1" applyBorder="1"/>
    <xf numFmtId="0" fontId="15" fillId="9" borderId="37" xfId="0" applyFont="1" applyFill="1" applyBorder="1"/>
    <xf numFmtId="3" fontId="16" fillId="9" borderId="17" xfId="0" applyNumberFormat="1" applyFont="1" applyFill="1" applyBorder="1" applyAlignment="1" applyProtection="1">
      <alignment vertical="center"/>
      <protection hidden="1"/>
    </xf>
    <xf numFmtId="0" fontId="15" fillId="9" borderId="17" xfId="0" applyFont="1" applyFill="1" applyBorder="1"/>
    <xf numFmtId="0" fontId="15" fillId="9" borderId="0" xfId="0" applyFont="1" applyFill="1"/>
    <xf numFmtId="38" fontId="63" fillId="0" borderId="0" xfId="0" applyNumberFormat="1" applyFont="1" applyAlignment="1" applyProtection="1">
      <alignment horizontal="centerContinuous"/>
    </xf>
    <xf numFmtId="38" fontId="62" fillId="0" borderId="0" xfId="0" applyNumberFormat="1" applyFont="1" applyProtection="1"/>
    <xf numFmtId="6" fontId="0" fillId="0" borderId="3" xfId="0" applyNumberFormat="1" applyFill="1" applyBorder="1" applyAlignment="1" applyProtection="1">
      <alignment horizontal="right"/>
      <protection hidden="1"/>
    </xf>
    <xf numFmtId="6" fontId="0" fillId="0" borderId="67" xfId="0" applyNumberFormat="1" applyFill="1" applyBorder="1" applyAlignment="1" applyProtection="1">
      <alignment horizontal="right"/>
      <protection hidden="1"/>
    </xf>
    <xf numFmtId="0" fontId="14" fillId="0" borderId="21" xfId="0" applyFont="1" applyFill="1" applyBorder="1" applyAlignment="1"/>
    <xf numFmtId="0" fontId="14" fillId="0" borderId="22" xfId="0" applyFont="1" applyFill="1" applyBorder="1" applyAlignment="1"/>
    <xf numFmtId="0" fontId="14" fillId="0" borderId="23" xfId="0" applyFont="1" applyFill="1" applyBorder="1" applyAlignment="1"/>
    <xf numFmtId="0" fontId="14" fillId="0" borderId="26" xfId="0" applyFont="1" applyFill="1" applyBorder="1" applyAlignment="1">
      <alignment horizontal="center"/>
    </xf>
    <xf numFmtId="0" fontId="14" fillId="0" borderId="2" xfId="0" applyFont="1" applyFill="1" applyBorder="1" applyAlignment="1">
      <alignment horizontal="center"/>
    </xf>
    <xf numFmtId="166" fontId="14" fillId="0" borderId="26" xfId="0" applyNumberFormat="1" applyFont="1" applyFill="1" applyBorder="1" applyAlignment="1" applyProtection="1">
      <alignment horizontal="center"/>
      <protection hidden="1"/>
    </xf>
    <xf numFmtId="166" fontId="14" fillId="0" borderId="2" xfId="0" applyNumberFormat="1" applyFont="1" applyFill="1" applyBorder="1" applyAlignment="1" applyProtection="1">
      <alignment horizontal="center"/>
      <protection hidden="1"/>
    </xf>
    <xf numFmtId="166" fontId="14" fillId="0" borderId="27" xfId="0" applyNumberFormat="1" applyFont="1" applyFill="1" applyBorder="1" applyAlignment="1">
      <alignment horizontal="center"/>
    </xf>
    <xf numFmtId="166" fontId="14" fillId="0" borderId="28" xfId="0" applyNumberFormat="1" applyFont="1" applyFill="1" applyBorder="1" applyAlignment="1">
      <alignment horizontal="center"/>
    </xf>
    <xf numFmtId="6" fontId="27" fillId="0" borderId="0" xfId="0" applyNumberFormat="1" applyFont="1" applyFill="1" applyProtection="1">
      <protection hidden="1"/>
    </xf>
    <xf numFmtId="166" fontId="27" fillId="0" borderId="0" xfId="0" applyNumberFormat="1" applyFont="1" applyFill="1" applyProtection="1">
      <protection hidden="1"/>
    </xf>
    <xf numFmtId="6" fontId="0" fillId="0" borderId="70" xfId="0" applyNumberFormat="1" applyFill="1" applyBorder="1" applyAlignment="1" applyProtection="1">
      <alignment horizontal="right"/>
      <protection hidden="1"/>
    </xf>
    <xf numFmtId="6" fontId="0" fillId="0" borderId="71" xfId="0" applyNumberFormat="1" applyFill="1" applyBorder="1" applyAlignment="1" applyProtection="1">
      <alignment horizontal="right"/>
      <protection hidden="1"/>
    </xf>
    <xf numFmtId="38" fontId="14" fillId="16" borderId="4" xfId="0" applyNumberFormat="1" applyFont="1" applyFill="1" applyBorder="1"/>
    <xf numFmtId="0" fontId="15" fillId="16" borderId="2" xfId="0" applyFont="1" applyFill="1" applyBorder="1"/>
    <xf numFmtId="3" fontId="15" fillId="16" borderId="26" xfId="0" applyNumberFormat="1" applyFont="1" applyFill="1" applyBorder="1"/>
    <xf numFmtId="3" fontId="15" fillId="16" borderId="37" xfId="0" applyNumberFormat="1" applyFont="1" applyFill="1" applyBorder="1"/>
    <xf numFmtId="3" fontId="16" fillId="16" borderId="2" xfId="0" applyNumberFormat="1" applyFont="1" applyFill="1" applyBorder="1" applyAlignment="1" applyProtection="1">
      <alignment vertical="center" wrapText="1"/>
      <protection hidden="1"/>
    </xf>
    <xf numFmtId="3" fontId="15" fillId="16" borderId="30" xfId="0" applyNumberFormat="1" applyFont="1" applyFill="1" applyBorder="1"/>
    <xf numFmtId="3" fontId="15" fillId="16" borderId="34" xfId="0" applyNumberFormat="1" applyFont="1" applyFill="1" applyBorder="1"/>
    <xf numFmtId="10" fontId="15" fillId="16" borderId="2" xfId="0" applyNumberFormat="1" applyFont="1" applyFill="1" applyBorder="1"/>
    <xf numFmtId="3" fontId="15" fillId="16" borderId="4" xfId="0" applyNumberFormat="1" applyFont="1" applyFill="1" applyBorder="1"/>
    <xf numFmtId="0" fontId="15" fillId="16" borderId="74" xfId="0" applyFont="1" applyFill="1" applyBorder="1"/>
    <xf numFmtId="0" fontId="15" fillId="16" borderId="26" xfId="0" applyFont="1" applyFill="1" applyBorder="1"/>
    <xf numFmtId="0" fontId="15" fillId="16" borderId="37" xfId="0" applyFont="1" applyFill="1" applyBorder="1"/>
    <xf numFmtId="3" fontId="16" fillId="0" borderId="0" xfId="0" applyNumberFormat="1" applyFont="1" applyFill="1" applyBorder="1" applyAlignment="1" applyProtection="1">
      <alignment vertical="center" wrapText="1"/>
      <protection hidden="1"/>
    </xf>
    <xf numFmtId="3" fontId="16" fillId="20" borderId="0" xfId="0" applyNumberFormat="1" applyFont="1" applyFill="1" applyBorder="1" applyAlignment="1" applyProtection="1">
      <alignment vertical="center" wrapText="1"/>
      <protection hidden="1"/>
    </xf>
    <xf numFmtId="0" fontId="15" fillId="16" borderId="0" xfId="0" applyFont="1" applyFill="1" applyBorder="1"/>
    <xf numFmtId="3" fontId="15" fillId="13" borderId="0" xfId="0" applyNumberFormat="1" applyFont="1" applyFill="1" applyBorder="1"/>
    <xf numFmtId="3" fontId="15" fillId="0" borderId="0" xfId="0" applyNumberFormat="1" applyFont="1" applyFill="1" applyBorder="1"/>
    <xf numFmtId="3" fontId="15" fillId="16" borderId="0" xfId="0" applyNumberFormat="1" applyFont="1" applyFill="1" applyBorder="1"/>
    <xf numFmtId="10" fontId="15" fillId="20" borderId="0" xfId="0" applyNumberFormat="1" applyFont="1" applyFill="1" applyBorder="1"/>
    <xf numFmtId="0" fontId="15" fillId="13" borderId="0" xfId="0" applyFont="1" applyFill="1" applyBorder="1"/>
    <xf numFmtId="3" fontId="15" fillId="22" borderId="0" xfId="0" applyNumberFormat="1" applyFont="1" applyFill="1" applyBorder="1"/>
    <xf numFmtId="0" fontId="15" fillId="0" borderId="0" xfId="0" applyFont="1" applyBorder="1"/>
    <xf numFmtId="0" fontId="15" fillId="22" borderId="0" xfId="0" applyFont="1" applyFill="1" applyBorder="1"/>
    <xf numFmtId="38" fontId="14" fillId="16" borderId="0" xfId="0" applyNumberFormat="1" applyFont="1" applyFill="1" applyBorder="1"/>
    <xf numFmtId="10" fontId="15" fillId="16" borderId="0" xfId="0" applyNumberFormat="1" applyFont="1" applyFill="1" applyBorder="1"/>
    <xf numFmtId="3" fontId="15" fillId="16" borderId="64" xfId="0" applyNumberFormat="1" applyFont="1" applyFill="1" applyBorder="1"/>
    <xf numFmtId="1" fontId="26" fillId="16" borderId="20" xfId="0" applyNumberFormat="1" applyFont="1" applyFill="1" applyBorder="1" applyAlignment="1">
      <alignment horizontal="center"/>
    </xf>
    <xf numFmtId="167" fontId="0" fillId="0" borderId="20" xfId="0" applyNumberFormat="1" applyFill="1" applyBorder="1" applyProtection="1">
      <protection hidden="1"/>
    </xf>
    <xf numFmtId="167" fontId="40" fillId="0" borderId="29" xfId="0" applyNumberFormat="1" applyFont="1" applyFill="1" applyBorder="1" applyProtection="1">
      <protection hidden="1"/>
    </xf>
    <xf numFmtId="1" fontId="40" fillId="0" borderId="0" xfId="0" applyNumberFormat="1" applyFont="1" applyFill="1" applyBorder="1" applyProtection="1">
      <protection hidden="1"/>
    </xf>
    <xf numFmtId="167" fontId="0" fillId="0" borderId="0" xfId="0" applyNumberFormat="1" applyFill="1" applyBorder="1" applyAlignment="1" applyProtection="1">
      <alignment wrapText="1"/>
      <protection hidden="1"/>
    </xf>
    <xf numFmtId="167" fontId="3" fillId="0" borderId="19" xfId="0" applyNumberFormat="1" applyFont="1" applyBorder="1" applyAlignment="1" applyProtection="1">
      <alignment horizontal="right"/>
      <protection hidden="1"/>
    </xf>
    <xf numFmtId="167" fontId="39" fillId="0" borderId="28" xfId="0" applyNumberFormat="1" applyFont="1" applyBorder="1" applyAlignment="1" applyProtection="1">
      <alignment horizontal="right"/>
      <protection hidden="1"/>
    </xf>
    <xf numFmtId="167" fontId="0" fillId="0" borderId="97" xfId="0" applyNumberFormat="1" applyBorder="1" applyProtection="1">
      <protection hidden="1"/>
    </xf>
    <xf numFmtId="167" fontId="3" fillId="0" borderId="0" xfId="0" applyNumberFormat="1" applyFont="1" applyBorder="1" applyAlignment="1" applyProtection="1">
      <alignment horizontal="right"/>
      <protection hidden="1"/>
    </xf>
    <xf numFmtId="167" fontId="39" fillId="0" borderId="0" xfId="0" applyNumberFormat="1" applyFont="1" applyBorder="1" applyAlignment="1" applyProtection="1">
      <alignment horizontal="right"/>
      <protection hidden="1"/>
    </xf>
    <xf numFmtId="0" fontId="8" fillId="0" borderId="18" xfId="0" applyFont="1" applyFill="1" applyBorder="1" applyAlignment="1" applyProtection="1">
      <protection hidden="1"/>
    </xf>
    <xf numFmtId="0" fontId="8" fillId="0" borderId="19" xfId="0" applyFont="1" applyFill="1" applyBorder="1" applyAlignment="1" applyProtection="1">
      <protection hidden="1"/>
    </xf>
    <xf numFmtId="0" fontId="8" fillId="0" borderId="20" xfId="0" applyFont="1" applyFill="1" applyBorder="1" applyAlignment="1" applyProtection="1">
      <protection hidden="1"/>
    </xf>
    <xf numFmtId="0" fontId="27" fillId="0" borderId="0" xfId="0" applyFont="1" applyFill="1" applyAlignment="1" applyProtection="1">
      <alignment horizontal="left"/>
      <protection hidden="1"/>
    </xf>
    <xf numFmtId="167" fontId="3" fillId="0" borderId="18" xfId="0" applyNumberFormat="1" applyFont="1" applyBorder="1" applyAlignment="1" applyProtection="1">
      <alignment horizontal="right"/>
      <protection hidden="1"/>
    </xf>
    <xf numFmtId="167" fontId="39" fillId="0" borderId="27" xfId="0" applyNumberFormat="1" applyFont="1" applyBorder="1" applyAlignment="1" applyProtection="1">
      <alignment horizontal="right"/>
      <protection hidden="1"/>
    </xf>
    <xf numFmtId="167" fontId="3" fillId="0" borderId="20" xfId="0" applyNumberFormat="1" applyFont="1" applyBorder="1" applyAlignment="1" applyProtection="1">
      <alignment horizontal="right"/>
      <protection hidden="1"/>
    </xf>
    <xf numFmtId="167" fontId="39" fillId="0" borderId="29" xfId="0" applyNumberFormat="1" applyFont="1" applyBorder="1" applyAlignment="1" applyProtection="1">
      <alignment horizontal="right"/>
      <protection hidden="1"/>
    </xf>
    <xf numFmtId="38" fontId="11" fillId="0" borderId="0" xfId="0" applyNumberFormat="1" applyFont="1" applyAlignment="1" applyProtection="1">
      <alignment horizontal="left"/>
      <protection hidden="1"/>
    </xf>
    <xf numFmtId="38" fontId="12" fillId="0" borderId="0" xfId="0" applyNumberFormat="1" applyFont="1" applyAlignment="1" applyProtection="1">
      <alignment horizontal="left"/>
      <protection hidden="1"/>
    </xf>
    <xf numFmtId="0" fontId="29" fillId="0" borderId="0" xfId="0" applyFont="1" applyFill="1" applyAlignment="1" applyProtection="1">
      <alignment horizontal="left"/>
      <protection hidden="1"/>
    </xf>
    <xf numFmtId="0" fontId="29" fillId="0" borderId="0" xfId="0" applyFont="1" applyFill="1" applyAlignment="1" applyProtection="1">
      <alignment horizontal="left" vertical="top" wrapText="1"/>
      <protection hidden="1"/>
    </xf>
    <xf numFmtId="0" fontId="27" fillId="0" borderId="0" xfId="0" applyFont="1" applyFill="1" applyAlignment="1" applyProtection="1">
      <alignment horizontal="left"/>
      <protection hidden="1"/>
    </xf>
    <xf numFmtId="0" fontId="29" fillId="0" borderId="0" xfId="0" applyFont="1" applyFill="1" applyAlignment="1" applyProtection="1">
      <alignment horizontal="left" wrapText="1"/>
      <protection hidden="1"/>
    </xf>
    <xf numFmtId="0" fontId="15" fillId="0" borderId="0" xfId="0" applyFont="1" applyFill="1" applyBorder="1" applyAlignment="1">
      <alignment horizontal="center" wrapText="1"/>
    </xf>
    <xf numFmtId="38" fontId="0" fillId="0" borderId="0" xfId="0" applyNumberFormat="1" applyFill="1" applyAlignment="1" applyProtection="1">
      <alignment horizontal="right" wrapText="1"/>
      <protection hidden="1"/>
    </xf>
    <xf numFmtId="38" fontId="0" fillId="0" borderId="78" xfId="0" applyNumberFormat="1" applyFill="1" applyBorder="1" applyAlignment="1" applyProtection="1">
      <alignment horizontal="right" wrapText="1"/>
      <protection hidden="1"/>
    </xf>
    <xf numFmtId="0" fontId="18" fillId="0" borderId="0" xfId="0" applyFont="1" applyAlignment="1">
      <alignment horizontal="center"/>
    </xf>
    <xf numFmtId="0" fontId="20" fillId="0" borderId="2" xfId="0" applyFont="1" applyBorder="1" applyAlignment="1">
      <alignment horizontal="left" vertical="center" wrapText="1"/>
    </xf>
    <xf numFmtId="0" fontId="0" fillId="0" borderId="2" xfId="0" applyBorder="1" applyAlignment="1">
      <alignment vertical="center" wrapText="1"/>
    </xf>
    <xf numFmtId="0" fontId="20" fillId="0" borderId="2" xfId="0" applyFont="1" applyBorder="1" applyAlignment="1">
      <alignment horizontal="center" vertical="center" wrapText="1"/>
    </xf>
    <xf numFmtId="0" fontId="36"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8" borderId="4" xfId="0" applyFont="1" applyFill="1" applyBorder="1" applyAlignment="1" applyProtection="1">
      <alignment horizontal="center" vertical="center"/>
      <protection hidden="1"/>
    </xf>
    <xf numFmtId="0" fontId="3" fillId="8" borderId="17" xfId="0" applyFont="1" applyFill="1" applyBorder="1" applyAlignment="1" applyProtection="1">
      <alignment horizontal="center" vertical="center"/>
      <protection hidden="1"/>
    </xf>
    <xf numFmtId="0" fontId="3" fillId="8" borderId="30" xfId="0" applyFont="1" applyFill="1" applyBorder="1" applyAlignment="1" applyProtection="1">
      <alignment horizontal="center" vertical="center"/>
      <protection hidden="1"/>
    </xf>
    <xf numFmtId="0" fontId="3" fillId="12" borderId="4" xfId="0" applyFont="1" applyFill="1" applyBorder="1" applyAlignment="1" applyProtection="1">
      <alignment horizontal="center" vertical="center"/>
      <protection hidden="1"/>
    </xf>
    <xf numFmtId="0" fontId="3" fillId="12" borderId="17" xfId="0" applyFont="1" applyFill="1" applyBorder="1" applyAlignment="1" applyProtection="1">
      <alignment horizontal="center" vertical="center"/>
      <protection hidden="1"/>
    </xf>
    <xf numFmtId="0" fontId="3" fillId="12" borderId="30" xfId="0" applyFont="1" applyFill="1" applyBorder="1" applyAlignment="1" applyProtection="1">
      <alignment horizontal="center" vertical="center"/>
      <protection hidden="1"/>
    </xf>
    <xf numFmtId="0" fontId="3" fillId="10" borderId="18" xfId="0" applyFont="1" applyFill="1" applyBorder="1" applyAlignment="1">
      <alignment horizontal="center"/>
    </xf>
    <xf numFmtId="0" fontId="3" fillId="10" borderId="19" xfId="0" applyFont="1" applyFill="1" applyBorder="1" applyAlignment="1">
      <alignment horizontal="center"/>
    </xf>
    <xf numFmtId="6" fontId="24" fillId="11" borderId="5" xfId="0" applyNumberFormat="1" applyFont="1" applyFill="1" applyBorder="1" applyAlignment="1">
      <alignment horizontal="center" vertical="center" wrapText="1"/>
    </xf>
    <xf numFmtId="6" fontId="24" fillId="11" borderId="7" xfId="0" applyNumberFormat="1" applyFont="1" applyFill="1" applyBorder="1" applyAlignment="1">
      <alignment horizontal="center" vertical="center" wrapText="1"/>
    </xf>
    <xf numFmtId="6" fontId="24" fillId="11" borderId="34" xfId="0" applyNumberFormat="1" applyFont="1" applyFill="1" applyBorder="1" applyAlignment="1">
      <alignment horizontal="center" vertical="center" wrapText="1"/>
    </xf>
    <xf numFmtId="6" fontId="24" fillId="11" borderId="33" xfId="0" applyNumberFormat="1" applyFont="1" applyFill="1" applyBorder="1" applyAlignment="1">
      <alignment horizontal="center" vertical="center" wrapText="1"/>
    </xf>
    <xf numFmtId="6" fontId="24" fillId="11" borderId="47" xfId="0" applyNumberFormat="1" applyFont="1" applyFill="1" applyBorder="1" applyAlignment="1">
      <alignment horizontal="center" vertical="center" wrapText="1"/>
    </xf>
    <xf numFmtId="6" fontId="24" fillId="11" borderId="41" xfId="0" applyNumberFormat="1" applyFont="1" applyFill="1" applyBorder="1" applyAlignment="1">
      <alignment horizontal="center" vertical="center" wrapText="1"/>
    </xf>
    <xf numFmtId="0" fontId="3" fillId="3" borderId="2" xfId="0" applyFont="1" applyFill="1" applyBorder="1" applyAlignment="1">
      <alignment horizontal="center" vertical="center"/>
    </xf>
    <xf numFmtId="0" fontId="3" fillId="10" borderId="2"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24" fillId="11" borderId="2" xfId="0" applyFont="1" applyFill="1" applyBorder="1" applyAlignment="1" applyProtection="1">
      <alignment horizontal="center" vertical="center" wrapText="1"/>
      <protection hidden="1"/>
    </xf>
    <xf numFmtId="0" fontId="26" fillId="11" borderId="2" xfId="0" applyFont="1" applyFill="1" applyBorder="1" applyAlignment="1" applyProtection="1">
      <alignment horizontal="center" vertical="center" wrapText="1"/>
      <protection hidden="1"/>
    </xf>
    <xf numFmtId="0" fontId="24" fillId="0" borderId="46"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0" fontId="24" fillId="12" borderId="46" xfId="0" applyFont="1" applyFill="1" applyBorder="1" applyAlignment="1" applyProtection="1">
      <alignment horizontal="center" vertical="center" wrapText="1"/>
      <protection hidden="1"/>
    </xf>
    <xf numFmtId="0" fontId="26" fillId="12" borderId="4" xfId="0" applyFont="1" applyFill="1" applyBorder="1" applyAlignment="1" applyProtection="1">
      <alignment horizontal="center" vertical="center" wrapText="1"/>
      <protection hidden="1"/>
    </xf>
    <xf numFmtId="0" fontId="3" fillId="10" borderId="21" xfId="0" applyFont="1" applyFill="1" applyBorder="1" applyAlignment="1" applyProtection="1">
      <alignment horizontal="center" vertical="center"/>
      <protection hidden="1"/>
    </xf>
    <xf numFmtId="0" fontId="3" fillId="10" borderId="22" xfId="0" applyFont="1" applyFill="1" applyBorder="1" applyAlignment="1" applyProtection="1">
      <alignment horizontal="center" vertical="center"/>
      <protection hidden="1"/>
    </xf>
    <xf numFmtId="0" fontId="42" fillId="0" borderId="3" xfId="0" applyFont="1" applyFill="1" applyBorder="1" applyAlignment="1">
      <alignment horizontal="center" vertical="top" wrapText="1"/>
    </xf>
    <xf numFmtId="0" fontId="42" fillId="0" borderId="59" xfId="0" applyFont="1" applyFill="1" applyBorder="1" applyAlignment="1">
      <alignment horizontal="center" vertical="top" wrapText="1"/>
    </xf>
    <xf numFmtId="0" fontId="42" fillId="0" borderId="3" xfId="0" applyFont="1" applyFill="1" applyBorder="1" applyAlignment="1">
      <alignment horizontal="center" vertical="top"/>
    </xf>
    <xf numFmtId="0" fontId="42" fillId="0" borderId="59" xfId="0" applyFont="1" applyFill="1" applyBorder="1" applyAlignment="1">
      <alignment horizontal="center" vertical="top"/>
    </xf>
    <xf numFmtId="0" fontId="42" fillId="0" borderId="2" xfId="0" applyFont="1" applyFill="1" applyBorder="1" applyAlignment="1">
      <alignment horizontal="center" vertical="top" wrapText="1"/>
    </xf>
    <xf numFmtId="0" fontId="42" fillId="0" borderId="34" xfId="0" applyFont="1" applyFill="1" applyBorder="1" applyAlignment="1">
      <alignment horizontal="center" vertical="top" wrapText="1"/>
    </xf>
    <xf numFmtId="0" fontId="42" fillId="0" borderId="78" xfId="0" applyFont="1" applyFill="1" applyBorder="1" applyAlignment="1">
      <alignment horizontal="center" vertical="top" wrapText="1"/>
    </xf>
    <xf numFmtId="0" fontId="42" fillId="0" borderId="5" xfId="0" applyFont="1" applyFill="1" applyBorder="1" applyAlignment="1">
      <alignment horizontal="center" vertical="top"/>
    </xf>
    <xf numFmtId="0" fontId="42" fillId="0" borderId="31" xfId="0" applyFont="1" applyFill="1" applyBorder="1" applyAlignment="1">
      <alignment horizontal="center" vertical="top"/>
    </xf>
    <xf numFmtId="0" fontId="42" fillId="0" borderId="4" xfId="0" applyFont="1" applyFill="1" applyBorder="1" applyAlignment="1">
      <alignment horizontal="center" vertical="top"/>
    </xf>
    <xf numFmtId="0" fontId="42" fillId="0" borderId="17" xfId="0" applyFont="1" applyFill="1" applyBorder="1" applyAlignment="1">
      <alignment horizontal="center" vertical="top"/>
    </xf>
    <xf numFmtId="0" fontId="42" fillId="0" borderId="30" xfId="0" applyFont="1" applyFill="1" applyBorder="1" applyAlignment="1">
      <alignment horizontal="center" vertical="top"/>
    </xf>
    <xf numFmtId="0" fontId="0" fillId="0" borderId="21" xfId="0" applyFill="1" applyBorder="1" applyAlignment="1" applyProtection="1">
      <alignment horizontal="center" wrapText="1"/>
      <protection hidden="1"/>
    </xf>
    <xf numFmtId="0" fontId="0" fillId="0" borderId="22" xfId="0" applyFill="1" applyBorder="1" applyAlignment="1" applyProtection="1">
      <alignment horizontal="center" wrapText="1"/>
      <protection hidden="1"/>
    </xf>
    <xf numFmtId="0" fontId="0" fillId="0" borderId="23" xfId="0" applyFill="1" applyBorder="1" applyAlignment="1" applyProtection="1">
      <alignment horizontal="center" wrapText="1"/>
      <protection hidden="1"/>
    </xf>
    <xf numFmtId="38" fontId="51" fillId="0" borderId="19" xfId="0" applyNumberFormat="1" applyFont="1" applyBorder="1" applyAlignment="1" applyProtection="1">
      <alignment horizontal="center"/>
      <protection hidden="1"/>
    </xf>
    <xf numFmtId="0" fontId="8" fillId="0" borderId="18" xfId="0" applyFont="1" applyFill="1" applyBorder="1" applyAlignment="1" applyProtection="1">
      <alignment horizontal="center"/>
      <protection hidden="1"/>
    </xf>
    <xf numFmtId="0" fontId="8" fillId="0" borderId="19" xfId="0" applyFont="1" applyFill="1" applyBorder="1" applyAlignment="1" applyProtection="1">
      <alignment horizontal="center"/>
      <protection hidden="1"/>
    </xf>
    <xf numFmtId="0" fontId="8" fillId="0" borderId="20" xfId="0" applyFont="1" applyFill="1" applyBorder="1" applyAlignment="1" applyProtection="1">
      <alignment horizontal="center"/>
      <protection hidden="1"/>
    </xf>
    <xf numFmtId="38" fontId="41" fillId="0" borderId="18" xfId="0" applyNumberFormat="1" applyFont="1" applyBorder="1" applyAlignment="1" applyProtection="1">
      <alignment horizontal="center" vertical="center" wrapText="1"/>
      <protection hidden="1"/>
    </xf>
    <xf numFmtId="38" fontId="41" fillId="0" borderId="19" xfId="0" applyNumberFormat="1" applyFont="1" applyBorder="1" applyAlignment="1" applyProtection="1">
      <alignment horizontal="center" vertical="center" wrapText="1"/>
      <protection hidden="1"/>
    </xf>
    <xf numFmtId="38" fontId="41" fillId="0" borderId="20" xfId="0" applyNumberFormat="1" applyFont="1" applyBorder="1" applyAlignment="1" applyProtection="1">
      <alignment horizontal="center" vertical="center" wrapText="1"/>
      <protection hidden="1"/>
    </xf>
    <xf numFmtId="38" fontId="41" fillId="0" borderId="27" xfId="0" applyNumberFormat="1" applyFont="1" applyBorder="1" applyAlignment="1" applyProtection="1">
      <alignment horizontal="center" vertical="center" wrapText="1"/>
      <protection hidden="1"/>
    </xf>
    <xf numFmtId="38" fontId="41" fillId="0" borderId="28" xfId="0" applyNumberFormat="1" applyFont="1" applyBorder="1" applyAlignment="1" applyProtection="1">
      <alignment horizontal="center" vertical="center" wrapText="1"/>
      <protection hidden="1"/>
    </xf>
    <xf numFmtId="38" fontId="41" fillId="0" borderId="29" xfId="0" applyNumberFormat="1" applyFont="1" applyBorder="1" applyAlignment="1" applyProtection="1">
      <alignment horizontal="center" vertical="center" wrapText="1"/>
      <protection hidden="1"/>
    </xf>
    <xf numFmtId="0" fontId="41" fillId="20" borderId="21" xfId="0" applyFont="1" applyFill="1" applyBorder="1" applyAlignment="1" applyProtection="1">
      <alignment horizontal="center" vertical="center" wrapText="1"/>
      <protection hidden="1"/>
    </xf>
    <xf numFmtId="0" fontId="41" fillId="20" borderId="22" xfId="0" applyFont="1" applyFill="1" applyBorder="1" applyAlignment="1" applyProtection="1">
      <alignment horizontal="center" vertical="center" wrapText="1"/>
      <protection hidden="1"/>
    </xf>
    <xf numFmtId="0" fontId="41" fillId="20" borderId="23" xfId="0" applyFont="1" applyFill="1" applyBorder="1" applyAlignment="1" applyProtection="1">
      <alignment horizontal="center" vertical="center" wrapText="1"/>
      <protection hidden="1"/>
    </xf>
    <xf numFmtId="0" fontId="15" fillId="2" borderId="0" xfId="0" applyFont="1" applyFill="1" applyAlignment="1">
      <alignment horizontal="center"/>
    </xf>
    <xf numFmtId="0" fontId="15" fillId="20" borderId="27" xfId="0" applyFont="1" applyFill="1" applyBorder="1" applyAlignment="1">
      <alignment horizontal="center" wrapText="1"/>
    </xf>
    <xf numFmtId="0" fontId="15" fillId="20" borderId="28" xfId="0" applyFont="1" applyFill="1" applyBorder="1" applyAlignment="1">
      <alignment horizontal="center" wrapText="1"/>
    </xf>
    <xf numFmtId="0" fontId="15" fillId="20" borderId="60" xfId="0" applyFont="1" applyFill="1" applyBorder="1" applyAlignment="1">
      <alignment horizontal="center" vertical="center" wrapText="1"/>
    </xf>
    <xf numFmtId="0" fontId="15" fillId="20" borderId="77" xfId="0" applyFont="1" applyFill="1" applyBorder="1" applyAlignment="1">
      <alignment horizontal="center" vertical="center" wrapText="1"/>
    </xf>
    <xf numFmtId="0" fontId="15" fillId="16" borderId="0" xfId="0" applyFont="1" applyFill="1" applyAlignment="1">
      <alignment horizontal="center"/>
    </xf>
    <xf numFmtId="0" fontId="15" fillId="20" borderId="18" xfId="0" applyFont="1" applyFill="1" applyBorder="1" applyAlignment="1">
      <alignment horizontal="center" wrapText="1"/>
    </xf>
    <xf numFmtId="0" fontId="15" fillId="20" borderId="20" xfId="0" applyFont="1" applyFill="1" applyBorder="1" applyAlignment="1">
      <alignment horizontal="center" wrapText="1"/>
    </xf>
    <xf numFmtId="0" fontId="42" fillId="16" borderId="60" xfId="0" applyFont="1" applyFill="1" applyBorder="1" applyAlignment="1">
      <alignment horizontal="center" vertical="center"/>
    </xf>
    <xf numFmtId="0" fontId="42" fillId="16" borderId="77" xfId="0" applyFont="1" applyFill="1" applyBorder="1" applyAlignment="1">
      <alignment horizontal="center" vertical="center"/>
    </xf>
    <xf numFmtId="0" fontId="42" fillId="16" borderId="73" xfId="0" applyFont="1" applyFill="1" applyBorder="1" applyAlignment="1">
      <alignment horizontal="center" vertical="center" wrapText="1"/>
    </xf>
    <xf numFmtId="0" fontId="42" fillId="16" borderId="62" xfId="0" applyFont="1" applyFill="1" applyBorder="1" applyAlignment="1">
      <alignment horizontal="center" vertical="center" wrapText="1"/>
    </xf>
    <xf numFmtId="9" fontId="14" fillId="13" borderId="3" xfId="0" applyNumberFormat="1" applyFont="1" applyFill="1" applyBorder="1" applyAlignment="1" applyProtection="1">
      <alignment horizontal="center" vertical="center" wrapText="1"/>
      <protection hidden="1"/>
    </xf>
    <xf numFmtId="0" fontId="15" fillId="13" borderId="3" xfId="0" applyFont="1" applyFill="1" applyBorder="1" applyAlignment="1">
      <alignment wrapText="1"/>
    </xf>
    <xf numFmtId="9" fontId="14" fillId="16" borderId="3" xfId="0" applyNumberFormat="1" applyFont="1" applyFill="1" applyBorder="1" applyAlignment="1" applyProtection="1">
      <alignment horizontal="center" vertical="center" wrapText="1"/>
      <protection hidden="1"/>
    </xf>
    <xf numFmtId="0" fontId="15" fillId="16" borderId="3" xfId="0" applyFont="1" applyFill="1" applyBorder="1" applyAlignment="1">
      <alignment wrapText="1"/>
    </xf>
    <xf numFmtId="0" fontId="14" fillId="16" borderId="2" xfId="0" applyFont="1" applyFill="1" applyBorder="1" applyAlignment="1">
      <alignment horizontal="center" wrapText="1"/>
    </xf>
    <xf numFmtId="0" fontId="15" fillId="16" borderId="3" xfId="0" applyFont="1" applyFill="1" applyBorder="1" applyAlignment="1">
      <alignment horizontal="center" wrapText="1"/>
    </xf>
    <xf numFmtId="0" fontId="15" fillId="16" borderId="41" xfId="0" applyFont="1" applyFill="1" applyBorder="1" applyAlignment="1">
      <alignment horizontal="center" wrapText="1"/>
    </xf>
    <xf numFmtId="0" fontId="15" fillId="16" borderId="8" xfId="0" applyFont="1" applyFill="1" applyBorder="1" applyAlignment="1">
      <alignment horizontal="center" wrapText="1"/>
    </xf>
    <xf numFmtId="0" fontId="15" fillId="9" borderId="3" xfId="0" applyFont="1" applyFill="1" applyBorder="1" applyAlignment="1">
      <alignment horizontal="center" wrapText="1"/>
    </xf>
    <xf numFmtId="0" fontId="15" fillId="9" borderId="8" xfId="0" applyFont="1" applyFill="1" applyBorder="1" applyAlignment="1">
      <alignment horizontal="center" wrapText="1"/>
    </xf>
    <xf numFmtId="3" fontId="14" fillId="16" borderId="3" xfId="0" applyNumberFormat="1" applyFont="1" applyFill="1" applyBorder="1" applyAlignment="1" applyProtection="1">
      <alignment horizontal="center" vertical="center" wrapText="1"/>
      <protection hidden="1"/>
    </xf>
    <xf numFmtId="3" fontId="14" fillId="16" borderId="33" xfId="0" applyNumberFormat="1" applyFont="1" applyFill="1" applyBorder="1" applyAlignment="1" applyProtection="1">
      <alignment horizontal="center" vertical="center" wrapText="1"/>
      <protection hidden="1"/>
    </xf>
    <xf numFmtId="0" fontId="42" fillId="0" borderId="7" xfId="0" applyFont="1" applyFill="1" applyBorder="1" applyAlignment="1">
      <alignment horizontal="center" vertical="top"/>
    </xf>
    <xf numFmtId="0" fontId="42" fillId="0" borderId="34" xfId="0" applyFont="1" applyFill="1" applyBorder="1" applyAlignment="1">
      <alignment horizontal="center" vertical="top"/>
    </xf>
    <xf numFmtId="0" fontId="42" fillId="13" borderId="4" xfId="0" applyFont="1" applyFill="1" applyBorder="1" applyAlignment="1">
      <alignment horizontal="center" vertical="top"/>
    </xf>
    <xf numFmtId="0" fontId="42" fillId="13" borderId="17" xfId="0" applyFont="1" applyFill="1" applyBorder="1" applyAlignment="1">
      <alignment horizontal="center" vertical="top"/>
    </xf>
    <xf numFmtId="0" fontId="42" fillId="13" borderId="5" xfId="0" applyFont="1" applyFill="1" applyBorder="1" applyAlignment="1">
      <alignment horizontal="center" vertical="top"/>
    </xf>
    <xf numFmtId="0" fontId="42" fillId="13" borderId="34" xfId="0" applyFont="1" applyFill="1" applyBorder="1" applyAlignment="1">
      <alignment horizontal="center" vertical="top"/>
    </xf>
    <xf numFmtId="0" fontId="42" fillId="13" borderId="7" xfId="0" applyFont="1" applyFill="1" applyBorder="1" applyAlignment="1">
      <alignment horizontal="center" vertical="top"/>
    </xf>
    <xf numFmtId="0" fontId="42" fillId="13" borderId="3" xfId="0" applyFont="1" applyFill="1" applyBorder="1" applyAlignment="1">
      <alignment horizontal="center" vertical="top"/>
    </xf>
    <xf numFmtId="0" fontId="42" fillId="13" borderId="59" xfId="0" applyFont="1" applyFill="1" applyBorder="1" applyAlignment="1">
      <alignment horizontal="center" vertical="top"/>
    </xf>
    <xf numFmtId="0" fontId="42" fillId="13" borderId="2" xfId="0" applyFont="1" applyFill="1" applyBorder="1" applyAlignment="1">
      <alignment horizontal="center" vertical="top" wrapText="1"/>
    </xf>
    <xf numFmtId="0" fontId="42" fillId="13" borderId="3" xfId="0" applyFont="1" applyFill="1" applyBorder="1" applyAlignment="1">
      <alignment horizontal="center" vertical="top" wrapText="1"/>
    </xf>
    <xf numFmtId="0" fontId="42" fillId="13" borderId="59" xfId="0" applyFont="1" applyFill="1" applyBorder="1" applyAlignment="1">
      <alignment horizontal="center" vertical="top" wrapText="1"/>
    </xf>
    <xf numFmtId="0" fontId="42" fillId="13" borderId="7" xfId="0" applyFont="1" applyFill="1" applyBorder="1" applyAlignment="1">
      <alignment horizontal="center" vertical="top" wrapText="1"/>
    </xf>
    <xf numFmtId="0" fontId="42" fillId="13" borderId="0" xfId="0" applyFont="1" applyFill="1" applyBorder="1" applyAlignment="1">
      <alignment horizontal="center" vertical="top" wrapText="1"/>
    </xf>
    <xf numFmtId="0" fontId="14" fillId="0" borderId="2" xfId="0" applyFont="1" applyBorder="1" applyAlignment="1">
      <alignment horizontal="center" wrapText="1"/>
    </xf>
    <xf numFmtId="0" fontId="42" fillId="13" borderId="31" xfId="0" applyFont="1" applyFill="1" applyBorder="1" applyAlignment="1">
      <alignment horizontal="center" vertical="top"/>
    </xf>
    <xf numFmtId="0" fontId="42" fillId="13" borderId="78" xfId="0" applyFont="1" applyFill="1" applyBorder="1" applyAlignment="1">
      <alignment horizontal="center" vertical="top"/>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42" fillId="0" borderId="7" xfId="0" applyFont="1" applyFill="1" applyBorder="1" applyAlignment="1">
      <alignment horizontal="center" vertical="top" wrapText="1"/>
    </xf>
    <xf numFmtId="0" fontId="42" fillId="0" borderId="0" xfId="0" applyFont="1" applyFill="1" applyBorder="1" applyAlignment="1">
      <alignment horizontal="center" vertical="top" wrapText="1"/>
    </xf>
    <xf numFmtId="0" fontId="3" fillId="0" borderId="18" xfId="0" applyFont="1" applyBorder="1" applyAlignment="1">
      <alignment horizontal="center" vertical="center"/>
    </xf>
    <xf numFmtId="0" fontId="3" fillId="0" borderId="27" xfId="0" applyFont="1" applyBorder="1" applyAlignment="1">
      <alignment horizontal="center" vertical="center"/>
    </xf>
    <xf numFmtId="0" fontId="3" fillId="0" borderId="60" xfId="0" applyFont="1" applyFill="1" applyBorder="1" applyAlignment="1">
      <alignment horizontal="center" vertical="center"/>
    </xf>
    <xf numFmtId="0" fontId="3" fillId="0" borderId="77" xfId="0" applyFont="1" applyFill="1" applyBorder="1" applyAlignment="1">
      <alignment horizontal="center" vertical="center"/>
    </xf>
    <xf numFmtId="0" fontId="0" fillId="0" borderId="18" xfId="0" applyFill="1" applyBorder="1" applyAlignment="1">
      <alignment horizontal="center" wrapText="1"/>
    </xf>
    <xf numFmtId="0" fontId="0" fillId="0" borderId="27" xfId="0" applyFill="1" applyBorder="1" applyAlignment="1">
      <alignment horizontal="center" wrapText="1"/>
    </xf>
    <xf numFmtId="0" fontId="42" fillId="13" borderId="21" xfId="0" applyFont="1" applyFill="1" applyBorder="1" applyAlignment="1">
      <alignment horizontal="center" wrapText="1"/>
    </xf>
    <xf numFmtId="0" fontId="42" fillId="13" borderId="23" xfId="0" applyFont="1" applyFill="1" applyBorder="1" applyAlignment="1">
      <alignment horizontal="center" wrapText="1"/>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42" fillId="0" borderId="110" xfId="0" applyFont="1" applyFill="1" applyBorder="1" applyAlignment="1">
      <alignment horizontal="center" vertical="top"/>
    </xf>
    <xf numFmtId="0" fontId="42" fillId="0" borderId="111" xfId="0" applyFont="1" applyFill="1" applyBorder="1" applyAlignment="1">
      <alignment horizontal="center" vertical="top"/>
    </xf>
    <xf numFmtId="0" fontId="42" fillId="0" borderId="112" xfId="0" applyFont="1" applyFill="1" applyBorder="1" applyAlignment="1">
      <alignment horizontal="center" vertical="top"/>
    </xf>
    <xf numFmtId="0" fontId="42" fillId="0" borderId="120" xfId="0" applyFont="1" applyFill="1" applyBorder="1" applyAlignment="1">
      <alignment horizontal="center" vertical="top"/>
    </xf>
    <xf numFmtId="0" fontId="42" fillId="0" borderId="121" xfId="0" applyFont="1" applyFill="1" applyBorder="1" applyAlignment="1">
      <alignment horizontal="center" vertical="top"/>
    </xf>
    <xf numFmtId="0" fontId="42" fillId="0" borderId="122" xfId="0" applyFont="1" applyFill="1" applyBorder="1" applyAlignment="1">
      <alignment horizontal="center" vertical="top"/>
    </xf>
    <xf numFmtId="0" fontId="42" fillId="0" borderId="18" xfId="0" applyFont="1" applyBorder="1" applyAlignment="1">
      <alignment horizontal="center" wrapText="1"/>
    </xf>
    <xf numFmtId="0" fontId="42" fillId="0" borderId="2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167" fontId="0" fillId="0" borderId="0" xfId="0" applyNumberFormat="1" applyAlignment="1">
      <alignment horizontal="center" wrapText="1"/>
    </xf>
    <xf numFmtId="167" fontId="7" fillId="0" borderId="0" xfId="0" applyNumberFormat="1" applyFont="1" applyAlignment="1">
      <alignment horizontal="center" wrapText="1"/>
    </xf>
    <xf numFmtId="10" fontId="57" fillId="0" borderId="0" xfId="0" applyNumberFormat="1" applyFont="1" applyAlignment="1">
      <alignment horizontal="center" wrapText="1"/>
    </xf>
    <xf numFmtId="10" fontId="57" fillId="0" borderId="0" xfId="0" applyNumberFormat="1" applyFont="1" applyAlignment="1">
      <alignment horizontal="left" wrapText="1"/>
    </xf>
    <xf numFmtId="167" fontId="42" fillId="8" borderId="64" xfId="0" applyNumberFormat="1" applyFont="1" applyFill="1" applyBorder="1" applyAlignment="1">
      <alignment horizontal="center" vertical="center" wrapText="1"/>
    </xf>
    <xf numFmtId="167" fontId="42" fillId="8" borderId="65" xfId="0" applyNumberFormat="1" applyFont="1" applyFill="1" applyBorder="1" applyAlignment="1">
      <alignment horizontal="center" vertical="center" wrapText="1"/>
    </xf>
    <xf numFmtId="0" fontId="56" fillId="0" borderId="5" xfId="0" applyFont="1" applyBorder="1" applyAlignment="1">
      <alignment horizontal="center"/>
    </xf>
    <xf numFmtId="0" fontId="56" fillId="0" borderId="7" xfId="0" applyFont="1" applyBorder="1" applyAlignment="1">
      <alignment horizontal="center"/>
    </xf>
    <xf numFmtId="0" fontId="56" fillId="0" borderId="34" xfId="0" applyFont="1" applyBorder="1" applyAlignment="1">
      <alignment horizontal="center"/>
    </xf>
    <xf numFmtId="167" fontId="42" fillId="15" borderId="64" xfId="0" applyNumberFormat="1" applyFont="1" applyFill="1" applyBorder="1" applyAlignment="1">
      <alignment horizontal="center" vertical="center" wrapText="1"/>
    </xf>
    <xf numFmtId="167" fontId="42" fillId="15" borderId="65" xfId="0" applyNumberFormat="1" applyFont="1" applyFill="1" applyBorder="1" applyAlignment="1">
      <alignment horizontal="center" vertical="center" wrapText="1"/>
    </xf>
    <xf numFmtId="0" fontId="64" fillId="0" borderId="0" xfId="0" applyFont="1" applyFill="1" applyAlignment="1" applyProtection="1">
      <alignment horizontal="left" vertical="top" wrapText="1"/>
      <protection hidden="1"/>
    </xf>
    <xf numFmtId="0" fontId="64" fillId="0" borderId="0" xfId="0" applyFont="1" applyFill="1" applyAlignment="1" applyProtection="1">
      <alignment horizontal="left" wrapText="1"/>
      <protection hidden="1"/>
    </xf>
    <xf numFmtId="0" fontId="14" fillId="0" borderId="0" xfId="0" applyFont="1" applyFill="1" applyBorder="1" applyAlignment="1">
      <alignment horizontal="center"/>
    </xf>
    <xf numFmtId="38" fontId="0" fillId="0" borderId="0" xfId="0" applyNumberFormat="1" applyBorder="1" applyProtection="1"/>
    <xf numFmtId="166" fontId="14" fillId="0" borderId="0" xfId="0" applyNumberFormat="1" applyFont="1" applyFill="1" applyBorder="1" applyAlignment="1" applyProtection="1">
      <alignment horizontal="center"/>
      <protection hidden="1"/>
    </xf>
    <xf numFmtId="38" fontId="0" fillId="0" borderId="0" xfId="0" applyNumberFormat="1" applyFill="1" applyBorder="1" applyProtection="1"/>
    <xf numFmtId="38" fontId="58" fillId="0" borderId="0" xfId="0" applyNumberFormat="1" applyFont="1" applyBorder="1" applyProtection="1"/>
    <xf numFmtId="167" fontId="3" fillId="9" borderId="49" xfId="0" applyNumberFormat="1" applyFont="1" applyFill="1" applyBorder="1" applyAlignment="1" applyProtection="1">
      <alignment horizontal="right"/>
      <protection hidden="1"/>
    </xf>
    <xf numFmtId="167" fontId="0" fillId="9" borderId="19" xfId="0" applyNumberFormat="1" applyFont="1" applyFill="1" applyBorder="1" applyAlignment="1" applyProtection="1">
      <alignment horizontal="right"/>
      <protection hidden="1"/>
    </xf>
    <xf numFmtId="167" fontId="0" fillId="9" borderId="20" xfId="0" applyNumberFormat="1" applyFill="1" applyBorder="1" applyProtection="1">
      <protection hidden="1"/>
    </xf>
    <xf numFmtId="167" fontId="39" fillId="9" borderId="50" xfId="0" applyNumberFormat="1" applyFont="1" applyFill="1" applyBorder="1" applyAlignment="1" applyProtection="1">
      <alignment horizontal="right"/>
      <protection hidden="1"/>
    </xf>
    <xf numFmtId="167" fontId="40" fillId="9" borderId="28" xfId="0" applyNumberFormat="1" applyFont="1" applyFill="1" applyBorder="1" applyAlignment="1" applyProtection="1">
      <alignment horizontal="right"/>
      <protection hidden="1"/>
    </xf>
    <xf numFmtId="167" fontId="40" fillId="9" borderId="29" xfId="0" applyNumberFormat="1" applyFont="1" applyFill="1" applyBorder="1" applyProtection="1">
      <protection hidden="1"/>
    </xf>
    <xf numFmtId="3" fontId="0" fillId="9" borderId="0" xfId="0" applyNumberFormat="1" applyFill="1" applyBorder="1" applyProtection="1">
      <protection hidden="1"/>
    </xf>
    <xf numFmtId="0" fontId="40" fillId="9" borderId="24" xfId="0" applyFont="1" applyFill="1" applyBorder="1" applyProtection="1">
      <protection hidden="1"/>
    </xf>
    <xf numFmtId="0" fontId="14" fillId="24" borderId="3" xfId="0" applyFont="1" applyFill="1" applyBorder="1" applyAlignment="1" applyProtection="1">
      <alignment horizontal="center" wrapText="1"/>
      <protection hidden="1"/>
    </xf>
    <xf numFmtId="0" fontId="14" fillId="24" borderId="8" xfId="0" applyFont="1" applyFill="1" applyBorder="1" applyAlignment="1" applyProtection="1">
      <alignment horizontal="center" wrapText="1"/>
      <protection hidden="1"/>
    </xf>
    <xf numFmtId="167" fontId="15" fillId="24" borderId="0" xfId="0" applyNumberFormat="1" applyFont="1" applyFill="1"/>
    <xf numFmtId="0" fontId="15" fillId="24" borderId="0" xfId="0" applyFont="1" applyFill="1"/>
    <xf numFmtId="0" fontId="15" fillId="24" borderId="31" xfId="0" applyFont="1" applyFill="1" applyBorder="1" applyAlignment="1">
      <alignment horizontal="center" wrapText="1"/>
    </xf>
    <xf numFmtId="0" fontId="15" fillId="24" borderId="2" xfId="0" applyFont="1" applyFill="1" applyBorder="1"/>
    <xf numFmtId="0" fontId="15" fillId="24" borderId="0" xfId="0" applyFont="1" applyFill="1" applyBorder="1"/>
    <xf numFmtId="3" fontId="16" fillId="24" borderId="2" xfId="0" applyNumberFormat="1" applyFont="1" applyFill="1" applyBorder="1" applyAlignment="1" applyProtection="1">
      <alignment vertical="center"/>
      <protection hidden="1"/>
    </xf>
    <xf numFmtId="3" fontId="16" fillId="24" borderId="0" xfId="0" applyNumberFormat="1" applyFont="1" applyFill="1" applyBorder="1" applyAlignment="1" applyProtection="1">
      <alignment vertical="center"/>
      <protection hidden="1"/>
    </xf>
    <xf numFmtId="0" fontId="15" fillId="24" borderId="73" xfId="0" applyFont="1" applyFill="1" applyBorder="1" applyAlignment="1">
      <alignment horizontal="center" wrapText="1"/>
    </xf>
    <xf numFmtId="0" fontId="15" fillId="24" borderId="74" xfId="0" applyFont="1" applyFill="1" applyBorder="1" applyAlignment="1">
      <alignment horizontal="center" wrapText="1"/>
    </xf>
    <xf numFmtId="9" fontId="14" fillId="24" borderId="3" xfId="0" applyNumberFormat="1" applyFont="1" applyFill="1" applyBorder="1" applyAlignment="1" applyProtection="1">
      <alignment horizontal="center" vertical="center" wrapText="1"/>
      <protection hidden="1"/>
    </xf>
    <xf numFmtId="0" fontId="15" fillId="24" borderId="3" xfId="0" applyFont="1" applyFill="1" applyBorder="1" applyAlignment="1">
      <alignment wrapText="1"/>
    </xf>
    <xf numFmtId="38" fontId="14" fillId="24" borderId="4" xfId="0" applyNumberFormat="1" applyFont="1" applyFill="1" applyBorder="1"/>
    <xf numFmtId="3" fontId="15" fillId="24" borderId="26" xfId="0" applyNumberFormat="1" applyFont="1" applyFill="1" applyBorder="1"/>
    <xf numFmtId="3" fontId="15" fillId="24" borderId="37" xfId="0" applyNumberFormat="1" applyFont="1" applyFill="1" applyBorder="1"/>
    <xf numFmtId="3" fontId="15" fillId="24" borderId="64" xfId="0" applyNumberFormat="1" applyFont="1" applyFill="1" applyBorder="1"/>
    <xf numFmtId="0" fontId="15" fillId="24" borderId="162" xfId="0" applyFont="1" applyFill="1" applyBorder="1"/>
    <xf numFmtId="0" fontId="15" fillId="24" borderId="163" xfId="0" applyFont="1" applyFill="1" applyBorder="1"/>
    <xf numFmtId="0" fontId="15" fillId="24" borderId="82" xfId="0" applyFont="1" applyFill="1" applyBorder="1"/>
    <xf numFmtId="1" fontId="0" fillId="24" borderId="20" xfId="0" applyNumberFormat="1" applyFill="1" applyBorder="1" applyAlignment="1">
      <alignment horizontal="center"/>
    </xf>
    <xf numFmtId="0" fontId="15" fillId="24" borderId="6" xfId="0" applyFont="1" applyFill="1" applyBorder="1"/>
    <xf numFmtId="0" fontId="15" fillId="24" borderId="36" xfId="0" applyFont="1" applyFill="1" applyBorder="1"/>
    <xf numFmtId="3" fontId="15" fillId="24" borderId="35" xfId="0" applyNumberFormat="1" applyFont="1" applyFill="1" applyBorder="1"/>
    <xf numFmtId="3" fontId="15" fillId="24" borderId="6" xfId="0" applyNumberFormat="1" applyFont="1" applyFill="1" applyBorder="1"/>
    <xf numFmtId="10" fontId="15" fillId="24" borderId="2" xfId="0" applyNumberFormat="1" applyFont="1" applyFill="1" applyBorder="1"/>
    <xf numFmtId="4" fontId="3" fillId="0" borderId="0" xfId="0" applyNumberFormat="1" applyFont="1" applyBorder="1" applyProtection="1">
      <protection hidden="1"/>
    </xf>
    <xf numFmtId="4" fontId="3" fillId="0" borderId="0" xfId="0" applyNumberFormat="1" applyFont="1" applyFill="1" applyBorder="1" applyProtection="1">
      <protection hidden="1"/>
    </xf>
    <xf numFmtId="38" fontId="14" fillId="25" borderId="4" xfId="0" applyNumberFormat="1" applyFont="1" applyFill="1" applyBorder="1"/>
    <xf numFmtId="3" fontId="15" fillId="25" borderId="26" xfId="0" applyNumberFormat="1" applyFont="1" applyFill="1" applyBorder="1"/>
    <xf numFmtId="3" fontId="15" fillId="25" borderId="37" xfId="0" applyNumberFormat="1" applyFont="1" applyFill="1" applyBorder="1"/>
    <xf numFmtId="1" fontId="26" fillId="25" borderId="20" xfId="0" applyNumberFormat="1" applyFont="1" applyFill="1" applyBorder="1" applyAlignment="1">
      <alignment horizontal="center"/>
    </xf>
    <xf numFmtId="0" fontId="15" fillId="25" borderId="2" xfId="0" applyFont="1" applyFill="1" applyBorder="1"/>
    <xf numFmtId="0" fontId="15" fillId="25" borderId="37" xfId="0" applyFont="1" applyFill="1" applyBorder="1"/>
    <xf numFmtId="3" fontId="15" fillId="25" borderId="64" xfId="0" applyNumberFormat="1" applyFont="1" applyFill="1" applyBorder="1"/>
    <xf numFmtId="0" fontId="15" fillId="25" borderId="26" xfId="0" applyFont="1" applyFill="1" applyBorder="1"/>
    <xf numFmtId="0" fontId="15" fillId="25" borderId="74" xfId="0" applyFont="1" applyFill="1" applyBorder="1"/>
    <xf numFmtId="10" fontId="15" fillId="25" borderId="2" xfId="0" applyNumberFormat="1" applyFont="1" applyFill="1" applyBorder="1"/>
    <xf numFmtId="3" fontId="15" fillId="25" borderId="4" xfId="0" applyNumberFormat="1" applyFont="1" applyFill="1" applyBorder="1"/>
    <xf numFmtId="1" fontId="0" fillId="25" borderId="20" xfId="0" applyNumberFormat="1" applyFill="1" applyBorder="1" applyAlignment="1">
      <alignment horizontal="center"/>
    </xf>
    <xf numFmtId="1" fontId="40" fillId="25" borderId="29" xfId="0" applyNumberFormat="1" applyFont="1" applyFill="1" applyBorder="1" applyAlignment="1">
      <alignment horizontal="center"/>
    </xf>
    <xf numFmtId="0" fontId="15" fillId="25" borderId="17" xfId="0" applyFont="1" applyFill="1" applyBorder="1"/>
    <xf numFmtId="3" fontId="15" fillId="25" borderId="35" xfId="0" applyNumberFormat="1" applyFont="1" applyFill="1" applyBorder="1"/>
    <xf numFmtId="0" fontId="15" fillId="25" borderId="6" xfId="0" applyFont="1" applyFill="1" applyBorder="1"/>
    <xf numFmtId="3" fontId="15" fillId="25" borderId="6" xfId="0" applyNumberFormat="1" applyFont="1" applyFill="1" applyBorder="1"/>
    <xf numFmtId="167" fontId="0" fillId="25" borderId="60" xfId="0" applyNumberFormat="1" applyFill="1" applyBorder="1" applyAlignment="1">
      <alignment horizontal="center"/>
    </xf>
    <xf numFmtId="0" fontId="15" fillId="25" borderId="62" xfId="0" applyFont="1" applyFill="1" applyBorder="1"/>
    <xf numFmtId="0" fontId="15" fillId="25" borderId="39" xfId="0" applyFont="1" applyFill="1" applyBorder="1"/>
    <xf numFmtId="0" fontId="15" fillId="25" borderId="40" xfId="0" applyFont="1" applyFill="1" applyBorder="1"/>
    <xf numFmtId="0" fontId="15" fillId="25" borderId="67" xfId="0" applyFont="1" applyFill="1" applyBorder="1"/>
  </cellXfs>
  <cellStyles count="3">
    <cellStyle name="Normal" xfId="0" builtinId="0"/>
    <cellStyle name="Percent" xfId="1" builtinId="5"/>
    <cellStyle name="Percent 2 2" xfId="2" xr:uid="{00000000-0005-0000-0000-000002000000}"/>
  </cellStyles>
  <dxfs count="1">
    <dxf>
      <border>
        <left/>
        <right/>
        <top/>
        <bottom/>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23812</xdr:colOff>
      <xdr:row>5</xdr:row>
      <xdr:rowOff>47624</xdr:rowOff>
    </xdr:to>
    <xdr:pic>
      <xdr:nvPicPr>
        <xdr:cNvPr id="3" name="Picture 2" descr="S:\My Documents\My Pictures\Wave%20&amp;%20Logo%20small.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525000" cy="10001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783167</xdr:colOff>
      <xdr:row>5</xdr:row>
      <xdr:rowOff>47624</xdr:rowOff>
    </xdr:to>
    <xdr:pic>
      <xdr:nvPicPr>
        <xdr:cNvPr id="2" name="Picture 1" descr="S:\My Documents\My Pictures\Wave%20&amp;%20Logo%20small.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843000" cy="10001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76200</xdr:colOff>
      <xdr:row>5</xdr:row>
      <xdr:rowOff>47624</xdr:rowOff>
    </xdr:to>
    <xdr:pic>
      <xdr:nvPicPr>
        <xdr:cNvPr id="2" name="Picture 1" descr="S:\My Documents\My Pictures\Wave%20&amp;%20Logo%20small.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751344" cy="100012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loucestershire.gov.uk/SCHOOLS/Special%20Budgets/2015-16/HL%20draft%2015-16%20workings%2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gloucestershire.gov.uk/SCHOOLS/Special%20Budgets/2016-17/HL%2016-17%20work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FG Calc - 14-15 rates"/>
      <sheetName val="Places"/>
      <sheetName val="MFG Calc -revised rates"/>
      <sheetName val="Ave Top ups 14-15"/>
      <sheetName val="NOR Jan 15"/>
      <sheetName val="14-15 MFG Calc"/>
      <sheetName val="Comparison"/>
      <sheetName val="Sheet1"/>
    </sheetNames>
    <sheetDataSet>
      <sheetData sheetId="0" refreshError="1"/>
      <sheetData sheetId="1" refreshError="1"/>
      <sheetData sheetId="2" refreshError="1"/>
      <sheetData sheetId="3">
        <row r="23">
          <cell r="D23">
            <v>619127.28909413703</v>
          </cell>
          <cell r="E23">
            <v>109.62112548631362</v>
          </cell>
          <cell r="F23">
            <v>345626.48988078081</v>
          </cell>
          <cell r="G23">
            <v>40.891771233661295</v>
          </cell>
          <cell r="H23">
            <v>1026693.3004931507</v>
          </cell>
          <cell r="I23">
            <v>122.52830392907259</v>
          </cell>
          <cell r="J23">
            <v>181669.21538630137</v>
          </cell>
          <cell r="K23">
            <v>26.683532489037496</v>
          </cell>
          <cell r="L23">
            <v>1409485.9433769861</v>
          </cell>
          <cell r="M23">
            <v>32.763525682922499</v>
          </cell>
          <cell r="N23">
            <v>354746.36445068487</v>
          </cell>
          <cell r="O23">
            <v>37.690209047710226</v>
          </cell>
          <cell r="P23">
            <v>316352.00679232873</v>
          </cell>
          <cell r="Q23">
            <v>38.640021640007923</v>
          </cell>
          <cell r="R23">
            <v>856726.61228920508</v>
          </cell>
          <cell r="S23">
            <v>108.26542445406838</v>
          </cell>
          <cell r="T23">
            <v>405949.72687150689</v>
          </cell>
          <cell r="U23">
            <v>45.387447104374864</v>
          </cell>
          <cell r="V23">
            <v>677098.19345227373</v>
          </cell>
          <cell r="W23">
            <v>102.76502758872776</v>
          </cell>
          <cell r="X23">
            <v>1986265.6723769871</v>
          </cell>
          <cell r="Y23">
            <v>307.20495155809527</v>
          </cell>
          <cell r="Z23">
            <v>796927.69494585518</v>
          </cell>
          <cell r="AA23">
            <v>83.152829504454388</v>
          </cell>
          <cell r="AB23">
            <v>141324.70179205481</v>
          </cell>
          <cell r="AC23">
            <v>6.824657534246577</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
      <sheetName val="Places 16-17"/>
      <sheetName val="Summary 16-17"/>
      <sheetName val="Summary"/>
      <sheetName val="MFG Calc - 14-15 rates"/>
      <sheetName val="Places"/>
      <sheetName val="Individual Summary"/>
      <sheetName val="MFG Calc -revised rates"/>
      <sheetName val="14-15 MFG Calc"/>
      <sheetName val="Comparison"/>
      <sheetName val="Sheet1"/>
      <sheetName val="15-16 MTU Summary "/>
      <sheetName val="Sheet2"/>
      <sheetName val="Sheet3"/>
      <sheetName val="Jan NOR"/>
      <sheetName val="Cash Payment"/>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DR12">
            <v>55</v>
          </cell>
        </row>
        <row r="160">
          <cell r="EW160">
            <v>728854.92876712326</v>
          </cell>
          <cell r="EX160">
            <v>607757.76986301388</v>
          </cell>
          <cell r="EY160">
            <v>436.98630136986293</v>
          </cell>
          <cell r="EZ160">
            <v>296806.14506838843</v>
          </cell>
          <cell r="FA160">
            <v>-351154.7811646515</v>
          </cell>
        </row>
        <row r="162">
          <cell r="FC162">
            <v>8896494.5245047081</v>
          </cell>
        </row>
        <row r="163">
          <cell r="ER163">
            <v>438524.62191780802</v>
          </cell>
          <cell r="ES163">
            <v>2510399.0516894967</v>
          </cell>
          <cell r="ET163">
            <v>2802574.209250256</v>
          </cell>
          <cell r="EU163">
            <v>1444345.9772867877</v>
          </cell>
          <cell r="EV163">
            <v>364216.50593607308</v>
          </cell>
        </row>
        <row r="164">
          <cell r="ER164">
            <v>1233.4356164383562</v>
          </cell>
          <cell r="ES164">
            <v>5770.8575342465747</v>
          </cell>
          <cell r="ET164">
            <v>13301.435616438357</v>
          </cell>
          <cell r="EU164">
            <v>33427.38082191781</v>
          </cell>
          <cell r="EV164">
            <v>0</v>
          </cell>
        </row>
      </sheetData>
      <sheetData sheetId="12" refreshError="1"/>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7"/>
  <sheetViews>
    <sheetView workbookViewId="0">
      <selection activeCell="A2" sqref="A2"/>
    </sheetView>
  </sheetViews>
  <sheetFormatPr defaultColWidth="9.1796875" defaultRowHeight="14.5" x14ac:dyDescent="0.35"/>
  <cols>
    <col min="1" max="1" width="5.7265625" style="3" customWidth="1"/>
    <col min="2" max="2" width="5.26953125" style="3" customWidth="1"/>
    <col min="3" max="3" width="25" style="7" bestFit="1" customWidth="1"/>
    <col min="4" max="4" width="9.81640625" style="2" bestFit="1" customWidth="1"/>
    <col min="5" max="7" width="10.26953125" style="7" customWidth="1"/>
    <col min="8" max="9" width="10.26953125" style="3" customWidth="1"/>
    <col min="10" max="10" width="10.81640625" style="3" bestFit="1" customWidth="1"/>
    <col min="11" max="16" width="10.26953125" style="3" customWidth="1"/>
    <col min="17" max="17" width="9.1796875" style="3"/>
    <col min="18" max="18" width="10.81640625" style="2" bestFit="1" customWidth="1"/>
    <col min="19" max="16384" width="9.1796875" style="3"/>
  </cols>
  <sheetData>
    <row r="1" spans="1:18" x14ac:dyDescent="0.35">
      <c r="A1" s="33">
        <v>125</v>
      </c>
      <c r="B1" s="29" t="str">
        <f>VLOOKUP($A$1,'Rates to apply'!$A$3:$R$15,2,FALSE)</f>
        <v>Alderman Knight School</v>
      </c>
      <c r="C1" s="3"/>
      <c r="E1" s="59" t="s">
        <v>71</v>
      </c>
      <c r="F1" s="24"/>
      <c r="G1" s="58"/>
      <c r="H1" s="23"/>
      <c r="I1" s="23"/>
      <c r="J1" s="23"/>
      <c r="K1" s="23"/>
      <c r="L1" s="23"/>
    </row>
    <row r="2" spans="1:18" x14ac:dyDescent="0.35">
      <c r="G2" s="28"/>
      <c r="H2" s="28"/>
      <c r="I2" s="28"/>
      <c r="J2" s="28"/>
      <c r="K2" s="28"/>
      <c r="L2" s="28"/>
      <c r="M2" s="28"/>
      <c r="N2" s="28"/>
      <c r="P2" s="36" t="s">
        <v>10</v>
      </c>
      <c r="Q2" s="61"/>
      <c r="R2" s="61"/>
    </row>
    <row r="3" spans="1:18" x14ac:dyDescent="0.35">
      <c r="G3" s="28"/>
      <c r="H3" s="28"/>
      <c r="I3" s="28"/>
      <c r="J3" s="28"/>
      <c r="K3" s="28"/>
      <c r="L3" s="28"/>
      <c r="M3" s="28"/>
      <c r="N3" s="28"/>
      <c r="O3" s="60"/>
      <c r="P3" s="5" t="s">
        <v>1</v>
      </c>
      <c r="Q3" s="8" t="s">
        <v>42</v>
      </c>
      <c r="R3" s="8" t="s">
        <v>1</v>
      </c>
    </row>
    <row r="4" spans="1:18" x14ac:dyDescent="0.35">
      <c r="G4" s="28"/>
      <c r="H4" s="28"/>
      <c r="I4" s="28"/>
      <c r="J4" s="28"/>
      <c r="K4" s="28"/>
      <c r="L4" s="28"/>
      <c r="M4" s="28"/>
      <c r="N4" s="28"/>
      <c r="O4" s="28"/>
      <c r="P4" s="5" t="s">
        <v>2</v>
      </c>
      <c r="Q4" s="8" t="s">
        <v>0</v>
      </c>
      <c r="R4" s="8" t="s">
        <v>3</v>
      </c>
    </row>
    <row r="5" spans="1:18" x14ac:dyDescent="0.35">
      <c r="G5" s="28"/>
      <c r="H5" s="28"/>
      <c r="I5" s="28"/>
      <c r="J5" s="28"/>
      <c r="K5" s="28"/>
      <c r="L5" s="28"/>
      <c r="M5" s="28"/>
      <c r="N5" s="28"/>
      <c r="O5" s="28"/>
      <c r="P5" s="26">
        <v>10000</v>
      </c>
      <c r="Q5" s="25">
        <f>VLOOKUP($A$1,'Rates to apply'!$A$3:$R$15,3,FALSE)</f>
        <v>145</v>
      </c>
      <c r="R5" s="34">
        <f>P5*Q5</f>
        <v>1450000</v>
      </c>
    </row>
    <row r="6" spans="1:18" x14ac:dyDescent="0.35">
      <c r="C6" s="29" t="s">
        <v>65</v>
      </c>
      <c r="G6" s="8"/>
      <c r="H6" s="2"/>
      <c r="I6" s="2"/>
      <c r="J6" s="2"/>
      <c r="K6" s="2"/>
    </row>
    <row r="7" spans="1:18" x14ac:dyDescent="0.35">
      <c r="C7" s="29"/>
      <c r="G7" s="8"/>
      <c r="H7" s="2"/>
      <c r="I7" s="2"/>
      <c r="J7" s="2"/>
      <c r="K7" s="2"/>
    </row>
    <row r="8" spans="1:18" s="6" customFormat="1" x14ac:dyDescent="0.35">
      <c r="C8" s="8"/>
      <c r="D8" s="5" t="s">
        <v>5</v>
      </c>
      <c r="E8" s="37" t="s">
        <v>55</v>
      </c>
      <c r="F8" s="36"/>
      <c r="G8" s="36"/>
      <c r="H8" s="36"/>
      <c r="I8" s="36"/>
      <c r="J8" s="36"/>
      <c r="K8" s="36"/>
      <c r="L8" s="36"/>
      <c r="M8" s="36"/>
      <c r="N8" s="36"/>
      <c r="O8" s="36"/>
      <c r="P8" s="36"/>
      <c r="R8" s="5" t="s">
        <v>56</v>
      </c>
    </row>
    <row r="9" spans="1:18" s="6" customFormat="1" x14ac:dyDescent="0.35">
      <c r="C9" s="10" t="s">
        <v>4</v>
      </c>
      <c r="D9" s="5" t="s">
        <v>6</v>
      </c>
      <c r="E9" s="31" t="s">
        <v>43</v>
      </c>
      <c r="F9" s="31" t="s">
        <v>44</v>
      </c>
      <c r="G9" s="31" t="s">
        <v>45</v>
      </c>
      <c r="H9" s="31" t="s">
        <v>46</v>
      </c>
      <c r="I9" s="31" t="s">
        <v>47</v>
      </c>
      <c r="J9" s="31" t="s">
        <v>48</v>
      </c>
      <c r="K9" s="31" t="s">
        <v>49</v>
      </c>
      <c r="L9" s="31" t="s">
        <v>50</v>
      </c>
      <c r="M9" s="31" t="s">
        <v>51</v>
      </c>
      <c r="N9" s="31" t="s">
        <v>52</v>
      </c>
      <c r="O9" s="31" t="s">
        <v>53</v>
      </c>
      <c r="P9" s="31" t="s">
        <v>54</v>
      </c>
      <c r="Q9" s="5" t="s">
        <v>58</v>
      </c>
      <c r="R9" s="5" t="s">
        <v>57</v>
      </c>
    </row>
    <row r="10" spans="1:18" x14ac:dyDescent="0.35">
      <c r="C10" s="42" t="s">
        <v>32</v>
      </c>
      <c r="D10" s="26">
        <v>1574</v>
      </c>
      <c r="E10" s="27">
        <v>36</v>
      </c>
      <c r="F10" s="27">
        <v>36</v>
      </c>
      <c r="G10" s="27">
        <v>36</v>
      </c>
      <c r="H10" s="27">
        <v>36</v>
      </c>
      <c r="I10" s="27">
        <v>36</v>
      </c>
      <c r="J10" s="27">
        <v>36</v>
      </c>
      <c r="K10" s="27">
        <v>36</v>
      </c>
      <c r="L10" s="27">
        <v>36</v>
      </c>
      <c r="M10" s="27">
        <v>36</v>
      </c>
      <c r="N10" s="27">
        <v>36</v>
      </c>
      <c r="O10" s="27">
        <v>36</v>
      </c>
      <c r="P10" s="27">
        <v>36</v>
      </c>
      <c r="Q10" s="25">
        <f>SUM(E10:P10)/12</f>
        <v>36</v>
      </c>
      <c r="R10" s="26">
        <f>(SUM(E10:P10)/12)*$D10</f>
        <v>56664</v>
      </c>
    </row>
    <row r="11" spans="1:18" x14ac:dyDescent="0.35">
      <c r="C11" s="42" t="s">
        <v>33</v>
      </c>
      <c r="D11" s="26">
        <v>5902.5</v>
      </c>
      <c r="E11" s="27">
        <v>112</v>
      </c>
      <c r="F11" s="27">
        <v>112</v>
      </c>
      <c r="G11" s="27">
        <v>112</v>
      </c>
      <c r="H11" s="27">
        <v>112</v>
      </c>
      <c r="I11" s="27">
        <v>112</v>
      </c>
      <c r="J11" s="27">
        <v>112</v>
      </c>
      <c r="K11" s="27">
        <v>112</v>
      </c>
      <c r="L11" s="27">
        <v>112</v>
      </c>
      <c r="M11" s="27">
        <v>112</v>
      </c>
      <c r="N11" s="27">
        <v>112</v>
      </c>
      <c r="O11" s="27">
        <v>112</v>
      </c>
      <c r="P11" s="27">
        <v>112</v>
      </c>
      <c r="Q11" s="25">
        <f t="shared" ref="Q11:Q22" si="0">SUM(E11:P11)/12</f>
        <v>112</v>
      </c>
      <c r="R11" s="26">
        <f t="shared" ref="R11:R22" si="1">(SUM(E11:P11)/12)*$D11</f>
        <v>661080</v>
      </c>
    </row>
    <row r="12" spans="1:18" x14ac:dyDescent="0.35">
      <c r="C12" s="42" t="s">
        <v>34</v>
      </c>
      <c r="D12" s="26">
        <v>9837.5</v>
      </c>
      <c r="E12" s="27">
        <v>108</v>
      </c>
      <c r="F12" s="27">
        <v>108</v>
      </c>
      <c r="G12" s="27">
        <v>108</v>
      </c>
      <c r="H12" s="27">
        <v>108</v>
      </c>
      <c r="I12" s="27">
        <v>108</v>
      </c>
      <c r="J12" s="27">
        <v>108</v>
      </c>
      <c r="K12" s="27">
        <v>108</v>
      </c>
      <c r="L12" s="27">
        <v>108</v>
      </c>
      <c r="M12" s="27">
        <v>108</v>
      </c>
      <c r="N12" s="27">
        <v>108</v>
      </c>
      <c r="O12" s="27">
        <v>108</v>
      </c>
      <c r="P12" s="27">
        <v>108</v>
      </c>
      <c r="Q12" s="25">
        <f t="shared" si="0"/>
        <v>108</v>
      </c>
      <c r="R12" s="26">
        <f t="shared" si="1"/>
        <v>1062450</v>
      </c>
    </row>
    <row r="13" spans="1:18" x14ac:dyDescent="0.35">
      <c r="C13" s="42" t="s">
        <v>35</v>
      </c>
      <c r="D13" s="26">
        <v>10493.333333333332</v>
      </c>
      <c r="E13" s="27">
        <v>50</v>
      </c>
      <c r="F13" s="27">
        <v>50</v>
      </c>
      <c r="G13" s="27">
        <v>50</v>
      </c>
      <c r="H13" s="27">
        <v>50</v>
      </c>
      <c r="I13" s="27">
        <v>50</v>
      </c>
      <c r="J13" s="27">
        <v>50</v>
      </c>
      <c r="K13" s="27">
        <v>50</v>
      </c>
      <c r="L13" s="27">
        <v>50</v>
      </c>
      <c r="M13" s="27">
        <v>50</v>
      </c>
      <c r="N13" s="27">
        <v>50</v>
      </c>
      <c r="O13" s="27">
        <v>50</v>
      </c>
      <c r="P13" s="27">
        <v>50</v>
      </c>
      <c r="Q13" s="25">
        <f t="shared" si="0"/>
        <v>50</v>
      </c>
      <c r="R13" s="26">
        <f t="shared" si="1"/>
        <v>524666.66666666663</v>
      </c>
    </row>
    <row r="14" spans="1:18" x14ac:dyDescent="0.35">
      <c r="C14" s="42" t="s">
        <v>36</v>
      </c>
      <c r="D14" s="26">
        <v>18363.333333333332</v>
      </c>
      <c r="E14" s="27">
        <v>2</v>
      </c>
      <c r="F14" s="27">
        <v>2</v>
      </c>
      <c r="G14" s="27">
        <v>2</v>
      </c>
      <c r="H14" s="27">
        <v>2</v>
      </c>
      <c r="I14" s="27">
        <v>2</v>
      </c>
      <c r="J14" s="27">
        <v>2</v>
      </c>
      <c r="K14" s="27">
        <v>2</v>
      </c>
      <c r="L14" s="27">
        <v>2</v>
      </c>
      <c r="M14" s="27">
        <v>2</v>
      </c>
      <c r="N14" s="27">
        <v>2</v>
      </c>
      <c r="O14" s="27">
        <v>2</v>
      </c>
      <c r="P14" s="27">
        <v>2</v>
      </c>
      <c r="Q14" s="25">
        <f t="shared" si="0"/>
        <v>2</v>
      </c>
      <c r="R14" s="26">
        <f t="shared" si="1"/>
        <v>36726.666666666664</v>
      </c>
    </row>
    <row r="15" spans="1:18" x14ac:dyDescent="0.35">
      <c r="C15" s="42" t="s">
        <v>37</v>
      </c>
      <c r="D15" s="26">
        <v>1810.1</v>
      </c>
      <c r="E15" s="27"/>
      <c r="F15" s="27"/>
      <c r="G15" s="27"/>
      <c r="H15" s="27"/>
      <c r="I15" s="27"/>
      <c r="J15" s="27"/>
      <c r="K15" s="27"/>
      <c r="L15" s="27"/>
      <c r="M15" s="27"/>
      <c r="N15" s="27"/>
      <c r="O15" s="27"/>
      <c r="P15" s="27"/>
      <c r="Q15" s="25">
        <f t="shared" si="0"/>
        <v>0</v>
      </c>
      <c r="R15" s="26">
        <f t="shared" si="1"/>
        <v>0</v>
      </c>
    </row>
    <row r="16" spans="1:18" x14ac:dyDescent="0.35">
      <c r="C16" s="42" t="s">
        <v>38</v>
      </c>
      <c r="D16" s="26">
        <v>6787.8749999999991</v>
      </c>
      <c r="E16" s="27"/>
      <c r="F16" s="27"/>
      <c r="G16" s="27"/>
      <c r="H16" s="27"/>
      <c r="I16" s="27"/>
      <c r="J16" s="27"/>
      <c r="K16" s="27"/>
      <c r="L16" s="27"/>
      <c r="M16" s="27"/>
      <c r="N16" s="27"/>
      <c r="O16" s="27"/>
      <c r="P16" s="27"/>
      <c r="Q16" s="25">
        <f t="shared" si="0"/>
        <v>0</v>
      </c>
      <c r="R16" s="26">
        <f t="shared" si="1"/>
        <v>0</v>
      </c>
    </row>
    <row r="17" spans="1:18" x14ac:dyDescent="0.35">
      <c r="C17" s="42" t="s">
        <v>39</v>
      </c>
      <c r="D17" s="26">
        <v>11313.125</v>
      </c>
      <c r="E17" s="27"/>
      <c r="F17" s="27"/>
      <c r="G17" s="27"/>
      <c r="H17" s="27"/>
      <c r="I17" s="27"/>
      <c r="J17" s="27"/>
      <c r="K17" s="27"/>
      <c r="L17" s="27"/>
      <c r="M17" s="27"/>
      <c r="N17" s="27"/>
      <c r="O17" s="27"/>
      <c r="P17" s="27"/>
      <c r="Q17" s="25">
        <f t="shared" si="0"/>
        <v>0</v>
      </c>
      <c r="R17" s="26">
        <f t="shared" si="1"/>
        <v>0</v>
      </c>
    </row>
    <row r="18" spans="1:18" x14ac:dyDescent="0.35">
      <c r="C18" s="42" t="s">
        <v>40</v>
      </c>
      <c r="D18" s="26">
        <v>12067.33333333333</v>
      </c>
      <c r="E18" s="27"/>
      <c r="F18" s="27"/>
      <c r="G18" s="27"/>
      <c r="H18" s="27"/>
      <c r="I18" s="27"/>
      <c r="J18" s="27"/>
      <c r="K18" s="27"/>
      <c r="L18" s="27"/>
      <c r="M18" s="27"/>
      <c r="N18" s="27"/>
      <c r="O18" s="27"/>
      <c r="P18" s="27"/>
      <c r="Q18" s="25">
        <f t="shared" si="0"/>
        <v>0</v>
      </c>
      <c r="R18" s="26">
        <f t="shared" si="1"/>
        <v>0</v>
      </c>
    </row>
    <row r="19" spans="1:18" ht="15" thickBot="1" x14ac:dyDescent="0.4">
      <c r="C19" s="43" t="s">
        <v>41</v>
      </c>
      <c r="D19" s="38">
        <v>21117.833333333332</v>
      </c>
      <c r="E19" s="40"/>
      <c r="F19" s="40"/>
      <c r="G19" s="40"/>
      <c r="H19" s="40"/>
      <c r="I19" s="40"/>
      <c r="J19" s="40"/>
      <c r="K19" s="40"/>
      <c r="L19" s="40"/>
      <c r="M19" s="40"/>
      <c r="N19" s="40"/>
      <c r="O19" s="40"/>
      <c r="P19" s="40"/>
      <c r="Q19" s="25">
        <f t="shared" si="0"/>
        <v>0</v>
      </c>
      <c r="R19" s="26">
        <f t="shared" si="1"/>
        <v>0</v>
      </c>
    </row>
    <row r="20" spans="1:18" x14ac:dyDescent="0.35">
      <c r="C20" s="44" t="s">
        <v>59</v>
      </c>
      <c r="D20" s="39"/>
      <c r="E20" s="41">
        <f>SUM(E10:E19)</f>
        <v>308</v>
      </c>
      <c r="F20" s="41">
        <f t="shared" ref="F20:P20" si="2">SUM(F10:F19)</f>
        <v>308</v>
      </c>
      <c r="G20" s="41">
        <f t="shared" si="2"/>
        <v>308</v>
      </c>
      <c r="H20" s="41">
        <f t="shared" si="2"/>
        <v>308</v>
      </c>
      <c r="I20" s="41">
        <f t="shared" si="2"/>
        <v>308</v>
      </c>
      <c r="J20" s="41">
        <f t="shared" si="2"/>
        <v>308</v>
      </c>
      <c r="K20" s="41">
        <f t="shared" si="2"/>
        <v>308</v>
      </c>
      <c r="L20" s="41">
        <f t="shared" si="2"/>
        <v>308</v>
      </c>
      <c r="M20" s="41">
        <f t="shared" si="2"/>
        <v>308</v>
      </c>
      <c r="N20" s="41">
        <f t="shared" si="2"/>
        <v>308</v>
      </c>
      <c r="O20" s="41">
        <f t="shared" si="2"/>
        <v>308</v>
      </c>
      <c r="P20" s="41">
        <f t="shared" si="2"/>
        <v>308</v>
      </c>
      <c r="Q20" s="25">
        <f t="shared" si="0"/>
        <v>308</v>
      </c>
      <c r="R20" s="26"/>
    </row>
    <row r="21" spans="1:18" x14ac:dyDescent="0.35">
      <c r="C21" s="42" t="s">
        <v>8</v>
      </c>
      <c r="D21" s="26">
        <v>31700</v>
      </c>
      <c r="E21" s="30">
        <f>IF(VLOOKUP($A$1,'Rates to apply'!$A$3:$P$15,6,FALSE)="RESI",E20,0)</f>
        <v>0</v>
      </c>
      <c r="F21" s="30">
        <f>IF(VLOOKUP($A$1,'Rates to apply'!$A$3:$P$15,6,FALSE)="RESI",F20,0)</f>
        <v>0</v>
      </c>
      <c r="G21" s="30">
        <f>IF(VLOOKUP($A$1,'Rates to apply'!$A$3:$P$15,6,FALSE)="RESI",G20,0)</f>
        <v>0</v>
      </c>
      <c r="H21" s="30">
        <f>IF(VLOOKUP($A$1,'Rates to apply'!$A$3:$P$15,6,FALSE)="RESI",H20,0)</f>
        <v>0</v>
      </c>
      <c r="I21" s="30">
        <f>IF(VLOOKUP($A$1,'Rates to apply'!$A$3:$P$15,6,FALSE)="RESI",I20,0)</f>
        <v>0</v>
      </c>
      <c r="J21" s="30">
        <f>IF(VLOOKUP($A$1,'Rates to apply'!$A$3:$P$15,6,FALSE)="RESI",J20,0)</f>
        <v>0</v>
      </c>
      <c r="K21" s="30">
        <f>IF(VLOOKUP($A$1,'Rates to apply'!$A$3:$P$15,6,FALSE)="RESI",K20,0)</f>
        <v>0</v>
      </c>
      <c r="L21" s="30">
        <f>IF(VLOOKUP($A$1,'Rates to apply'!$A$3:$P$15,6,FALSE)="RESI",L20,0)</f>
        <v>0</v>
      </c>
      <c r="M21" s="30">
        <f>IF(VLOOKUP($A$1,'Rates to apply'!$A$3:$P$15,6,FALSE)="RESI",M20,0)</f>
        <v>0</v>
      </c>
      <c r="N21" s="30">
        <f>IF(VLOOKUP($A$1,'Rates to apply'!$A$3:$P$15,6,FALSE)="RESI",N20,0)</f>
        <v>0</v>
      </c>
      <c r="O21" s="30">
        <f>IF(VLOOKUP($A$1,'Rates to apply'!$A$3:$P$15,6,FALSE)="RESI",O20,0)</f>
        <v>0</v>
      </c>
      <c r="P21" s="30">
        <f>IF(VLOOKUP($A$1,'Rates to apply'!$A$3:$P$15,6,FALSE)="RESI",P20,0)</f>
        <v>0</v>
      </c>
      <c r="Q21" s="25">
        <f t="shared" si="0"/>
        <v>0</v>
      </c>
      <c r="R21" s="26">
        <f t="shared" si="1"/>
        <v>0</v>
      </c>
    </row>
    <row r="22" spans="1:18" x14ac:dyDescent="0.35">
      <c r="C22" s="42" t="s">
        <v>9</v>
      </c>
      <c r="D22" s="26">
        <f>VLOOKUP($A$1,'Rates to apply'!$A$3:$R$15,4,FALSE)</f>
        <v>0</v>
      </c>
      <c r="E22" s="30">
        <f>E20</f>
        <v>308</v>
      </c>
      <c r="F22" s="30">
        <f t="shared" ref="F22:P22" si="3">F20</f>
        <v>308</v>
      </c>
      <c r="G22" s="30">
        <f t="shared" si="3"/>
        <v>308</v>
      </c>
      <c r="H22" s="30">
        <f t="shared" si="3"/>
        <v>308</v>
      </c>
      <c r="I22" s="30">
        <f t="shared" si="3"/>
        <v>308</v>
      </c>
      <c r="J22" s="30">
        <f t="shared" si="3"/>
        <v>308</v>
      </c>
      <c r="K22" s="30">
        <f t="shared" si="3"/>
        <v>308</v>
      </c>
      <c r="L22" s="30">
        <f t="shared" si="3"/>
        <v>308</v>
      </c>
      <c r="M22" s="30">
        <f t="shared" si="3"/>
        <v>308</v>
      </c>
      <c r="N22" s="30">
        <f t="shared" si="3"/>
        <v>308</v>
      </c>
      <c r="O22" s="30">
        <f t="shared" si="3"/>
        <v>308</v>
      </c>
      <c r="P22" s="30">
        <f t="shared" si="3"/>
        <v>308</v>
      </c>
      <c r="Q22" s="25">
        <f t="shared" si="0"/>
        <v>308</v>
      </c>
      <c r="R22" s="26">
        <f t="shared" si="1"/>
        <v>0</v>
      </c>
    </row>
    <row r="23" spans="1:18" x14ac:dyDescent="0.35">
      <c r="C23" s="9"/>
      <c r="D23" s="1"/>
      <c r="H23" s="7"/>
      <c r="I23" s="7"/>
      <c r="J23" s="7"/>
      <c r="K23" s="7"/>
      <c r="L23" s="7"/>
      <c r="M23" s="7"/>
      <c r="N23" s="7"/>
      <c r="O23" s="7"/>
      <c r="P23" s="7"/>
      <c r="Q23" s="1"/>
      <c r="R23" s="1"/>
    </row>
    <row r="24" spans="1:18" s="6" customFormat="1" x14ac:dyDescent="0.35">
      <c r="A24" s="47" t="s">
        <v>66</v>
      </c>
      <c r="C24" s="1"/>
      <c r="D24" s="1"/>
      <c r="E24" s="1"/>
      <c r="F24" s="1"/>
      <c r="G24" s="1"/>
      <c r="H24" s="1"/>
      <c r="I24" s="1"/>
      <c r="J24" s="1"/>
      <c r="K24" s="1"/>
      <c r="L24" s="1"/>
      <c r="M24" s="51" t="s">
        <v>61</v>
      </c>
      <c r="N24" s="52"/>
      <c r="O24" s="52"/>
      <c r="P24" s="53"/>
      <c r="Q24" s="52"/>
      <c r="R24" s="52">
        <f>SUM(R10:R23)</f>
        <v>2341587.333333333</v>
      </c>
    </row>
    <row r="25" spans="1:18" x14ac:dyDescent="0.35">
      <c r="A25" s="48" t="s">
        <v>67</v>
      </c>
      <c r="C25" s="1"/>
      <c r="D25" s="1"/>
      <c r="E25" s="1"/>
      <c r="F25" s="1"/>
      <c r="G25" s="1"/>
      <c r="H25" s="1"/>
      <c r="I25" s="1"/>
      <c r="J25" s="1"/>
      <c r="K25" s="1"/>
      <c r="L25" s="1"/>
      <c r="M25" s="49" t="s">
        <v>27</v>
      </c>
      <c r="N25" s="1"/>
      <c r="O25" s="1"/>
      <c r="Q25" s="45">
        <f>VLOOKUP($A$1,'Rates to apply'!$A$3:$R$15,7,FALSE)</f>
        <v>9.2299999999999993E-2</v>
      </c>
      <c r="R25" s="1">
        <f>$R$24*Q25</f>
        <v>216128.51086666662</v>
      </c>
    </row>
    <row r="26" spans="1:18" x14ac:dyDescent="0.35">
      <c r="A26" s="48" t="s">
        <v>68</v>
      </c>
      <c r="C26" s="1"/>
      <c r="D26" s="1"/>
      <c r="E26" s="1"/>
      <c r="F26" s="1"/>
      <c r="G26" s="1"/>
      <c r="H26" s="1"/>
      <c r="I26" s="1"/>
      <c r="J26" s="1"/>
      <c r="K26" s="1"/>
      <c r="L26" s="1"/>
      <c r="M26" s="49" t="s">
        <v>60</v>
      </c>
      <c r="N26" s="1"/>
      <c r="O26" s="1"/>
      <c r="Q26" s="45">
        <f>VLOOKUP($A$1,'Rates to apply'!$A$3:$R$15,8,FALSE)</f>
        <v>0</v>
      </c>
      <c r="R26" s="1">
        <f>$R$24*Q26</f>
        <v>0</v>
      </c>
    </row>
    <row r="27" spans="1:18" x14ac:dyDescent="0.35">
      <c r="A27" s="48" t="s">
        <v>70</v>
      </c>
      <c r="C27" s="1"/>
      <c r="D27" s="1"/>
      <c r="E27" s="1"/>
      <c r="F27" s="1"/>
      <c r="G27" s="1"/>
      <c r="H27" s="1"/>
      <c r="I27" s="1"/>
      <c r="J27" s="1"/>
      <c r="K27" s="1"/>
      <c r="L27" s="1"/>
      <c r="M27" s="51" t="s">
        <v>62</v>
      </c>
      <c r="N27" s="52"/>
      <c r="O27" s="52"/>
      <c r="P27" s="53"/>
      <c r="Q27" s="55"/>
      <c r="R27" s="52">
        <f>SUM(R24:R26)</f>
        <v>2557715.8441999997</v>
      </c>
    </row>
    <row r="28" spans="1:18" x14ac:dyDescent="0.35">
      <c r="A28" s="48" t="s">
        <v>69</v>
      </c>
      <c r="C28" s="1"/>
      <c r="D28" s="1"/>
      <c r="E28" s="1"/>
      <c r="F28" s="1"/>
      <c r="G28" s="1"/>
      <c r="H28" s="1"/>
      <c r="I28" s="1"/>
      <c r="J28" s="1"/>
      <c r="K28" s="1"/>
      <c r="L28" s="1"/>
      <c r="M28" s="56" t="s">
        <v>63</v>
      </c>
      <c r="N28" s="57"/>
      <c r="O28" s="57"/>
      <c r="P28" s="57"/>
      <c r="Q28" s="57"/>
      <c r="R28" s="57">
        <f>R5</f>
        <v>1450000</v>
      </c>
    </row>
    <row r="29" spans="1:18" ht="15" thickBot="1" x14ac:dyDescent="0.4">
      <c r="A29" s="48" t="s">
        <v>73</v>
      </c>
      <c r="C29" s="9"/>
      <c r="D29" s="46"/>
      <c r="F29" s="4"/>
      <c r="H29" s="1"/>
      <c r="I29" s="1"/>
      <c r="J29" s="1"/>
      <c r="K29" s="1"/>
      <c r="L29" s="1"/>
      <c r="M29" s="54" t="s">
        <v>64</v>
      </c>
      <c r="N29" s="35"/>
      <c r="O29" s="35"/>
      <c r="P29" s="35"/>
      <c r="Q29" s="35"/>
      <c r="R29" s="35">
        <f>SUM(R27:R28)</f>
        <v>4007715.8441999997</v>
      </c>
    </row>
    <row r="30" spans="1:18" ht="15" thickTop="1" x14ac:dyDescent="0.35">
      <c r="C30" s="3"/>
      <c r="D30" s="1"/>
      <c r="F30" s="4"/>
      <c r="H30" s="1"/>
      <c r="I30" s="1"/>
      <c r="J30" s="1"/>
      <c r="K30" s="1"/>
      <c r="L30" s="1"/>
      <c r="M30" s="1"/>
      <c r="N30" s="1"/>
      <c r="O30" s="1"/>
      <c r="P30" s="1"/>
      <c r="Q30" s="1"/>
      <c r="R30" s="1"/>
    </row>
    <row r="31" spans="1:18" x14ac:dyDescent="0.35">
      <c r="C31" s="3"/>
      <c r="R31" s="1"/>
    </row>
    <row r="32" spans="1:18" x14ac:dyDescent="0.35">
      <c r="C32" s="3"/>
      <c r="R32" s="1"/>
    </row>
    <row r="33" spans="1:18" x14ac:dyDescent="0.35">
      <c r="C33" s="3"/>
      <c r="R33" s="1"/>
    </row>
    <row r="34" spans="1:18" x14ac:dyDescent="0.35">
      <c r="C34" s="3"/>
      <c r="R34" s="1"/>
    </row>
    <row r="35" spans="1:18" x14ac:dyDescent="0.35">
      <c r="C35" s="32"/>
      <c r="R35" s="1"/>
    </row>
    <row r="36" spans="1:18" x14ac:dyDescent="0.35">
      <c r="A36" s="48"/>
      <c r="C36" s="9"/>
    </row>
    <row r="37" spans="1:18" x14ac:dyDescent="0.35">
      <c r="C37" s="9"/>
    </row>
  </sheetData>
  <pageMargins left="0" right="0" top="0.39370078740157483" bottom="0" header="0.31496062992125984" footer="0.31496062992125984"/>
  <pageSetup paperSize="9" scale="7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pageSetUpPr fitToPage="1"/>
  </sheetPr>
  <dimension ref="A7:R42"/>
  <sheetViews>
    <sheetView showGridLines="0" topLeftCell="L8" zoomScale="90" zoomScaleNormal="90" workbookViewId="0">
      <selection activeCell="Q13" sqref="Q13"/>
    </sheetView>
  </sheetViews>
  <sheetFormatPr defaultColWidth="9.1796875" defaultRowHeight="14.5" x14ac:dyDescent="0.35"/>
  <cols>
    <col min="1" max="1" width="5.7265625" style="3" customWidth="1"/>
    <col min="2" max="2" width="5.26953125" style="3" customWidth="1"/>
    <col min="3" max="3" width="39" style="7" customWidth="1"/>
    <col min="4" max="4" width="11" style="2" bestFit="1" customWidth="1"/>
    <col min="5" max="7" width="10.26953125" style="7" customWidth="1"/>
    <col min="8" max="9" width="10.26953125" style="3" customWidth="1"/>
    <col min="10" max="10" width="10.81640625" style="3" bestFit="1" customWidth="1"/>
    <col min="11" max="16" width="10.26953125" style="3" customWidth="1"/>
    <col min="17" max="17" width="10.54296875" style="3" customWidth="1"/>
    <col min="18" max="18" width="12.7265625" style="2" customWidth="1"/>
    <col min="19" max="16384" width="9.1796875" style="3"/>
  </cols>
  <sheetData>
    <row r="7" spans="3:18" x14ac:dyDescent="0.35">
      <c r="C7" s="1052">
        <f>ISB!C7</f>
        <v>0</v>
      </c>
      <c r="F7" s="139"/>
      <c r="G7" s="140"/>
      <c r="H7" s="141"/>
      <c r="I7" s="141"/>
      <c r="J7" s="141"/>
      <c r="K7" s="141"/>
      <c r="L7" s="141"/>
    </row>
    <row r="8" spans="3:18" x14ac:dyDescent="0.35">
      <c r="C8" s="113" t="e">
        <f>IF(C7="","Please Enter Your School LA Number in cell C1 on the ISB sheet",VLOOKUP($C$7,Rates!A10:V24,5,FALSE))</f>
        <v>#N/A</v>
      </c>
      <c r="G8" s="28"/>
      <c r="H8" s="28"/>
      <c r="I8" s="28"/>
      <c r="J8" s="28"/>
      <c r="K8" s="28"/>
      <c r="L8" s="28"/>
      <c r="M8" s="28"/>
      <c r="N8" s="28"/>
      <c r="P8" s="36" t="s">
        <v>10</v>
      </c>
      <c r="Q8" s="61"/>
      <c r="R8" s="61"/>
    </row>
    <row r="9" spans="3:18" x14ac:dyDescent="0.35">
      <c r="C9" s="1053" t="e">
        <f>IF(C7="","",(VLOOKUP(C7,Rates!A10:C22,3)))</f>
        <v>#N/A</v>
      </c>
      <c r="G9" s="28"/>
      <c r="H9" s="28"/>
      <c r="I9" s="28"/>
      <c r="J9" s="28"/>
      <c r="K9" s="28"/>
      <c r="L9" s="28"/>
      <c r="M9" s="28"/>
      <c r="N9" s="28"/>
      <c r="O9" s="60"/>
      <c r="P9" s="5" t="s">
        <v>1</v>
      </c>
      <c r="Q9" s="8" t="s">
        <v>42</v>
      </c>
      <c r="R9" s="8" t="s">
        <v>1</v>
      </c>
    </row>
    <row r="10" spans="3:18" x14ac:dyDescent="0.35">
      <c r="E10" s="59" t="s">
        <v>402</v>
      </c>
      <c r="F10" s="142"/>
      <c r="G10" s="58"/>
      <c r="H10" s="58"/>
      <c r="I10" s="58"/>
      <c r="J10" s="58"/>
      <c r="K10" s="58"/>
      <c r="L10" s="58"/>
      <c r="M10" s="28"/>
      <c r="N10" s="28"/>
      <c r="O10" s="28"/>
      <c r="P10" s="5" t="s">
        <v>2</v>
      </c>
      <c r="Q10" s="8" t="s">
        <v>0</v>
      </c>
      <c r="R10" s="8" t="s">
        <v>3</v>
      </c>
    </row>
    <row r="11" spans="3:18" x14ac:dyDescent="0.35">
      <c r="G11" s="28"/>
      <c r="H11" s="28"/>
      <c r="I11" s="28"/>
      <c r="J11" s="28"/>
      <c r="K11" s="28"/>
      <c r="L11" s="28"/>
      <c r="M11" s="140"/>
      <c r="N11" s="140"/>
      <c r="O11" s="1010" t="s">
        <v>390</v>
      </c>
      <c r="P11" s="116">
        <f>IF(C7="The Space",20000,10000)</f>
        <v>10000</v>
      </c>
      <c r="Q11" s="117" t="e">
        <f>IF(C7="","",VLOOKUP($C$7,Rates!A10:W23,23,FALSE))</f>
        <v>#N/A</v>
      </c>
      <c r="R11" s="118" t="e">
        <f>IF(C7="","",P11*Q11/12*5)</f>
        <v>#N/A</v>
      </c>
    </row>
    <row r="12" spans="3:18" x14ac:dyDescent="0.35">
      <c r="C12" s="28"/>
      <c r="G12" s="28"/>
      <c r="H12" s="28"/>
      <c r="I12" s="28"/>
      <c r="J12" s="28"/>
      <c r="K12" s="28"/>
      <c r="L12" s="28"/>
      <c r="M12" s="140"/>
      <c r="N12" s="140"/>
      <c r="O12" s="1010" t="s">
        <v>391</v>
      </c>
      <c r="P12" s="116">
        <f>IF(C7="The Space",20000,10000)</f>
        <v>10000</v>
      </c>
      <c r="Q12" s="117" t="e">
        <f>IF(C7="","",VLOOKUP($C$7,Rates!A10:F23,6,FALSE))</f>
        <v>#N/A</v>
      </c>
      <c r="R12" s="118" t="e">
        <f>IF(C7="","",P12*Q12/12*7)</f>
        <v>#N/A</v>
      </c>
    </row>
    <row r="13" spans="3:18" ht="15" thickBot="1" x14ac:dyDescent="0.4">
      <c r="G13" s="28"/>
      <c r="H13" s="28"/>
      <c r="I13" s="28"/>
      <c r="J13" s="28"/>
      <c r="K13" s="28"/>
      <c r="L13" s="28"/>
      <c r="M13" s="140"/>
      <c r="N13" s="140"/>
      <c r="O13" s="1015" t="s">
        <v>129</v>
      </c>
      <c r="P13" s="144"/>
      <c r="Q13" s="145"/>
      <c r="R13" s="147" t="e">
        <f>IF(C7="","",SUM(R11:R12))</f>
        <v>#N/A</v>
      </c>
    </row>
    <row r="14" spans="3:18" ht="15" thickTop="1" x14ac:dyDescent="0.35">
      <c r="G14" s="28"/>
      <c r="H14" s="28"/>
      <c r="I14" s="28"/>
      <c r="J14" s="28"/>
      <c r="K14" s="28"/>
      <c r="L14" s="28"/>
      <c r="M14" s="28"/>
      <c r="N14" s="28"/>
      <c r="O14" s="28"/>
      <c r="P14" s="144"/>
      <c r="Q14" s="145"/>
      <c r="R14" s="146"/>
    </row>
    <row r="15" spans="3:18" x14ac:dyDescent="0.35">
      <c r="C15" s="29" t="s">
        <v>65</v>
      </c>
      <c r="G15" s="8"/>
      <c r="H15" s="2"/>
      <c r="I15" s="2"/>
      <c r="J15" s="2"/>
      <c r="K15" s="2"/>
    </row>
    <row r="16" spans="3:18" x14ac:dyDescent="0.35">
      <c r="C16" s="29"/>
      <c r="G16" s="8"/>
      <c r="H16" s="2"/>
      <c r="I16" s="2"/>
      <c r="J16" s="2"/>
      <c r="K16" s="2"/>
    </row>
    <row r="17" spans="1:18" s="6" customFormat="1" x14ac:dyDescent="0.35">
      <c r="C17" s="8"/>
      <c r="D17" s="5" t="s">
        <v>5</v>
      </c>
      <c r="E17" s="37" t="s">
        <v>55</v>
      </c>
      <c r="F17" s="36"/>
      <c r="G17" s="36"/>
      <c r="H17" s="36"/>
      <c r="I17" s="36"/>
      <c r="J17" s="36"/>
      <c r="K17" s="36"/>
      <c r="L17" s="36"/>
      <c r="M17" s="36"/>
      <c r="N17" s="36"/>
      <c r="O17" s="36"/>
      <c r="P17" s="36"/>
      <c r="R17" s="5" t="s">
        <v>56</v>
      </c>
    </row>
    <row r="18" spans="1:18" s="6" customFormat="1" ht="15" thickBot="1" x14ac:dyDescent="0.4">
      <c r="B18" s="141"/>
      <c r="C18" s="10" t="s">
        <v>4</v>
      </c>
      <c r="D18" s="5" t="s">
        <v>6</v>
      </c>
      <c r="E18" s="156" t="s">
        <v>43</v>
      </c>
      <c r="F18" s="156" t="s">
        <v>44</v>
      </c>
      <c r="G18" s="156" t="s">
        <v>45</v>
      </c>
      <c r="H18" s="156" t="s">
        <v>46</v>
      </c>
      <c r="I18" s="156" t="s">
        <v>47</v>
      </c>
      <c r="J18" s="156" t="s">
        <v>48</v>
      </c>
      <c r="K18" s="156" t="s">
        <v>49</v>
      </c>
      <c r="L18" s="156" t="s">
        <v>50</v>
      </c>
      <c r="M18" s="156" t="s">
        <v>51</v>
      </c>
      <c r="N18" s="156" t="s">
        <v>52</v>
      </c>
      <c r="O18" s="156" t="s">
        <v>53</v>
      </c>
      <c r="P18" s="156" t="s">
        <v>54</v>
      </c>
      <c r="Q18" s="5" t="s">
        <v>58</v>
      </c>
      <c r="R18" s="5" t="s">
        <v>57</v>
      </c>
    </row>
    <row r="19" spans="1:18" x14ac:dyDescent="0.35">
      <c r="B19" s="1049"/>
      <c r="C19" s="157">
        <v>3</v>
      </c>
      <c r="D19" s="1091">
        <v>2116</v>
      </c>
      <c r="E19" s="316"/>
      <c r="F19" s="316"/>
      <c r="G19" s="316"/>
      <c r="H19" s="316"/>
      <c r="I19" s="316"/>
      <c r="J19" s="316"/>
      <c r="K19" s="316"/>
      <c r="L19" s="316"/>
      <c r="M19" s="316"/>
      <c r="N19" s="316"/>
      <c r="O19" s="316"/>
      <c r="P19" s="316"/>
      <c r="Q19" s="860">
        <f>SUM(E19:P19)/12</f>
        <v>0</v>
      </c>
      <c r="R19" s="861">
        <f>(SUM(E19:P19)/12)*D19</f>
        <v>0</v>
      </c>
    </row>
    <row r="20" spans="1:18" ht="15" thickBot="1" x14ac:dyDescent="0.4">
      <c r="B20" s="1049"/>
      <c r="C20" s="158" t="str">
        <f>IF($C$7=141,"","50% Early Years Rate")</f>
        <v>50% Early Years Rate</v>
      </c>
      <c r="D20" s="1092">
        <v>1058</v>
      </c>
      <c r="E20" s="317"/>
      <c r="F20" s="317"/>
      <c r="G20" s="317"/>
      <c r="H20" s="317"/>
      <c r="I20" s="317"/>
      <c r="J20" s="317"/>
      <c r="K20" s="317"/>
      <c r="L20" s="317"/>
      <c r="M20" s="317"/>
      <c r="N20" s="317"/>
      <c r="O20" s="317"/>
      <c r="P20" s="317"/>
      <c r="Q20" s="862">
        <f>IF($C$7=141,"",SUM(E20:P20)/12)</f>
        <v>0</v>
      </c>
      <c r="R20" s="863">
        <f>IF($C$7=141,IFERROR((SUM(E20:P20)/12)*D19,0),IFERROR((SUM(E20:P20)/12)*D20,0))</f>
        <v>0</v>
      </c>
    </row>
    <row r="21" spans="1:18" x14ac:dyDescent="0.35">
      <c r="B21" s="1049"/>
      <c r="C21" s="157">
        <v>4</v>
      </c>
      <c r="D21" s="1091">
        <v>7938</v>
      </c>
      <c r="E21" s="316"/>
      <c r="F21" s="316"/>
      <c r="G21" s="316"/>
      <c r="H21" s="316"/>
      <c r="I21" s="316"/>
      <c r="J21" s="316"/>
      <c r="K21" s="316"/>
      <c r="L21" s="316"/>
      <c r="M21" s="316"/>
      <c r="N21" s="316"/>
      <c r="O21" s="316"/>
      <c r="P21" s="316"/>
      <c r="Q21" s="860">
        <f t="shared" ref="Q21:Q25" si="0">SUM(E21:P21)/12</f>
        <v>0</v>
      </c>
      <c r="R21" s="861">
        <f t="shared" ref="R21:R23" si="1">(SUM(E21:P21)/12)*D21</f>
        <v>0</v>
      </c>
    </row>
    <row r="22" spans="1:18" ht="15" thickBot="1" x14ac:dyDescent="0.4">
      <c r="B22" s="1049"/>
      <c r="C22" s="158" t="str">
        <f>IF($C$7=141,"","50% Early Years Rate")</f>
        <v>50% Early Years Rate</v>
      </c>
      <c r="D22" s="1092">
        <v>3969</v>
      </c>
      <c r="E22" s="317"/>
      <c r="F22" s="317"/>
      <c r="G22" s="317"/>
      <c r="H22" s="317"/>
      <c r="I22" s="317"/>
      <c r="J22" s="317"/>
      <c r="K22" s="317"/>
      <c r="L22" s="317"/>
      <c r="M22" s="317"/>
      <c r="N22" s="317"/>
      <c r="O22" s="317"/>
      <c r="P22" s="317"/>
      <c r="Q22" s="862">
        <f>IF($C$7=141,"",SUM(E22:P22)/12)</f>
        <v>0</v>
      </c>
      <c r="R22" s="863">
        <f>IF($C$7=141,IFERROR((SUM(E22:P22)/12)*D21,0),IFERROR((SUM(E22:P22)/12)*D22,0))</f>
        <v>0</v>
      </c>
    </row>
    <row r="23" spans="1:18" x14ac:dyDescent="0.35">
      <c r="B23" s="1049"/>
      <c r="C23" s="157">
        <v>5</v>
      </c>
      <c r="D23" s="1091">
        <v>14110</v>
      </c>
      <c r="E23" s="316"/>
      <c r="F23" s="316"/>
      <c r="G23" s="316"/>
      <c r="H23" s="316"/>
      <c r="I23" s="316"/>
      <c r="J23" s="316"/>
      <c r="K23" s="316"/>
      <c r="L23" s="316"/>
      <c r="M23" s="316"/>
      <c r="N23" s="316"/>
      <c r="O23" s="316"/>
      <c r="P23" s="316"/>
      <c r="Q23" s="860">
        <f t="shared" si="0"/>
        <v>0</v>
      </c>
      <c r="R23" s="861">
        <f t="shared" si="1"/>
        <v>0</v>
      </c>
    </row>
    <row r="24" spans="1:18" ht="15" thickBot="1" x14ac:dyDescent="0.4">
      <c r="B24" s="1049"/>
      <c r="C24" s="158" t="str">
        <f>IF($C$7=141,"","50% Early Years Rate")</f>
        <v>50% Early Years Rate</v>
      </c>
      <c r="D24" s="1092">
        <v>7055</v>
      </c>
      <c r="E24" s="317"/>
      <c r="F24" s="317"/>
      <c r="G24" s="317"/>
      <c r="H24" s="317"/>
      <c r="I24" s="317"/>
      <c r="J24" s="317"/>
      <c r="K24" s="317"/>
      <c r="L24" s="317"/>
      <c r="M24" s="317"/>
      <c r="N24" s="317"/>
      <c r="O24" s="317"/>
      <c r="P24" s="317"/>
      <c r="Q24" s="862">
        <f>IF($C$7=141,"",SUM(E24:P24)/12)</f>
        <v>0</v>
      </c>
      <c r="R24" s="863">
        <f>IF($C$7=141,IFERROR((SUM(E24:P24)/12)*D23,0),IFERROR((SUM(E24:P24)/12)*D24,0))</f>
        <v>0</v>
      </c>
    </row>
    <row r="25" spans="1:18" x14ac:dyDescent="0.35">
      <c r="B25" s="1049"/>
      <c r="C25" s="157">
        <v>6</v>
      </c>
      <c r="D25" s="1091">
        <v>24693</v>
      </c>
      <c r="E25" s="316"/>
      <c r="F25" s="316"/>
      <c r="G25" s="316"/>
      <c r="H25" s="316"/>
      <c r="I25" s="316"/>
      <c r="J25" s="316"/>
      <c r="K25" s="316"/>
      <c r="L25" s="316"/>
      <c r="M25" s="316"/>
      <c r="N25" s="316"/>
      <c r="O25" s="316"/>
      <c r="P25" s="316"/>
      <c r="Q25" s="860">
        <f t="shared" si="0"/>
        <v>0</v>
      </c>
      <c r="R25" s="861">
        <f>(SUM(E25:P25)/12)*D25</f>
        <v>0</v>
      </c>
    </row>
    <row r="26" spans="1:18" ht="15" thickBot="1" x14ac:dyDescent="0.4">
      <c r="B26" s="1049"/>
      <c r="C26" s="158" t="str">
        <f>IF($C$7=141,"","50% Early Years Rate")</f>
        <v>50% Early Years Rate</v>
      </c>
      <c r="D26" s="1092">
        <v>12346.5</v>
      </c>
      <c r="E26" s="317"/>
      <c r="F26" s="317"/>
      <c r="G26" s="317"/>
      <c r="H26" s="317"/>
      <c r="I26" s="317"/>
      <c r="J26" s="317"/>
      <c r="K26" s="317"/>
      <c r="L26" s="317"/>
      <c r="M26" s="317"/>
      <c r="N26" s="317"/>
      <c r="O26" s="317"/>
      <c r="P26" s="317"/>
      <c r="Q26" s="862">
        <f>IF($C$7=141,"",SUM(E26:P26)/12)</f>
        <v>0</v>
      </c>
      <c r="R26" s="863">
        <f>IF($C$7=141,IFERROR((SUM(E26:P26)/12)*D25,0),IFERROR((SUM(E26:P26)/12)*D26,0))</f>
        <v>0</v>
      </c>
    </row>
    <row r="27" spans="1:18" x14ac:dyDescent="0.35">
      <c r="B27" s="1049"/>
      <c r="C27" s="319" t="s">
        <v>59</v>
      </c>
      <c r="D27" s="321"/>
      <c r="E27" s="320">
        <f>SUM(E19:E25)</f>
        <v>0</v>
      </c>
      <c r="F27" s="318">
        <f>SUM(F19:F25)</f>
        <v>0</v>
      </c>
      <c r="G27" s="318">
        <f>SUM(G19:G25)</f>
        <v>0</v>
      </c>
      <c r="H27" s="318">
        <f>SUM(H19:H25)</f>
        <v>0</v>
      </c>
      <c r="I27" s="318">
        <f>SUM(I19:I25)</f>
        <v>0</v>
      </c>
      <c r="J27" s="318">
        <f>SUM(J19:J25)</f>
        <v>0</v>
      </c>
      <c r="K27" s="318">
        <f>SUM(K19:K25)</f>
        <v>0</v>
      </c>
      <c r="L27" s="318">
        <f>SUM(L19:L25)</f>
        <v>0</v>
      </c>
      <c r="M27" s="318">
        <f>SUM(M19:M25)</f>
        <v>0</v>
      </c>
      <c r="N27" s="318">
        <f>SUM(N19:N25)</f>
        <v>0</v>
      </c>
      <c r="O27" s="318">
        <f>SUM(O19:O25)</f>
        <v>0</v>
      </c>
      <c r="P27" s="318">
        <f>SUM(P19:P25)</f>
        <v>0</v>
      </c>
      <c r="Q27" s="864">
        <f t="shared" ref="Q27" si="2">SUM(E27:P27)/12</f>
        <v>0</v>
      </c>
      <c r="R27" s="865"/>
    </row>
    <row r="28" spans="1:18" x14ac:dyDescent="0.35">
      <c r="C28" s="9"/>
      <c r="D28" s="1"/>
      <c r="H28" s="7"/>
      <c r="I28" s="7"/>
      <c r="J28" s="7"/>
      <c r="K28" s="7"/>
      <c r="L28" s="7"/>
      <c r="M28" s="7"/>
      <c r="N28" s="7"/>
      <c r="O28" s="7"/>
      <c r="P28" s="7"/>
      <c r="Q28" s="121"/>
      <c r="R28" s="121"/>
    </row>
    <row r="29" spans="1:18" s="6" customFormat="1" x14ac:dyDescent="0.35">
      <c r="A29" s="47" t="s">
        <v>66</v>
      </c>
      <c r="C29" s="1"/>
      <c r="D29" s="1"/>
      <c r="E29" s="1"/>
      <c r="F29" s="1"/>
      <c r="G29" s="1"/>
      <c r="H29" s="1"/>
      <c r="I29" s="1"/>
      <c r="J29" s="1"/>
      <c r="K29" s="1"/>
      <c r="L29" s="1"/>
      <c r="M29" s="51" t="s">
        <v>61</v>
      </c>
      <c r="N29" s="52"/>
      <c r="O29" s="52"/>
      <c r="P29" s="53"/>
      <c r="Q29" s="124"/>
      <c r="R29" s="124">
        <f>SUM(R19:R28)</f>
        <v>0</v>
      </c>
    </row>
    <row r="30" spans="1:18" x14ac:dyDescent="0.35">
      <c r="A30" s="48" t="s">
        <v>67</v>
      </c>
      <c r="C30" s="1"/>
      <c r="D30" s="1"/>
      <c r="E30" s="1"/>
      <c r="F30" s="1"/>
      <c r="G30" s="1"/>
      <c r="H30" s="1"/>
      <c r="I30" s="1"/>
      <c r="J30" s="1"/>
      <c r="K30" s="1"/>
      <c r="L30" s="1"/>
      <c r="M30" s="49" t="s">
        <v>27</v>
      </c>
      <c r="N30" s="1"/>
      <c r="O30" s="1"/>
      <c r="Q30" s="126" t="e">
        <f>IF(C7="","",VLOOKUP($C$7,Rates!A10:V22,20,FALSE))</f>
        <v>#N/A</v>
      </c>
      <c r="R30" s="121" t="e">
        <f>IF(C7="","",$R$29*Q30)</f>
        <v>#N/A</v>
      </c>
    </row>
    <row r="31" spans="1:18" x14ac:dyDescent="0.35">
      <c r="A31" s="48" t="s">
        <v>68</v>
      </c>
      <c r="C31" s="1"/>
      <c r="D31" s="1"/>
      <c r="E31" s="1"/>
      <c r="F31" s="1"/>
      <c r="G31" s="1"/>
      <c r="H31" s="1"/>
      <c r="I31" s="1"/>
      <c r="J31" s="1"/>
      <c r="K31" s="1"/>
      <c r="L31" s="1"/>
      <c r="M31" s="49"/>
      <c r="N31" s="1"/>
      <c r="O31" s="1"/>
      <c r="Q31" s="126"/>
      <c r="R31" s="121"/>
    </row>
    <row r="32" spans="1:18" x14ac:dyDescent="0.35">
      <c r="A32" s="48" t="s">
        <v>70</v>
      </c>
      <c r="C32" s="1"/>
      <c r="D32" s="1"/>
      <c r="E32" s="1"/>
      <c r="F32" s="1"/>
      <c r="G32" s="1"/>
      <c r="H32" s="1"/>
      <c r="I32" s="1"/>
      <c r="J32" s="1"/>
      <c r="K32" s="1"/>
      <c r="L32" s="1"/>
      <c r="M32" s="51" t="s">
        <v>62</v>
      </c>
      <c r="N32" s="52"/>
      <c r="O32" s="52"/>
      <c r="P32" s="53"/>
      <c r="Q32" s="128"/>
      <c r="R32" s="124" t="e">
        <f>SUM(R29:R31)</f>
        <v>#N/A</v>
      </c>
    </row>
    <row r="33" spans="1:18" x14ac:dyDescent="0.35">
      <c r="A33" s="48" t="s">
        <v>69</v>
      </c>
      <c r="C33" s="1"/>
      <c r="D33" s="1"/>
      <c r="E33" s="1"/>
      <c r="F33" s="1"/>
      <c r="G33" s="1"/>
      <c r="H33" s="1"/>
      <c r="I33" s="1"/>
      <c r="J33" s="1"/>
      <c r="K33" s="1"/>
      <c r="L33" s="1"/>
      <c r="M33" s="56" t="s">
        <v>63</v>
      </c>
      <c r="N33" s="57"/>
      <c r="O33" s="57"/>
      <c r="P33" s="57"/>
      <c r="Q33" s="866"/>
      <c r="R33" s="866" t="e">
        <f>R13</f>
        <v>#N/A</v>
      </c>
    </row>
    <row r="34" spans="1:18" ht="15" thickBot="1" x14ac:dyDescent="0.4">
      <c r="A34" s="48" t="s">
        <v>73</v>
      </c>
      <c r="C34" s="9"/>
      <c r="D34" s="46"/>
      <c r="F34" s="4"/>
      <c r="H34" s="1"/>
      <c r="I34" s="1"/>
      <c r="J34" s="1"/>
      <c r="K34" s="1"/>
      <c r="L34" s="1"/>
      <c r="M34" s="54" t="s">
        <v>64</v>
      </c>
      <c r="N34" s="35"/>
      <c r="O34" s="35"/>
      <c r="P34" s="35"/>
      <c r="Q34" s="867"/>
      <c r="R34" s="867" t="e">
        <f>SUM(R32:R33)</f>
        <v>#N/A</v>
      </c>
    </row>
    <row r="35" spans="1:18" ht="15" thickTop="1" x14ac:dyDescent="0.35">
      <c r="C35" s="3"/>
      <c r="D35" s="1"/>
      <c r="F35" s="4"/>
      <c r="H35" s="1"/>
      <c r="I35" s="1"/>
      <c r="J35" s="1"/>
      <c r="K35" s="1"/>
      <c r="L35" s="1"/>
      <c r="M35" s="1"/>
      <c r="N35" s="1"/>
      <c r="O35" s="1"/>
      <c r="P35" s="1"/>
      <c r="Q35" s="1"/>
      <c r="R35" s="1"/>
    </row>
    <row r="36" spans="1:18" x14ac:dyDescent="0.35">
      <c r="C36" s="3"/>
      <c r="R36" s="1"/>
    </row>
    <row r="37" spans="1:18" x14ac:dyDescent="0.35">
      <c r="C37" s="3"/>
      <c r="R37" s="1"/>
    </row>
    <row r="38" spans="1:18" x14ac:dyDescent="0.35">
      <c r="C38" s="3"/>
      <c r="R38" s="1"/>
    </row>
    <row r="39" spans="1:18" x14ac:dyDescent="0.35">
      <c r="C39" s="3"/>
      <c r="R39" s="1"/>
    </row>
    <row r="40" spans="1:18" x14ac:dyDescent="0.35">
      <c r="C40" s="32"/>
      <c r="R40" s="1"/>
    </row>
    <row r="41" spans="1:18" x14ac:dyDescent="0.35">
      <c r="A41" s="48"/>
      <c r="C41" s="9"/>
    </row>
    <row r="42" spans="1:18" x14ac:dyDescent="0.35">
      <c r="C42" s="9"/>
    </row>
  </sheetData>
  <sheetProtection algorithmName="SHA-512" hashValue="pdYeWucBNhQ1ELnQ7mpz+4hg2991jDBDBe0A3lJ6gNRYrQrSsiaAWqujQ7QWySd6SJi0IpJJOk1RQ3AWWdh4Vg==" saltValue="VXevOR2TMNR7fcAljiTNdA==" spinCount="100000" sheet="1" objects="1" scenarios="1"/>
  <pageMargins left="0.45" right="0.22" top="0.74803149606299213" bottom="0.74803149606299213" header="0.31496062992125984" footer="0.31496062992125984"/>
  <pageSetup paperSize="9" scale="64"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FF00"/>
    <pageSetUpPr fitToPage="1"/>
  </sheetPr>
  <dimension ref="A7:U76"/>
  <sheetViews>
    <sheetView showGridLines="0" zoomScaleNormal="100" workbookViewId="0">
      <selection activeCell="E39" sqref="E39"/>
    </sheetView>
  </sheetViews>
  <sheetFormatPr defaultColWidth="9.1796875" defaultRowHeight="14.5" x14ac:dyDescent="0.35"/>
  <cols>
    <col min="1" max="3" width="18.7265625" style="657" customWidth="1"/>
    <col min="4" max="6" width="12.7265625" style="657" customWidth="1"/>
    <col min="7" max="7" width="9.1796875" style="657"/>
    <col min="8" max="8" width="18.7265625" style="657" customWidth="1"/>
    <col min="9" max="11" width="12.7265625" style="657" customWidth="1"/>
    <col min="12" max="12" width="13.1796875" style="660" customWidth="1"/>
    <col min="13" max="13" width="12.7265625" style="657" customWidth="1"/>
    <col min="14" max="14" width="17.54296875" style="657" bestFit="1" customWidth="1"/>
    <col min="15" max="15" width="9.1796875" style="657"/>
    <col min="16" max="19" width="12.7265625" style="657" customWidth="1"/>
    <col min="20" max="20" width="14.7265625" style="657" customWidth="1"/>
    <col min="21" max="16384" width="9.1796875" style="657"/>
  </cols>
  <sheetData>
    <row r="7" spans="1:13" ht="15" thickBot="1" x14ac:dyDescent="0.4"/>
    <row r="8" spans="1:13" ht="18.75" customHeight="1" thickBot="1" x14ac:dyDescent="0.4">
      <c r="A8" s="1202" t="s">
        <v>403</v>
      </c>
      <c r="B8" s="1203"/>
      <c r="C8" s="1203"/>
      <c r="D8" s="1203"/>
      <c r="E8" s="1203"/>
      <c r="F8" s="1203"/>
      <c r="G8" s="1203"/>
      <c r="H8" s="1203"/>
      <c r="I8" s="1203"/>
      <c r="J8" s="1203"/>
      <c r="K8" s="1203"/>
      <c r="L8" s="1204"/>
      <c r="M8" s="399"/>
    </row>
    <row r="9" spans="1:13" ht="15" thickBot="1" x14ac:dyDescent="0.4"/>
    <row r="10" spans="1:13" ht="16.5" customHeight="1" thickBot="1" x14ac:dyDescent="0.4">
      <c r="A10" s="1196" t="str">
        <f>ISB!C8</f>
        <v>Please Enter Your School LA Number in the Box Above</v>
      </c>
      <c r="B10" s="1197"/>
      <c r="C10" s="1197"/>
      <c r="D10" s="1197"/>
      <c r="E10" s="1197"/>
      <c r="F10" s="1197"/>
      <c r="G10" s="1197"/>
      <c r="H10" s="1198"/>
      <c r="J10" s="400" t="str">
        <f>IF(L10="","",IF(LEN(L10)=3,"LA Number ","DfE Number "))</f>
        <v xml:space="preserve">DfE Number </v>
      </c>
      <c r="K10" s="400"/>
      <c r="L10" s="327">
        <f>ISB!C7</f>
        <v>0</v>
      </c>
    </row>
    <row r="11" spans="1:13" ht="15.75" customHeight="1" thickBot="1" x14ac:dyDescent="0.4">
      <c r="A11" s="1199"/>
      <c r="B11" s="1200"/>
      <c r="C11" s="1200"/>
      <c r="D11" s="1200"/>
      <c r="E11" s="1200"/>
      <c r="F11" s="1200"/>
      <c r="G11" s="1200"/>
      <c r="H11" s="1201"/>
      <c r="I11" s="399"/>
      <c r="L11" s="135" t="str">
        <f>ISB!C9</f>
        <v/>
      </c>
    </row>
    <row r="13" spans="1:13" ht="15" thickBot="1" x14ac:dyDescent="0.4"/>
    <row r="14" spans="1:13" ht="15" thickBot="1" x14ac:dyDescent="0.4">
      <c r="B14" s="1060" t="s">
        <v>404</v>
      </c>
      <c r="C14" s="1050">
        <v>0.03</v>
      </c>
    </row>
    <row r="15" spans="1:13" ht="15" thickBot="1" x14ac:dyDescent="0.4">
      <c r="B15" s="1060" t="s">
        <v>405</v>
      </c>
      <c r="C15" s="1051">
        <v>0</v>
      </c>
    </row>
    <row r="19" spans="1:18" ht="15" thickBot="1" x14ac:dyDescent="0.4"/>
    <row r="20" spans="1:18" ht="34.5" customHeight="1" thickBot="1" x14ac:dyDescent="0.4">
      <c r="A20" s="1189" t="s">
        <v>364</v>
      </c>
      <c r="B20" s="1190"/>
      <c r="C20" s="1190"/>
      <c r="D20" s="1190"/>
      <c r="E20" s="1191"/>
      <c r="H20" s="1189" t="s">
        <v>406</v>
      </c>
      <c r="I20" s="1190"/>
      <c r="J20" s="1190"/>
      <c r="K20" s="1190"/>
      <c r="L20" s="1191"/>
      <c r="M20" s="994"/>
    </row>
    <row r="21" spans="1:18" x14ac:dyDescent="0.35">
      <c r="A21" s="1129" t="s">
        <v>361</v>
      </c>
      <c r="B21" s="1130"/>
      <c r="C21" s="1130"/>
      <c r="D21" s="1130"/>
      <c r="E21" s="1131"/>
      <c r="F21" s="674"/>
      <c r="H21" s="1193" t="s">
        <v>407</v>
      </c>
      <c r="I21" s="1194"/>
      <c r="J21" s="1194"/>
      <c r="K21" s="1194"/>
      <c r="L21" s="1195"/>
      <c r="M21" s="995"/>
      <c r="N21" s="1056"/>
    </row>
    <row r="22" spans="1:18" s="676" customFormat="1" ht="44" thickBot="1" x14ac:dyDescent="0.4">
      <c r="A22" s="989"/>
      <c r="B22" s="1123" t="s">
        <v>373</v>
      </c>
      <c r="C22" s="1123" t="s">
        <v>374</v>
      </c>
      <c r="D22" s="992"/>
      <c r="E22" s="993" t="s">
        <v>362</v>
      </c>
      <c r="F22" s="675"/>
      <c r="H22" s="996"/>
      <c r="I22" s="990" t="s">
        <v>161</v>
      </c>
      <c r="J22" s="991"/>
      <c r="K22" s="997"/>
      <c r="L22" s="998" t="s">
        <v>408</v>
      </c>
      <c r="M22" s="999"/>
      <c r="N22" s="1056"/>
      <c r="P22" s="677"/>
    </row>
    <row r="23" spans="1:18" x14ac:dyDescent="0.35">
      <c r="A23" s="1133" t="s">
        <v>32</v>
      </c>
      <c r="B23" s="1133">
        <v>1977.78</v>
      </c>
      <c r="C23" s="1135">
        <v>1939</v>
      </c>
      <c r="D23" s="1127" t="e">
        <f t="shared" ref="D23:D32" si="0">(((C23*E23)/12)*5)+(((B23*E23)/12)*7)</f>
        <v>#N/A</v>
      </c>
      <c r="E23" s="1001" t="e">
        <f>VLOOKUP($L$10,Rates!$A$10:$BR$23,61,0)</f>
        <v>#N/A</v>
      </c>
      <c r="F23" s="668"/>
      <c r="H23" s="682">
        <v>3</v>
      </c>
      <c r="I23" s="683">
        <v>2116</v>
      </c>
      <c r="J23" s="1120"/>
      <c r="K23" s="988" t="e">
        <f>I23*L23</f>
        <v>#N/A</v>
      </c>
      <c r="L23" s="1001" t="e">
        <f>VLOOKUP($L$10,Rates!$A$10:$CC$23,72,0)</f>
        <v>#N/A</v>
      </c>
      <c r="M23" s="1000">
        <v>11</v>
      </c>
      <c r="N23" s="1056"/>
      <c r="P23" s="660"/>
      <c r="Q23" s="660"/>
      <c r="R23" s="662"/>
    </row>
    <row r="24" spans="1:18" s="687" customFormat="1" ht="15" thickBot="1" x14ac:dyDescent="0.4">
      <c r="A24" s="1134" t="s">
        <v>163</v>
      </c>
      <c r="B24" s="1134">
        <v>988.89</v>
      </c>
      <c r="C24" s="1136">
        <v>969.5</v>
      </c>
      <c r="D24" s="1128" t="e">
        <f t="shared" si="0"/>
        <v>#N/A</v>
      </c>
      <c r="E24" s="1001" t="e">
        <f>VLOOKUP($L$10,Rates!$A$10:$BR$23,62,0)</f>
        <v>#N/A</v>
      </c>
      <c r="F24" s="668"/>
      <c r="H24" s="688" t="s">
        <v>409</v>
      </c>
      <c r="I24" s="689">
        <v>1058</v>
      </c>
      <c r="J24" s="1121"/>
      <c r="K24" s="680" t="e">
        <f>I24*L24</f>
        <v>#N/A</v>
      </c>
      <c r="L24" s="1001" t="e">
        <f>VLOOKUP($L$10,Rates!$A$10:$CC$23,73,0)</f>
        <v>#N/A</v>
      </c>
      <c r="M24" s="911">
        <v>0</v>
      </c>
      <c r="N24" s="1056"/>
      <c r="P24" s="660"/>
      <c r="Q24" s="660"/>
      <c r="R24" s="662"/>
    </row>
    <row r="25" spans="1:18" x14ac:dyDescent="0.35">
      <c r="A25" s="1133" t="s">
        <v>33</v>
      </c>
      <c r="B25" s="1133">
        <v>7418.46</v>
      </c>
      <c r="C25" s="1135">
        <v>7273</v>
      </c>
      <c r="D25" s="1127" t="e">
        <f t="shared" si="0"/>
        <v>#N/A</v>
      </c>
      <c r="E25" s="1001" t="e">
        <f>VLOOKUP($L$10,Rates!$A$10:$BR$23,63,0)</f>
        <v>#N/A</v>
      </c>
      <c r="F25" s="668"/>
      <c r="H25" s="682">
        <v>4</v>
      </c>
      <c r="I25" s="683">
        <v>7938</v>
      </c>
      <c r="J25" s="1120"/>
      <c r="K25" s="680" t="e">
        <f>I25*L25</f>
        <v>#N/A</v>
      </c>
      <c r="L25" s="1001" t="e">
        <f>VLOOKUP($L$10,Rates!$A$10:$CC$23,74,0)</f>
        <v>#N/A</v>
      </c>
      <c r="M25" s="911">
        <v>20</v>
      </c>
      <c r="N25" s="1056"/>
      <c r="P25" s="660"/>
      <c r="Q25" s="660"/>
      <c r="R25" s="662"/>
    </row>
    <row r="26" spans="1:18" s="687" customFormat="1" ht="15" thickBot="1" x14ac:dyDescent="0.4">
      <c r="A26" s="1134" t="s">
        <v>164</v>
      </c>
      <c r="B26" s="1134">
        <v>3709.23</v>
      </c>
      <c r="C26" s="1136">
        <v>3636.5</v>
      </c>
      <c r="D26" s="1128" t="e">
        <f t="shared" si="0"/>
        <v>#N/A</v>
      </c>
      <c r="E26" s="1001" t="e">
        <f>VLOOKUP($L$10,Rates!$A$10:$BR$23,64,0)</f>
        <v>#N/A</v>
      </c>
      <c r="F26" s="668"/>
      <c r="H26" s="688" t="s">
        <v>410</v>
      </c>
      <c r="I26" s="689">
        <v>3969</v>
      </c>
      <c r="J26" s="1121"/>
      <c r="K26" s="680" t="e">
        <f>I26*L26</f>
        <v>#N/A</v>
      </c>
      <c r="L26" s="1001" t="e">
        <f>VLOOKUP($L$10,Rates!$A$10:$CC$23,75,0)</f>
        <v>#N/A</v>
      </c>
      <c r="M26" s="912">
        <v>0</v>
      </c>
      <c r="N26" s="1056"/>
      <c r="P26" s="660"/>
      <c r="Q26" s="660"/>
      <c r="R26" s="662"/>
    </row>
    <row r="27" spans="1:18" x14ac:dyDescent="0.35">
      <c r="A27" s="1133" t="s">
        <v>34</v>
      </c>
      <c r="B27" s="1133">
        <v>12363.42</v>
      </c>
      <c r="C27" s="1135">
        <v>12121</v>
      </c>
      <c r="D27" s="1127" t="e">
        <f t="shared" si="0"/>
        <v>#N/A</v>
      </c>
      <c r="E27" s="1001" t="e">
        <f>VLOOKUP($L$10,Rates!$A$10:$BR$23,65,0)</f>
        <v>#N/A</v>
      </c>
      <c r="F27" s="668"/>
      <c r="H27" s="1291"/>
      <c r="I27" s="1292"/>
      <c r="J27" s="1293"/>
      <c r="K27" s="1297"/>
      <c r="L27" s="1298"/>
      <c r="M27" s="911">
        <v>22</v>
      </c>
      <c r="N27" s="1056"/>
      <c r="P27" s="660"/>
      <c r="Q27" s="660"/>
      <c r="R27" s="662"/>
    </row>
    <row r="28" spans="1:18" s="687" customFormat="1" ht="15" thickBot="1" x14ac:dyDescent="0.4">
      <c r="A28" s="1134" t="s">
        <v>165</v>
      </c>
      <c r="B28" s="1134">
        <v>6181.71</v>
      </c>
      <c r="C28" s="1136">
        <v>6060.5</v>
      </c>
      <c r="D28" s="1128" t="e">
        <f t="shared" si="0"/>
        <v>#N/A</v>
      </c>
      <c r="E28" s="1001" t="e">
        <f>VLOOKUP($L$10,Rates!$A$10:$BR$23,66,0)</f>
        <v>#N/A</v>
      </c>
      <c r="F28" s="668"/>
      <c r="H28" s="1294"/>
      <c r="I28" s="1295"/>
      <c r="J28" s="1296"/>
      <c r="K28" s="1297"/>
      <c r="L28" s="1298"/>
      <c r="M28" s="911">
        <v>1</v>
      </c>
      <c r="N28" s="1056"/>
      <c r="P28" s="660"/>
      <c r="Q28" s="660"/>
      <c r="R28" s="662"/>
    </row>
    <row r="29" spans="1:18" x14ac:dyDescent="0.35">
      <c r="A29" s="1133" t="s">
        <v>35</v>
      </c>
      <c r="B29" s="1133">
        <v>13186.56</v>
      </c>
      <c r="C29" s="1135">
        <v>12928</v>
      </c>
      <c r="D29" s="1127" t="e">
        <f t="shared" si="0"/>
        <v>#N/A</v>
      </c>
      <c r="E29" s="1001" t="e">
        <f>VLOOKUP($L$10,Rates!$A$10:$BR$23,67,0)</f>
        <v>#N/A</v>
      </c>
      <c r="F29" s="668"/>
      <c r="H29" s="682">
        <v>5</v>
      </c>
      <c r="I29" s="683">
        <v>14110</v>
      </c>
      <c r="J29" s="1120"/>
      <c r="K29" s="680" t="e">
        <f>I29*L29</f>
        <v>#N/A</v>
      </c>
      <c r="L29" s="1001" t="e">
        <f>VLOOKUP($L$10,Rates!$A$10:$CC$23,78,0)</f>
        <v>#N/A</v>
      </c>
      <c r="M29" s="911">
        <v>3</v>
      </c>
      <c r="N29" s="1056"/>
      <c r="P29" s="660"/>
      <c r="Q29" s="660"/>
      <c r="R29" s="662"/>
    </row>
    <row r="30" spans="1:18" s="687" customFormat="1" ht="15" thickBot="1" x14ac:dyDescent="0.4">
      <c r="A30" s="1134" t="s">
        <v>166</v>
      </c>
      <c r="B30" s="1134">
        <v>6593.28</v>
      </c>
      <c r="C30" s="1136">
        <v>6464</v>
      </c>
      <c r="D30" s="1128" t="e">
        <f t="shared" si="0"/>
        <v>#N/A</v>
      </c>
      <c r="E30" s="1001" t="e">
        <f>VLOOKUP($L$10,Rates!$A$10:$BR$23,68,0)</f>
        <v>#N/A</v>
      </c>
      <c r="F30" s="668"/>
      <c r="H30" s="688" t="s">
        <v>411</v>
      </c>
      <c r="I30" s="689">
        <v>7055</v>
      </c>
      <c r="J30" s="1121"/>
      <c r="K30" s="680" t="e">
        <f>I30*L30</f>
        <v>#N/A</v>
      </c>
      <c r="L30" s="1001" t="e">
        <f>VLOOKUP($L$10,Rates!$A$10:$CC$23,79,0)</f>
        <v>#N/A</v>
      </c>
      <c r="M30" s="911">
        <v>0</v>
      </c>
      <c r="N30" s="1056"/>
      <c r="P30" s="660"/>
      <c r="Q30" s="660"/>
      <c r="R30" s="662"/>
    </row>
    <row r="31" spans="1:18" x14ac:dyDescent="0.35">
      <c r="A31" s="1133" t="s">
        <v>36</v>
      </c>
      <c r="B31" s="1133">
        <v>23077.5</v>
      </c>
      <c r="C31" s="1135">
        <v>22625</v>
      </c>
      <c r="D31" s="1127" t="e">
        <f t="shared" si="0"/>
        <v>#N/A</v>
      </c>
      <c r="E31" s="1001" t="e">
        <f>VLOOKUP($L$10,Rates!$A$10:$BR$23,69,0)</f>
        <v>#N/A</v>
      </c>
      <c r="F31" s="668"/>
      <c r="H31" s="682">
        <v>6</v>
      </c>
      <c r="I31" s="683">
        <v>24693</v>
      </c>
      <c r="J31" s="1120"/>
      <c r="K31" s="680" t="e">
        <f>I31*L31</f>
        <v>#N/A</v>
      </c>
      <c r="L31" s="1001" t="e">
        <f>VLOOKUP($L$10,Rates!$A$10:$CC$23,80,0)</f>
        <v>#N/A</v>
      </c>
      <c r="M31" s="911">
        <v>1</v>
      </c>
      <c r="N31" s="660"/>
      <c r="P31" s="660"/>
      <c r="Q31" s="660"/>
      <c r="R31" s="662"/>
    </row>
    <row r="32" spans="1:18" s="687" customFormat="1" ht="15" thickBot="1" x14ac:dyDescent="0.4">
      <c r="A32" s="1134" t="s">
        <v>167</v>
      </c>
      <c r="B32" s="1134">
        <v>11538.75</v>
      </c>
      <c r="C32" s="1136">
        <v>11312.5</v>
      </c>
      <c r="D32" s="1128" t="e">
        <f t="shared" si="0"/>
        <v>#N/A</v>
      </c>
      <c r="E32" s="1001" t="e">
        <f>VLOOKUP($L$10,Rates!$A$10:$BR$23,70,0)</f>
        <v>#N/A</v>
      </c>
      <c r="F32" s="668"/>
      <c r="H32" s="688" t="s">
        <v>412</v>
      </c>
      <c r="I32" s="689">
        <v>12346.5</v>
      </c>
      <c r="J32" s="1121"/>
      <c r="K32" s="680" t="e">
        <f>I32*L32</f>
        <v>#N/A</v>
      </c>
      <c r="L32" s="1001" t="e">
        <f>VLOOKUP($L$10,Rates!$A$10:$CC$23,81,0)</f>
        <v>#N/A</v>
      </c>
      <c r="M32" s="911">
        <v>0</v>
      </c>
      <c r="N32" s="660"/>
      <c r="P32" s="660"/>
      <c r="Q32" s="660"/>
      <c r="R32" s="662"/>
    </row>
    <row r="33" spans="1:20" ht="15" thickBot="1" x14ac:dyDescent="0.4">
      <c r="A33" s="691" t="s">
        <v>8</v>
      </c>
      <c r="B33" s="693">
        <v>39057</v>
      </c>
      <c r="C33" s="909"/>
      <c r="D33" s="1126"/>
      <c r="E33" s="1001"/>
      <c r="F33" s="668"/>
      <c r="H33" s="694" t="s">
        <v>8</v>
      </c>
      <c r="I33" s="695"/>
      <c r="J33" s="693">
        <f>Rates!G60</f>
        <v>39057</v>
      </c>
      <c r="K33" s="680"/>
      <c r="L33" s="681"/>
      <c r="M33" s="911"/>
    </row>
    <row r="34" spans="1:20" x14ac:dyDescent="0.35">
      <c r="A34" s="908"/>
      <c r="B34" s="909"/>
      <c r="C34" s="909"/>
      <c r="D34" s="680"/>
      <c r="E34" s="681"/>
      <c r="F34" s="668"/>
      <c r="H34" s="908"/>
      <c r="I34" s="909"/>
      <c r="J34" s="909"/>
      <c r="K34" s="680"/>
      <c r="L34" s="681"/>
      <c r="M34" s="911"/>
    </row>
    <row r="35" spans="1:20" x14ac:dyDescent="0.35">
      <c r="A35" s="908"/>
      <c r="B35" s="909"/>
      <c r="C35" s="909"/>
      <c r="D35" s="696" t="e">
        <f>SUM(D23:D34)</f>
        <v>#N/A</v>
      </c>
      <c r="E35" s="697" t="e">
        <f>SUM(E23:E34)-E33</f>
        <v>#N/A</v>
      </c>
      <c r="F35" s="668"/>
      <c r="H35" s="908"/>
      <c r="I35" s="909"/>
      <c r="J35" s="909"/>
      <c r="K35" s="696" t="e">
        <f>SUM(K23:K34)</f>
        <v>#N/A</v>
      </c>
      <c r="L35" s="697" t="e">
        <f>SUM(L23:L34)-L33</f>
        <v>#N/A</v>
      </c>
      <c r="M35" s="911"/>
    </row>
    <row r="36" spans="1:20" x14ac:dyDescent="0.35">
      <c r="A36" s="908"/>
      <c r="B36" s="909"/>
      <c r="C36" s="909"/>
      <c r="D36" s="680"/>
      <c r="E36" s="681"/>
      <c r="F36" s="668"/>
      <c r="H36" s="908"/>
      <c r="I36" s="909"/>
      <c r="J36" s="909"/>
      <c r="K36" s="680"/>
      <c r="L36" s="669"/>
      <c r="M36" s="911"/>
    </row>
    <row r="37" spans="1:20" x14ac:dyDescent="0.35">
      <c r="A37" s="908" t="s">
        <v>371</v>
      </c>
      <c r="B37" s="909"/>
      <c r="C37" s="909" t="s">
        <v>132</v>
      </c>
      <c r="D37" s="1122" t="e">
        <f>VLOOKUP(L10,Rates!A10:BH27,57,0)</f>
        <v>#N/A</v>
      </c>
      <c r="E37" s="681"/>
      <c r="F37" s="909"/>
      <c r="H37" s="908"/>
      <c r="I37" s="909"/>
      <c r="J37" s="909"/>
      <c r="K37" s="680"/>
      <c r="L37" s="669"/>
      <c r="M37" s="911"/>
    </row>
    <row r="38" spans="1:20" ht="15" thickBot="1" x14ac:dyDescent="0.4">
      <c r="A38" s="908" t="s">
        <v>371</v>
      </c>
      <c r="B38" s="909"/>
      <c r="C38" s="909" t="s">
        <v>372</v>
      </c>
      <c r="D38" s="1122" t="e">
        <f>VLOOKUP(L10,Rates!A10:BH27,56,0)</f>
        <v>#N/A</v>
      </c>
      <c r="E38" s="681"/>
      <c r="F38" s="909"/>
      <c r="H38" s="908"/>
      <c r="I38" s="909"/>
      <c r="J38" s="909"/>
      <c r="K38" s="680"/>
      <c r="L38" s="669"/>
      <c r="M38" s="911"/>
    </row>
    <row r="39" spans="1:20" ht="15" thickBot="1" x14ac:dyDescent="0.4">
      <c r="A39" s="908"/>
      <c r="B39" s="909"/>
      <c r="C39" s="909"/>
      <c r="D39" s="988"/>
      <c r="E39" s="970"/>
      <c r="F39" s="668"/>
      <c r="H39" s="908"/>
      <c r="I39" s="699" t="s">
        <v>195</v>
      </c>
      <c r="J39" s="1054" t="e">
        <f>VLOOKUP($L$10,Rates!$A$10:$CC$22,20,0)</f>
        <v>#N/A</v>
      </c>
      <c r="K39" s="686" t="e">
        <f>(K35)*J39</f>
        <v>#N/A</v>
      </c>
      <c r="L39" s="669"/>
    </row>
    <row r="40" spans="1:20" x14ac:dyDescent="0.35">
      <c r="A40" s="908" t="s">
        <v>195</v>
      </c>
      <c r="B40" s="909"/>
      <c r="C40" s="909"/>
      <c r="D40" s="1122" t="e">
        <f>VLOOKUP(L10,Rates!A10:BH27,58,0)</f>
        <v>#N/A</v>
      </c>
      <c r="E40" s="970"/>
      <c r="F40" s="668"/>
      <c r="H40" s="908"/>
      <c r="I40" s="909"/>
      <c r="J40" s="909"/>
      <c r="K40" s="680"/>
      <c r="L40" s="669"/>
    </row>
    <row r="41" spans="1:20" s="661" customFormat="1" x14ac:dyDescent="0.35">
      <c r="A41" s="703" t="s">
        <v>197</v>
      </c>
      <c r="B41" s="663"/>
      <c r="C41" s="663"/>
      <c r="D41" s="704" t="e">
        <f>SUM(D40+D35+D37+D38)</f>
        <v>#N/A</v>
      </c>
      <c r="E41" s="971"/>
      <c r="F41" s="706"/>
      <c r="H41" s="703" t="s">
        <v>265</v>
      </c>
      <c r="I41" s="663"/>
      <c r="J41" s="663"/>
      <c r="K41" s="704" t="e">
        <f>K35+K39</f>
        <v>#N/A</v>
      </c>
      <c r="L41" s="705"/>
    </row>
    <row r="42" spans="1:20" x14ac:dyDescent="0.35">
      <c r="A42" s="703" t="s">
        <v>196</v>
      </c>
      <c r="B42" s="663"/>
      <c r="C42" s="663"/>
      <c r="D42" s="1326" t="e">
        <f>D41/E35</f>
        <v>#N/A</v>
      </c>
      <c r="E42" s="707"/>
      <c r="F42" s="670"/>
      <c r="H42" s="908"/>
      <c r="I42" s="909"/>
      <c r="J42" s="909"/>
      <c r="K42" s="680"/>
      <c r="L42" s="707"/>
    </row>
    <row r="43" spans="1:20" s="661" customFormat="1" ht="15" thickBot="1" x14ac:dyDescent="0.4">
      <c r="A43" s="703" t="s">
        <v>418</v>
      </c>
      <c r="B43" s="663"/>
      <c r="C43" s="663"/>
      <c r="D43" s="1325" t="e">
        <f>3%*(10000+D42)</f>
        <v>#N/A</v>
      </c>
      <c r="E43" s="705"/>
      <c r="F43" s="706"/>
      <c r="H43" s="703"/>
      <c r="I43" s="663"/>
      <c r="J43" s="663"/>
      <c r="K43" s="663"/>
      <c r="L43" s="705"/>
    </row>
    <row r="44" spans="1:20" s="661" customFormat="1" ht="15" thickBot="1" x14ac:dyDescent="0.4">
      <c r="A44" s="708"/>
      <c r="B44" s="709"/>
      <c r="C44" s="709"/>
      <c r="D44" s="1055" t="e">
        <f>D42+D43</f>
        <v>#N/A</v>
      </c>
      <c r="E44" s="710"/>
      <c r="F44" s="706"/>
      <c r="H44" s="708" t="str">
        <f>A42</f>
        <v>Average Top Up Unit Value</v>
      </c>
      <c r="I44" s="709"/>
      <c r="J44" s="709"/>
      <c r="K44" s="1055" t="e">
        <f>K41/L35</f>
        <v>#N/A</v>
      </c>
      <c r="L44" s="710"/>
    </row>
    <row r="45" spans="1:20" s="661" customFormat="1" x14ac:dyDescent="0.35">
      <c r="F45" s="711"/>
      <c r="L45" s="673"/>
      <c r="M45" s="711"/>
    </row>
    <row r="46" spans="1:20" s="661" customFormat="1" x14ac:dyDescent="0.35">
      <c r="F46" s="711"/>
      <c r="H46" s="657"/>
      <c r="I46" s="657"/>
      <c r="J46" s="657"/>
      <c r="K46" s="657"/>
      <c r="L46" s="660"/>
      <c r="M46" s="711"/>
    </row>
    <row r="47" spans="1:20" s="661" customFormat="1" hidden="1" x14ac:dyDescent="0.35">
      <c r="F47" s="711"/>
      <c r="H47" s="657"/>
      <c r="I47" s="657"/>
      <c r="J47" s="657"/>
      <c r="K47" s="657"/>
      <c r="L47" s="660"/>
      <c r="M47" s="711"/>
    </row>
    <row r="48" spans="1:20" s="661" customFormat="1" ht="88.5" hidden="1" x14ac:dyDescent="0.5">
      <c r="A48" s="712" t="s">
        <v>200</v>
      </c>
      <c r="B48" s="714"/>
      <c r="C48" s="714"/>
      <c r="D48" s="713" t="e">
        <f>VLOOKUP(L10,'14-15 Budget working'!A9:AA22,27,0)</f>
        <v>#N/A</v>
      </c>
      <c r="E48" s="1192" t="str">
        <f>A10</f>
        <v>Please Enter Your School LA Number in the Box Above</v>
      </c>
      <c r="F48" s="1192"/>
      <c r="G48" s="1192"/>
      <c r="H48" s="714" t="s">
        <v>201</v>
      </c>
      <c r="I48" s="715"/>
      <c r="J48" s="715"/>
      <c r="K48" s="713" t="e">
        <f>IF(#REF!="N/A",#REF!,#REF!)</f>
        <v>#REF!</v>
      </c>
      <c r="L48" s="716"/>
      <c r="M48" s="717" t="s">
        <v>202</v>
      </c>
      <c r="N48" s="718"/>
      <c r="P48" s="719" t="s">
        <v>207</v>
      </c>
      <c r="Q48" s="719" t="s">
        <v>208</v>
      </c>
      <c r="R48" s="719" t="s">
        <v>214</v>
      </c>
      <c r="S48" s="719" t="s">
        <v>209</v>
      </c>
      <c r="T48" s="719" t="s">
        <v>210</v>
      </c>
    </row>
    <row r="49" spans="1:21" s="661" customFormat="1" hidden="1" x14ac:dyDescent="0.35">
      <c r="A49" s="703"/>
      <c r="B49" s="663"/>
      <c r="C49" s="663"/>
      <c r="D49" s="663" t="s">
        <v>205</v>
      </c>
      <c r="E49" s="663"/>
      <c r="F49" s="706"/>
      <c r="G49" s="663"/>
      <c r="H49" s="668"/>
      <c r="I49" s="668"/>
      <c r="J49" s="668"/>
      <c r="K49" s="663" t="s">
        <v>205</v>
      </c>
      <c r="L49" s="720"/>
      <c r="M49" s="706"/>
      <c r="N49" s="721"/>
      <c r="P49" s="722" t="s">
        <v>32</v>
      </c>
      <c r="Q49" s="722" t="s">
        <v>33</v>
      </c>
      <c r="R49" s="722" t="s">
        <v>34</v>
      </c>
      <c r="S49" s="722" t="s">
        <v>35</v>
      </c>
      <c r="T49" s="722" t="s">
        <v>36</v>
      </c>
    </row>
    <row r="50" spans="1:21" s="661" customFormat="1" hidden="1" x14ac:dyDescent="0.35">
      <c r="A50" s="703"/>
      <c r="B50" s="663"/>
      <c r="C50" s="663"/>
      <c r="D50" s="663"/>
      <c r="E50" s="663"/>
      <c r="F50" s="706"/>
      <c r="G50" s="663"/>
      <c r="H50" s="668"/>
      <c r="I50" s="668"/>
      <c r="J50" s="668"/>
      <c r="K50" s="668"/>
      <c r="L50" s="720"/>
      <c r="M50" s="706"/>
      <c r="N50" s="721"/>
    </row>
    <row r="51" spans="1:21" s="661" customFormat="1" hidden="1" x14ac:dyDescent="0.35">
      <c r="A51" s="678" t="s">
        <v>32</v>
      </c>
      <c r="B51" s="1124"/>
      <c r="C51" s="1124"/>
      <c r="D51" s="723" t="e">
        <f>IF($L$11="BESD",$D$48*#REF!,$D$48*#REF!)</f>
        <v>#N/A</v>
      </c>
      <c r="E51" s="723"/>
      <c r="F51" s="724"/>
      <c r="G51" s="663"/>
      <c r="H51" s="678" t="s">
        <v>32</v>
      </c>
      <c r="I51" s="683">
        <f>I23</f>
        <v>2116</v>
      </c>
      <c r="J51" s="679">
        <f>ROUND(I51*(1.15),0)</f>
        <v>2433</v>
      </c>
      <c r="K51" s="723" t="e">
        <f t="shared" ref="K51:K60" si="1">IF($L$11="BESD",$K$48*J51,$K$48*I51)</f>
        <v>#REF!</v>
      </c>
      <c r="L51" s="725"/>
      <c r="M51" s="726" t="e">
        <f>K51-D51</f>
        <v>#REF!</v>
      </c>
      <c r="N51" s="727" t="e">
        <f>M51/D51</f>
        <v>#REF!</v>
      </c>
      <c r="P51" s="666" t="e">
        <f>IF($L$11="BESD",J51-#REF!,I51-#REF!)</f>
        <v>#REF!</v>
      </c>
      <c r="Q51" s="666" t="e">
        <f>IF($L$11="BESD",D51-#REF!,D51-#REF!)</f>
        <v>#N/A</v>
      </c>
      <c r="R51" s="666" t="e">
        <f>IF($L$11="BESD",K51-J51,K51-I51)</f>
        <v>#REF!</v>
      </c>
      <c r="S51" s="666" t="e">
        <f>R51-Q51</f>
        <v>#REF!</v>
      </c>
      <c r="T51" s="666" t="e">
        <f>P51+S51</f>
        <v>#REF!</v>
      </c>
      <c r="U51" s="728" t="e">
        <f>T51/D51</f>
        <v>#REF!</v>
      </c>
    </row>
    <row r="52" spans="1:21" s="702" customFormat="1" ht="15" hidden="1" thickBot="1" x14ac:dyDescent="0.4">
      <c r="A52" s="684" t="s">
        <v>163</v>
      </c>
      <c r="B52" s="1125"/>
      <c r="C52" s="1125"/>
      <c r="D52" s="701" t="e">
        <f>IF($L$11="BESD",$D$48*#REF!,$D$48*#REF!)</f>
        <v>#N/A</v>
      </c>
      <c r="E52" s="700"/>
      <c r="F52" s="700"/>
      <c r="G52" s="700"/>
      <c r="H52" s="684" t="s">
        <v>163</v>
      </c>
      <c r="I52" s="689">
        <f>I51*0.5</f>
        <v>1058</v>
      </c>
      <c r="J52" s="685">
        <f>J51*0.5</f>
        <v>1216.5</v>
      </c>
      <c r="K52" s="701" t="e">
        <f t="shared" si="1"/>
        <v>#REF!</v>
      </c>
      <c r="L52" s="729"/>
      <c r="M52" s="730" t="e">
        <f t="shared" ref="M52:M60" si="2">K52-D52</f>
        <v>#REF!</v>
      </c>
      <c r="N52" s="731" t="e">
        <f t="shared" ref="N52:N60" si="3">M52/D52</f>
        <v>#REF!</v>
      </c>
      <c r="P52" s="666" t="e">
        <f>IF($L$11="BESD",J52-#REF!,I52-#REF!)</f>
        <v>#REF!</v>
      </c>
      <c r="Q52" s="666" t="e">
        <f>IF($L$11="BESD",D52-#REF!,D52-#REF!)</f>
        <v>#N/A</v>
      </c>
      <c r="R52" s="666" t="e">
        <f t="shared" ref="R52:R60" si="4">IF($L$11="BESD",K52-J52,K52-I52)</f>
        <v>#REF!</v>
      </c>
      <c r="S52" s="666" t="e">
        <f t="shared" ref="S52:S60" si="5">R52-Q52</f>
        <v>#REF!</v>
      </c>
      <c r="T52" s="666" t="e">
        <f t="shared" ref="T52:T60" si="6">P52+S52</f>
        <v>#REF!</v>
      </c>
      <c r="U52" s="728" t="e">
        <f t="shared" ref="U52:U60" si="7">T52/D52</f>
        <v>#REF!</v>
      </c>
    </row>
    <row r="53" spans="1:21" s="664" customFormat="1" hidden="1" x14ac:dyDescent="0.35">
      <c r="A53" s="678" t="s">
        <v>33</v>
      </c>
      <c r="B53" s="1124"/>
      <c r="C53" s="1124"/>
      <c r="D53" s="723" t="e">
        <f>IF($L$11="BESD",$D$48*#REF!,$D$48*#REF!)</f>
        <v>#N/A</v>
      </c>
      <c r="E53" s="665"/>
      <c r="F53" s="732"/>
      <c r="G53" s="665"/>
      <c r="H53" s="678" t="s">
        <v>33</v>
      </c>
      <c r="I53" s="683">
        <f>I25</f>
        <v>7938</v>
      </c>
      <c r="J53" s="679">
        <f>ROUND(I53*(1.15),0)</f>
        <v>9129</v>
      </c>
      <c r="K53" s="723" t="e">
        <f t="shared" si="1"/>
        <v>#REF!</v>
      </c>
      <c r="L53" s="725"/>
      <c r="M53" s="726" t="e">
        <f t="shared" si="2"/>
        <v>#REF!</v>
      </c>
      <c r="N53" s="727" t="e">
        <f t="shared" si="3"/>
        <v>#REF!</v>
      </c>
      <c r="P53" s="666" t="e">
        <f>IF($L$11="BESD",J53-#REF!,I53-#REF!)</f>
        <v>#REF!</v>
      </c>
      <c r="Q53" s="666" t="e">
        <f>IF($L$11="BESD",D53-#REF!,D53-#REF!)</f>
        <v>#N/A</v>
      </c>
      <c r="R53" s="666" t="e">
        <f t="shared" si="4"/>
        <v>#REF!</v>
      </c>
      <c r="S53" s="666" t="e">
        <f t="shared" si="5"/>
        <v>#REF!</v>
      </c>
      <c r="T53" s="666" t="e">
        <f t="shared" si="6"/>
        <v>#REF!</v>
      </c>
      <c r="U53" s="728" t="e">
        <f t="shared" si="7"/>
        <v>#REF!</v>
      </c>
    </row>
    <row r="54" spans="1:21" s="702" customFormat="1" ht="15" hidden="1" thickBot="1" x14ac:dyDescent="0.4">
      <c r="A54" s="684" t="s">
        <v>164</v>
      </c>
      <c r="B54" s="1125"/>
      <c r="C54" s="1125"/>
      <c r="D54" s="701" t="e">
        <f>IF($L$11="BESD",$D$48*#REF!,$D$48*#REF!)</f>
        <v>#N/A</v>
      </c>
      <c r="E54" s="700"/>
      <c r="F54" s="700"/>
      <c r="G54" s="700"/>
      <c r="H54" s="684" t="s">
        <v>164</v>
      </c>
      <c r="I54" s="689">
        <f>I53*0.5</f>
        <v>3969</v>
      </c>
      <c r="J54" s="685">
        <f>J53*0.5</f>
        <v>4564.5</v>
      </c>
      <c r="K54" s="701" t="e">
        <f t="shared" si="1"/>
        <v>#REF!</v>
      </c>
      <c r="L54" s="729"/>
      <c r="M54" s="730" t="e">
        <f t="shared" si="2"/>
        <v>#REF!</v>
      </c>
      <c r="N54" s="731" t="e">
        <f t="shared" si="3"/>
        <v>#REF!</v>
      </c>
      <c r="P54" s="666" t="e">
        <f>IF($L$11="BESD",J54-#REF!,I54-#REF!)</f>
        <v>#REF!</v>
      </c>
      <c r="Q54" s="666" t="e">
        <f>IF($L$11="BESD",D54-#REF!,D54-#REF!)</f>
        <v>#N/A</v>
      </c>
      <c r="R54" s="666" t="e">
        <f t="shared" si="4"/>
        <v>#REF!</v>
      </c>
      <c r="S54" s="666" t="e">
        <f t="shared" si="5"/>
        <v>#REF!</v>
      </c>
      <c r="T54" s="666" t="e">
        <f t="shared" si="6"/>
        <v>#REF!</v>
      </c>
      <c r="U54" s="728" t="e">
        <f t="shared" si="7"/>
        <v>#REF!</v>
      </c>
    </row>
    <row r="55" spans="1:21" s="661" customFormat="1" hidden="1" x14ac:dyDescent="0.35">
      <c r="A55" s="678" t="s">
        <v>34</v>
      </c>
      <c r="B55" s="1124"/>
      <c r="C55" s="1124"/>
      <c r="D55" s="723" t="e">
        <f>IF($L$11="BESD",$D$48*#REF!,$D$48*#REF!)</f>
        <v>#N/A</v>
      </c>
      <c r="E55" s="665"/>
      <c r="F55" s="706"/>
      <c r="G55" s="663"/>
      <c r="H55" s="678" t="s">
        <v>34</v>
      </c>
      <c r="I55" s="683">
        <f>I27</f>
        <v>0</v>
      </c>
      <c r="J55" s="679">
        <f>ROUND(I55*(1.15),0)</f>
        <v>0</v>
      </c>
      <c r="K55" s="723" t="e">
        <f t="shared" si="1"/>
        <v>#REF!</v>
      </c>
      <c r="L55" s="725"/>
      <c r="M55" s="726" t="e">
        <f t="shared" si="2"/>
        <v>#REF!</v>
      </c>
      <c r="N55" s="727" t="e">
        <f t="shared" si="3"/>
        <v>#REF!</v>
      </c>
      <c r="P55" s="666" t="e">
        <f>IF($L$11="BESD",J55-#REF!,I55-#REF!)</f>
        <v>#REF!</v>
      </c>
      <c r="Q55" s="666" t="e">
        <f>IF($L$11="BESD",D55-#REF!,D55-#REF!)</f>
        <v>#N/A</v>
      </c>
      <c r="R55" s="666" t="e">
        <f t="shared" si="4"/>
        <v>#REF!</v>
      </c>
      <c r="S55" s="666" t="e">
        <f t="shared" si="5"/>
        <v>#REF!</v>
      </c>
      <c r="T55" s="666" t="e">
        <f t="shared" si="6"/>
        <v>#REF!</v>
      </c>
      <c r="U55" s="728" t="e">
        <f t="shared" si="7"/>
        <v>#REF!</v>
      </c>
    </row>
    <row r="56" spans="1:21" s="687" customFormat="1" ht="15" hidden="1" thickBot="1" x14ac:dyDescent="0.4">
      <c r="A56" s="684" t="s">
        <v>165</v>
      </c>
      <c r="B56" s="1125"/>
      <c r="C56" s="1125"/>
      <c r="D56" s="701" t="e">
        <f>IF($L$11="BESD",$D$48*#REF!,$D$48*#REF!)</f>
        <v>#N/A</v>
      </c>
      <c r="E56" s="699"/>
      <c r="F56" s="699"/>
      <c r="G56" s="699"/>
      <c r="H56" s="684" t="s">
        <v>165</v>
      </c>
      <c r="I56" s="689">
        <f>I55*0.5</f>
        <v>0</v>
      </c>
      <c r="J56" s="685">
        <f>J55*0.5</f>
        <v>0</v>
      </c>
      <c r="K56" s="701" t="e">
        <f t="shared" si="1"/>
        <v>#REF!</v>
      </c>
      <c r="L56" s="733"/>
      <c r="M56" s="730" t="e">
        <f t="shared" si="2"/>
        <v>#REF!</v>
      </c>
      <c r="N56" s="731" t="e">
        <f t="shared" si="3"/>
        <v>#REF!</v>
      </c>
      <c r="P56" s="666" t="e">
        <f>IF($L$11="BESD",J56-#REF!,I56-#REF!)</f>
        <v>#REF!</v>
      </c>
      <c r="Q56" s="666" t="e">
        <f>IF($L$11="BESD",D56-#REF!,D56-#REF!)</f>
        <v>#N/A</v>
      </c>
      <c r="R56" s="666" t="e">
        <f t="shared" si="4"/>
        <v>#REF!</v>
      </c>
      <c r="S56" s="666" t="e">
        <f t="shared" si="5"/>
        <v>#REF!</v>
      </c>
      <c r="T56" s="666" t="e">
        <f t="shared" si="6"/>
        <v>#REF!</v>
      </c>
      <c r="U56" s="728" t="e">
        <f t="shared" si="7"/>
        <v>#REF!</v>
      </c>
    </row>
    <row r="57" spans="1:21" hidden="1" x14ac:dyDescent="0.35">
      <c r="A57" s="678" t="s">
        <v>35</v>
      </c>
      <c r="B57" s="1124"/>
      <c r="C57" s="1124"/>
      <c r="D57" s="723" t="e">
        <f>IF($L$11="BESD",$D$48*#REF!,$D$48*#REF!)</f>
        <v>#N/A</v>
      </c>
      <c r="E57" s="668"/>
      <c r="F57" s="668"/>
      <c r="G57" s="668"/>
      <c r="H57" s="678" t="s">
        <v>35</v>
      </c>
      <c r="I57" s="683">
        <f>I29</f>
        <v>14110</v>
      </c>
      <c r="J57" s="679">
        <f>ROUND(I57*(1.15),0)</f>
        <v>16227</v>
      </c>
      <c r="K57" s="723" t="e">
        <f t="shared" si="1"/>
        <v>#REF!</v>
      </c>
      <c r="L57" s="720"/>
      <c r="M57" s="726" t="e">
        <f t="shared" si="2"/>
        <v>#REF!</v>
      </c>
      <c r="N57" s="727" t="e">
        <f t="shared" si="3"/>
        <v>#REF!</v>
      </c>
      <c r="P57" s="666" t="e">
        <f>IF($L$11="BESD",J57-#REF!,I57-#REF!)</f>
        <v>#REF!</v>
      </c>
      <c r="Q57" s="666" t="e">
        <f>IF($L$11="BESD",D57-#REF!,D57-#REF!)</f>
        <v>#N/A</v>
      </c>
      <c r="R57" s="666" t="e">
        <f t="shared" si="4"/>
        <v>#REF!</v>
      </c>
      <c r="S57" s="666" t="e">
        <f t="shared" si="5"/>
        <v>#REF!</v>
      </c>
      <c r="T57" s="666" t="e">
        <f t="shared" si="6"/>
        <v>#REF!</v>
      </c>
      <c r="U57" s="728" t="e">
        <f t="shared" si="7"/>
        <v>#REF!</v>
      </c>
    </row>
    <row r="58" spans="1:21" s="687" customFormat="1" ht="15" hidden="1" thickBot="1" x14ac:dyDescent="0.4">
      <c r="A58" s="684" t="s">
        <v>166</v>
      </c>
      <c r="B58" s="1125"/>
      <c r="C58" s="1125"/>
      <c r="D58" s="701" t="e">
        <f>IF($L$11="BESD",$D$48*#REF!,$D$48*#REF!)</f>
        <v>#N/A</v>
      </c>
      <c r="E58" s="699"/>
      <c r="F58" s="699"/>
      <c r="G58" s="699"/>
      <c r="H58" s="684" t="s">
        <v>166</v>
      </c>
      <c r="I58" s="689">
        <f>I57*0.5</f>
        <v>7055</v>
      </c>
      <c r="J58" s="685">
        <f>J57*0.5</f>
        <v>8113.5</v>
      </c>
      <c r="K58" s="701" t="e">
        <f t="shared" si="1"/>
        <v>#REF!</v>
      </c>
      <c r="L58" s="733"/>
      <c r="M58" s="730" t="e">
        <f t="shared" si="2"/>
        <v>#REF!</v>
      </c>
      <c r="N58" s="731" t="e">
        <f t="shared" si="3"/>
        <v>#REF!</v>
      </c>
      <c r="P58" s="666" t="e">
        <f>IF($L$11="BESD",J58-#REF!,I58-#REF!)</f>
        <v>#REF!</v>
      </c>
      <c r="Q58" s="666" t="e">
        <f>IF($L$11="BESD",D58-#REF!,D58-#REF!)</f>
        <v>#N/A</v>
      </c>
      <c r="R58" s="666" t="e">
        <f t="shared" si="4"/>
        <v>#REF!</v>
      </c>
      <c r="S58" s="666" t="e">
        <f t="shared" si="5"/>
        <v>#REF!</v>
      </c>
      <c r="T58" s="666" t="e">
        <f t="shared" si="6"/>
        <v>#REF!</v>
      </c>
      <c r="U58" s="728" t="e">
        <f t="shared" si="7"/>
        <v>#REF!</v>
      </c>
    </row>
    <row r="59" spans="1:21" hidden="1" x14ac:dyDescent="0.35">
      <c r="A59" s="678" t="s">
        <v>36</v>
      </c>
      <c r="B59" s="1124"/>
      <c r="C59" s="1124"/>
      <c r="D59" s="723" t="e">
        <f>IF($L$11="BESD",$D$48*#REF!,$D$48*#REF!)</f>
        <v>#N/A</v>
      </c>
      <c r="E59" s="668"/>
      <c r="F59" s="668"/>
      <c r="G59" s="668"/>
      <c r="H59" s="678" t="s">
        <v>36</v>
      </c>
      <c r="I59" s="683">
        <f>I31</f>
        <v>24693</v>
      </c>
      <c r="J59" s="679">
        <f>ROUND(I59*(1.15),0)</f>
        <v>28397</v>
      </c>
      <c r="K59" s="723" t="e">
        <f t="shared" si="1"/>
        <v>#REF!</v>
      </c>
      <c r="L59" s="720"/>
      <c r="M59" s="726" t="e">
        <f t="shared" si="2"/>
        <v>#REF!</v>
      </c>
      <c r="N59" s="727" t="e">
        <f t="shared" si="3"/>
        <v>#REF!</v>
      </c>
      <c r="P59" s="666" t="e">
        <f>IF($L$11="BESD",J59-#REF!,I59-#REF!)</f>
        <v>#REF!</v>
      </c>
      <c r="Q59" s="666" t="e">
        <f>IF($L$11="BESD",D59-#REF!,D59-#REF!)</f>
        <v>#N/A</v>
      </c>
      <c r="R59" s="666" t="e">
        <f t="shared" si="4"/>
        <v>#REF!</v>
      </c>
      <c r="S59" s="666" t="e">
        <f t="shared" si="5"/>
        <v>#REF!</v>
      </c>
      <c r="T59" s="666" t="e">
        <f t="shared" si="6"/>
        <v>#REF!</v>
      </c>
      <c r="U59" s="728" t="e">
        <f t="shared" si="7"/>
        <v>#REF!</v>
      </c>
    </row>
    <row r="60" spans="1:21" s="687" customFormat="1" ht="15" hidden="1" thickBot="1" x14ac:dyDescent="0.4">
      <c r="A60" s="684" t="s">
        <v>167</v>
      </c>
      <c r="B60" s="1125"/>
      <c r="C60" s="1125"/>
      <c r="D60" s="701" t="e">
        <f>IF($L$11="BESD",$D$48*#REF!,$D$48*#REF!)</f>
        <v>#N/A</v>
      </c>
      <c r="E60" s="699"/>
      <c r="F60" s="699"/>
      <c r="G60" s="699"/>
      <c r="H60" s="684" t="s">
        <v>167</v>
      </c>
      <c r="I60" s="689">
        <f>I59*0.5</f>
        <v>12346.5</v>
      </c>
      <c r="J60" s="685">
        <f>J59*0.5</f>
        <v>14198.5</v>
      </c>
      <c r="K60" s="701" t="e">
        <f t="shared" si="1"/>
        <v>#REF!</v>
      </c>
      <c r="L60" s="733"/>
      <c r="M60" s="730" t="e">
        <f t="shared" si="2"/>
        <v>#REF!</v>
      </c>
      <c r="N60" s="731" t="e">
        <f t="shared" si="3"/>
        <v>#REF!</v>
      </c>
      <c r="P60" s="666" t="e">
        <f>IF($L$11="BESD",J60-#REF!,I60-#REF!)</f>
        <v>#REF!</v>
      </c>
      <c r="Q60" s="666" t="e">
        <f>IF($L$11="BESD",D60-#REF!,D60-#REF!)</f>
        <v>#N/A</v>
      </c>
      <c r="R60" s="666" t="e">
        <f t="shared" si="4"/>
        <v>#REF!</v>
      </c>
      <c r="S60" s="666" t="e">
        <f t="shared" si="5"/>
        <v>#REF!</v>
      </c>
      <c r="T60" s="666" t="e">
        <f t="shared" si="6"/>
        <v>#REF!</v>
      </c>
      <c r="U60" s="728" t="e">
        <f t="shared" si="7"/>
        <v>#REF!</v>
      </c>
    </row>
    <row r="61" spans="1:21" ht="15" hidden="1" thickBot="1" x14ac:dyDescent="0.4">
      <c r="A61" s="734" t="str">
        <f>IF(L10=132,"Residential","")</f>
        <v/>
      </c>
      <c r="B61" s="692"/>
      <c r="C61" s="692"/>
      <c r="D61" s="723" t="str">
        <f>IF(L10=132,D48*#REF!,"")</f>
        <v/>
      </c>
      <c r="E61" s="668"/>
      <c r="F61" s="668"/>
      <c r="G61" s="668"/>
      <c r="H61" s="734" t="str">
        <f>A61</f>
        <v/>
      </c>
      <c r="I61" s="695"/>
      <c r="J61" s="693" t="str">
        <f>IF(H61="","",J33)</f>
        <v/>
      </c>
      <c r="K61" s="723" t="str">
        <f>IF(L10=132,K48*J61,"")</f>
        <v/>
      </c>
      <c r="L61" s="720"/>
      <c r="M61" s="726" t="str">
        <f>IF(K61="","",K61-D61)</f>
        <v/>
      </c>
      <c r="N61" s="727" t="str">
        <f>IF(D61="","",M61/D61)</f>
        <v/>
      </c>
      <c r="P61" s="666" t="e">
        <f>IF(#REF!="","",J61-#REF!)</f>
        <v>#REF!</v>
      </c>
      <c r="Q61" s="666" t="e">
        <f>IF(#REF!="","",D61-#REF!)</f>
        <v>#REF!</v>
      </c>
      <c r="R61" s="666" t="e">
        <f>IF(#REF!="","",K61-J61)</f>
        <v>#REF!</v>
      </c>
      <c r="S61" s="666" t="e">
        <f>IF(#REF!="","",R61-Q61)</f>
        <v>#REF!</v>
      </c>
      <c r="T61" s="666" t="e">
        <f>IF(#REF!="","",P61+S61)</f>
        <v>#REF!</v>
      </c>
      <c r="U61" s="728" t="e">
        <f>IF(#REF!="","",T61/D61)</f>
        <v>#REF!</v>
      </c>
    </row>
    <row r="62" spans="1:21" hidden="1" x14ac:dyDescent="0.35">
      <c r="A62" s="667"/>
      <c r="B62" s="909"/>
      <c r="C62" s="909"/>
      <c r="D62" s="668"/>
      <c r="E62" s="668"/>
      <c r="F62" s="668"/>
      <c r="G62" s="668"/>
      <c r="H62" s="668"/>
      <c r="I62" s="668"/>
      <c r="J62" s="668"/>
      <c r="K62" s="668"/>
      <c r="L62" s="720"/>
      <c r="M62" s="668"/>
      <c r="N62" s="735"/>
      <c r="P62" s="736"/>
      <c r="Q62" s="736"/>
      <c r="R62" s="736"/>
      <c r="S62" s="736"/>
      <c r="T62" s="736"/>
    </row>
    <row r="63" spans="1:21" hidden="1" x14ac:dyDescent="0.35">
      <c r="A63" s="737" t="s">
        <v>204</v>
      </c>
      <c r="B63" s="738"/>
      <c r="C63" s="738"/>
      <c r="D63" s="668"/>
      <c r="E63" s="668"/>
      <c r="F63" s="668"/>
      <c r="G63" s="668"/>
      <c r="H63" s="738" t="s">
        <v>206</v>
      </c>
      <c r="I63" s="668"/>
      <c r="J63" s="668"/>
      <c r="K63" s="668"/>
      <c r="L63" s="720"/>
      <c r="M63" s="668"/>
      <c r="N63" s="735"/>
      <c r="P63" s="736"/>
      <c r="Q63" s="736"/>
      <c r="R63" s="736"/>
      <c r="S63" s="736"/>
      <c r="T63" s="736"/>
    </row>
    <row r="64" spans="1:21" hidden="1" x14ac:dyDescent="0.35">
      <c r="A64" s="667"/>
      <c r="B64" s="909"/>
      <c r="C64" s="909"/>
      <c r="D64" s="668"/>
      <c r="E64" s="668"/>
      <c r="F64" s="668"/>
      <c r="G64" s="668"/>
      <c r="H64" s="668"/>
      <c r="I64" s="668"/>
      <c r="J64" s="668"/>
      <c r="K64" s="668"/>
      <c r="L64" s="720"/>
      <c r="M64" s="668"/>
      <c r="N64" s="735"/>
      <c r="P64" s="736"/>
      <c r="Q64" s="736"/>
      <c r="R64" s="736"/>
      <c r="S64" s="736"/>
      <c r="T64" s="736"/>
    </row>
    <row r="65" spans="1:20" hidden="1" x14ac:dyDescent="0.35">
      <c r="A65" s="667"/>
      <c r="B65" s="909"/>
      <c r="C65" s="909"/>
      <c r="D65" s="739" t="e">
        <f>#REF!*D48</f>
        <v>#REF!</v>
      </c>
      <c r="E65" s="668"/>
      <c r="F65" s="668"/>
      <c r="G65" s="668"/>
      <c r="H65" s="668"/>
      <c r="I65" s="668"/>
      <c r="J65" s="668" t="e">
        <f>#REF!</f>
        <v>#REF!</v>
      </c>
      <c r="K65" s="739" t="e">
        <f>J65*K48</f>
        <v>#REF!</v>
      </c>
      <c r="L65" s="720"/>
      <c r="M65" s="739" t="e">
        <f>K65-D65</f>
        <v>#REF!</v>
      </c>
      <c r="N65" s="740" t="e">
        <f>IF(D65=0,"",M65/D65)</f>
        <v>#REF!</v>
      </c>
      <c r="P65" s="736"/>
      <c r="Q65" s="666" t="e">
        <f>D65-#REF!</f>
        <v>#REF!</v>
      </c>
      <c r="R65" s="736" t="e">
        <f>K65-J65</f>
        <v>#REF!</v>
      </c>
      <c r="S65" s="666" t="e">
        <f t="shared" ref="S65:S66" si="8">R65-Q65</f>
        <v>#REF!</v>
      </c>
      <c r="T65" s="736"/>
    </row>
    <row r="66" spans="1:20" s="687" customFormat="1" hidden="1" x14ac:dyDescent="0.35">
      <c r="A66" s="698"/>
      <c r="B66" s="699"/>
      <c r="C66" s="699"/>
      <c r="D66" s="730" t="e">
        <f>#REF!*D48</f>
        <v>#REF!</v>
      </c>
      <c r="E66" s="699"/>
      <c r="F66" s="699"/>
      <c r="G66" s="699"/>
      <c r="H66" s="699"/>
      <c r="I66" s="699"/>
      <c r="J66" s="699" t="e">
        <f>#REF!</f>
        <v>#REF!</v>
      </c>
      <c r="K66" s="730" t="e">
        <f>J66*K48</f>
        <v>#REF!</v>
      </c>
      <c r="L66" s="733"/>
      <c r="M66" s="730" t="e">
        <f>K66-D66</f>
        <v>#REF!</v>
      </c>
      <c r="N66" s="741" t="e">
        <f>IF(D66=0,"",M66/D66)</f>
        <v>#REF!</v>
      </c>
      <c r="P66" s="690"/>
      <c r="Q66" s="742" t="e">
        <f>D66-#REF!</f>
        <v>#REF!</v>
      </c>
      <c r="R66" s="690" t="e">
        <f>K66-J66</f>
        <v>#REF!</v>
      </c>
      <c r="S66" s="666" t="e">
        <f t="shared" si="8"/>
        <v>#REF!</v>
      </c>
      <c r="T66" s="690"/>
    </row>
    <row r="67" spans="1:20" hidden="1" x14ac:dyDescent="0.35">
      <c r="A67" s="667"/>
      <c r="B67" s="909"/>
      <c r="C67" s="909"/>
      <c r="D67" s="668"/>
      <c r="E67" s="668"/>
      <c r="F67" s="668"/>
      <c r="G67" s="668"/>
      <c r="H67" s="668"/>
      <c r="I67" s="668"/>
      <c r="J67" s="668"/>
      <c r="K67" s="668"/>
      <c r="L67" s="720"/>
      <c r="M67" s="668"/>
      <c r="N67" s="735"/>
      <c r="P67" s="736"/>
      <c r="Q67" s="736"/>
      <c r="R67" s="736"/>
      <c r="S67" s="736"/>
      <c r="T67" s="736"/>
    </row>
    <row r="68" spans="1:20" ht="15" hidden="1" thickBot="1" x14ac:dyDescent="0.4">
      <c r="A68" s="671"/>
      <c r="B68" s="672"/>
      <c r="C68" s="672"/>
      <c r="D68" s="672"/>
      <c r="E68" s="672"/>
      <c r="F68" s="672"/>
      <c r="G68" s="672"/>
      <c r="H68" s="672"/>
      <c r="I68" s="672"/>
      <c r="J68" s="672"/>
      <c r="K68" s="672"/>
      <c r="L68" s="743"/>
      <c r="M68" s="672"/>
      <c r="N68" s="744"/>
      <c r="P68" s="736"/>
      <c r="Q68" s="736"/>
      <c r="R68" s="736"/>
      <c r="S68" s="736"/>
      <c r="T68" s="736"/>
    </row>
    <row r="69" spans="1:20" hidden="1" x14ac:dyDescent="0.35"/>
    <row r="70" spans="1:20" hidden="1" x14ac:dyDescent="0.35"/>
    <row r="71" spans="1:20" hidden="1" x14ac:dyDescent="0.35"/>
    <row r="72" spans="1:20" hidden="1" x14ac:dyDescent="0.35">
      <c r="N72" s="657" t="e">
        <f>(#REF!*0.0714)</f>
        <v>#REF!</v>
      </c>
    </row>
    <row r="73" spans="1:20" hidden="1" x14ac:dyDescent="0.35">
      <c r="N73" s="736" t="e">
        <f>#REF!</f>
        <v>#REF!</v>
      </c>
    </row>
    <row r="74" spans="1:20" hidden="1" x14ac:dyDescent="0.35">
      <c r="N74" s="657" t="e">
        <f>SUM(N72:N73)</f>
        <v>#REF!</v>
      </c>
      <c r="P74" s="662" t="e">
        <f>P51/#REF!</f>
        <v>#REF!</v>
      </c>
    </row>
    <row r="75" spans="1:20" hidden="1" x14ac:dyDescent="0.35"/>
    <row r="76" spans="1:20" hidden="1" x14ac:dyDescent="0.35">
      <c r="N76" s="662" t="e">
        <f>N72/N73</f>
        <v>#REF!</v>
      </c>
    </row>
  </sheetData>
  <sheetProtection algorithmName="SHA-512" hashValue="2odHx3LhKiIdvpZaNXFmWF3CkGe+Wkhs++a/dgf0vbA2H7N+RIVNsgVclStTa8BD57uvT0IP6AzVOco7qAP7Wg==" saltValue="J7sa+ZqLghsc0guOVh7auA==" spinCount="100000" sheet="1" objects="1" scenarios="1"/>
  <mergeCells count="6">
    <mergeCell ref="H20:L20"/>
    <mergeCell ref="E48:G48"/>
    <mergeCell ref="H21:L21"/>
    <mergeCell ref="A10:H11"/>
    <mergeCell ref="A8:L8"/>
    <mergeCell ref="A20:E20"/>
  </mergeCells>
  <conditionalFormatting sqref="J10:K10">
    <cfRule type="expression" dxfId="0" priority="1" stopIfTrue="1">
      <formula>$M$10:$M$11=""</formula>
    </cfRule>
  </conditionalFormatting>
  <dataValidations count="1">
    <dataValidation allowBlank="1" showDropDown="1" showInputMessage="1" showErrorMessage="1" error="DfE or LA Number not recognised please re-enter" prompt="Please type your LA or DfE school number on the Budget Summary_x000a_ Sheet" sqref="L10" xr:uid="{00000000-0002-0000-0A00-000000000000}"/>
  </dataValidations>
  <printOptions horizontalCentered="1"/>
  <pageMargins left="0.23622047244094491" right="0.23622047244094491" top="0.45" bottom="0.74803149606299213" header="0.31496062992125984" footer="0.31496062992125984"/>
  <pageSetup paperSize="9" scale="56"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CC109"/>
  <sheetViews>
    <sheetView topLeftCell="BH6" zoomScale="70" zoomScaleNormal="70" workbookViewId="0">
      <selection activeCell="BQ23" sqref="BQ23"/>
    </sheetView>
  </sheetViews>
  <sheetFormatPr defaultColWidth="9.1796875" defaultRowHeight="18.5" x14ac:dyDescent="0.45"/>
  <cols>
    <col min="1" max="4" width="9.1796875" style="65"/>
    <col min="5" max="5" width="46.7265625" style="65" customWidth="1"/>
    <col min="6" max="6" width="18.1796875" style="65" customWidth="1"/>
    <col min="7" max="7" width="13.81640625" style="65" customWidth="1"/>
    <col min="8" max="11" width="9.7265625" style="65" customWidth="1"/>
    <col min="12" max="12" width="11.1796875" style="65" customWidth="1"/>
    <col min="13" max="15" width="9.7265625" style="65" customWidth="1"/>
    <col min="16" max="18" width="9.1796875" style="65" customWidth="1"/>
    <col min="19" max="21" width="18.7265625" style="65" customWidth="1"/>
    <col min="22" max="22" width="17.453125" style="65" customWidth="1"/>
    <col min="23" max="23" width="19.54296875" style="65" customWidth="1"/>
    <col min="24" max="24" width="9.1796875" style="65" customWidth="1"/>
    <col min="25" max="25" width="12" style="65" customWidth="1"/>
    <col min="26" max="33" width="9.1796875" style="65" customWidth="1"/>
    <col min="34" max="34" width="22.453125" style="65" customWidth="1"/>
    <col min="35" max="44" width="9.1796875" style="65" customWidth="1"/>
    <col min="45" max="45" width="5.453125" style="65" customWidth="1"/>
    <col min="46" max="55" width="9.1796875" style="65" customWidth="1"/>
    <col min="56" max="56" width="10" style="65" customWidth="1"/>
    <col min="57" max="57" width="9.1796875" style="65" customWidth="1"/>
    <col min="58" max="59" width="10.7265625" style="65" customWidth="1"/>
    <col min="60" max="60" width="28.7265625" style="65" bestFit="1" customWidth="1"/>
    <col min="61" max="16384" width="9.1796875" style="65"/>
  </cols>
  <sheetData>
    <row r="1" spans="1:81" x14ac:dyDescent="0.45">
      <c r="E1" s="64" t="s">
        <v>74</v>
      </c>
      <c r="F1" s="64"/>
    </row>
    <row r="2" spans="1:81" s="93" customFormat="1" x14ac:dyDescent="0.45">
      <c r="A2" s="93">
        <v>1</v>
      </c>
      <c r="B2" s="93">
        <v>2</v>
      </c>
      <c r="C2" s="93">
        <v>3</v>
      </c>
      <c r="D2" s="93">
        <v>4</v>
      </c>
      <c r="E2" s="93">
        <v>5</v>
      </c>
      <c r="F2" s="93">
        <v>6</v>
      </c>
      <c r="G2" s="891">
        <v>7</v>
      </c>
      <c r="H2" s="891">
        <v>8</v>
      </c>
      <c r="I2" s="891">
        <v>9</v>
      </c>
      <c r="J2" s="891">
        <v>10</v>
      </c>
      <c r="K2" s="891">
        <v>11</v>
      </c>
      <c r="L2" s="891">
        <v>12</v>
      </c>
      <c r="M2" s="93">
        <v>13</v>
      </c>
      <c r="N2" s="93">
        <v>14</v>
      </c>
      <c r="O2" s="93">
        <v>15</v>
      </c>
      <c r="P2" s="93">
        <v>16</v>
      </c>
      <c r="Q2" s="93">
        <v>17</v>
      </c>
      <c r="R2" s="93">
        <v>18</v>
      </c>
      <c r="S2" s="93">
        <v>19</v>
      </c>
      <c r="T2" s="93">
        <v>20</v>
      </c>
      <c r="U2" s="93">
        <v>21</v>
      </c>
      <c r="V2" s="93">
        <v>22</v>
      </c>
      <c r="W2" s="93">
        <v>23</v>
      </c>
      <c r="X2" s="93">
        <v>24</v>
      </c>
      <c r="Y2" s="93">
        <v>25</v>
      </c>
      <c r="Z2" s="93">
        <v>26</v>
      </c>
      <c r="AA2" s="93">
        <v>27</v>
      </c>
      <c r="AB2" s="93">
        <v>28</v>
      </c>
      <c r="AC2" s="93">
        <v>29</v>
      </c>
      <c r="AD2" s="93">
        <v>30</v>
      </c>
      <c r="AE2" s="93">
        <v>31</v>
      </c>
      <c r="AF2" s="93">
        <v>32</v>
      </c>
      <c r="AG2" s="93">
        <v>33</v>
      </c>
      <c r="AH2" s="93">
        <v>34</v>
      </c>
      <c r="AI2" s="93">
        <v>35</v>
      </c>
      <c r="AJ2" s="93">
        <v>36</v>
      </c>
      <c r="AK2" s="93">
        <v>37</v>
      </c>
      <c r="AL2" s="93">
        <v>38</v>
      </c>
      <c r="AM2" s="93">
        <v>39</v>
      </c>
      <c r="AN2" s="93">
        <v>40</v>
      </c>
      <c r="AO2" s="93">
        <v>41</v>
      </c>
      <c r="AP2" s="93">
        <v>42</v>
      </c>
      <c r="AQ2" s="93">
        <v>43</v>
      </c>
      <c r="AR2" s="93">
        <v>44</v>
      </c>
      <c r="AS2" s="93">
        <v>45</v>
      </c>
      <c r="AT2" s="93">
        <v>46</v>
      </c>
      <c r="AU2" s="93">
        <v>47</v>
      </c>
      <c r="AV2" s="93">
        <v>48</v>
      </c>
      <c r="AW2" s="93">
        <v>49</v>
      </c>
      <c r="AX2" s="93">
        <v>50</v>
      </c>
      <c r="AY2" s="93">
        <v>51</v>
      </c>
      <c r="AZ2" s="93">
        <v>52</v>
      </c>
      <c r="BA2" s="93">
        <v>53</v>
      </c>
      <c r="BB2" s="93">
        <v>54</v>
      </c>
      <c r="BC2" s="93">
        <v>55</v>
      </c>
      <c r="BD2" s="93">
        <v>56</v>
      </c>
      <c r="BE2" s="93">
        <v>57</v>
      </c>
      <c r="BF2" s="93">
        <v>58</v>
      </c>
      <c r="BG2" s="93">
        <v>59</v>
      </c>
      <c r="BH2" s="93">
        <v>60</v>
      </c>
      <c r="BI2" s="93">
        <v>61</v>
      </c>
      <c r="BJ2" s="93">
        <v>62</v>
      </c>
      <c r="BK2" s="93">
        <v>63</v>
      </c>
      <c r="BL2" s="93">
        <v>64</v>
      </c>
      <c r="BM2" s="93">
        <v>65</v>
      </c>
      <c r="BN2" s="93">
        <v>66</v>
      </c>
      <c r="BO2" s="93">
        <v>67</v>
      </c>
      <c r="BP2" s="93">
        <v>68</v>
      </c>
      <c r="BQ2" s="93">
        <v>69</v>
      </c>
      <c r="BR2" s="93">
        <v>70</v>
      </c>
      <c r="BS2" s="93">
        <v>71</v>
      </c>
      <c r="BT2" s="93">
        <v>72</v>
      </c>
      <c r="BU2" s="93">
        <v>73</v>
      </c>
      <c r="BV2" s="93">
        <v>74</v>
      </c>
      <c r="BW2" s="93">
        <v>75</v>
      </c>
      <c r="BX2" s="93">
        <v>76</v>
      </c>
      <c r="BY2" s="93">
        <v>77</v>
      </c>
      <c r="BZ2" s="93">
        <v>78</v>
      </c>
      <c r="CA2" s="93">
        <v>79</v>
      </c>
      <c r="CB2" s="93">
        <v>80</v>
      </c>
      <c r="CC2" s="93">
        <v>81</v>
      </c>
    </row>
    <row r="3" spans="1:81" x14ac:dyDescent="0.45">
      <c r="E3" s="64"/>
      <c r="F3" s="64"/>
      <c r="G3" s="1057" t="s">
        <v>77</v>
      </c>
      <c r="H3" s="1301">
        <v>2116</v>
      </c>
      <c r="I3" s="1301">
        <v>7938</v>
      </c>
      <c r="J3" s="1301"/>
      <c r="K3" s="1301">
        <v>14110</v>
      </c>
      <c r="L3" s="1301">
        <v>24963</v>
      </c>
      <c r="M3" s="875"/>
    </row>
    <row r="4" spans="1:81" x14ac:dyDescent="0.45">
      <c r="E4" s="64"/>
      <c r="F4" s="64"/>
      <c r="G4" s="1057" t="s">
        <v>131</v>
      </c>
      <c r="H4" s="1302">
        <f>H3/2</f>
        <v>1058</v>
      </c>
      <c r="I4" s="1302">
        <f t="shared" ref="I4:L4" si="0">I3/2</f>
        <v>3969</v>
      </c>
      <c r="J4" s="1302"/>
      <c r="K4" s="1302">
        <f t="shared" si="0"/>
        <v>7055</v>
      </c>
      <c r="L4" s="1302">
        <f t="shared" si="0"/>
        <v>12481.5</v>
      </c>
      <c r="M4" s="875"/>
    </row>
    <row r="5" spans="1:81" x14ac:dyDescent="0.45">
      <c r="E5" s="79"/>
      <c r="F5" s="892"/>
      <c r="G5" s="1057" t="s">
        <v>78</v>
      </c>
      <c r="H5" s="1301">
        <v>2116</v>
      </c>
      <c r="I5" s="1301">
        <v>7938</v>
      </c>
      <c r="J5" s="1301"/>
      <c r="K5" s="1301">
        <v>14110</v>
      </c>
      <c r="L5" s="1301">
        <v>24963</v>
      </c>
      <c r="M5" s="1058">
        <f>G60</f>
        <v>39057</v>
      </c>
      <c r="N5" s="155"/>
      <c r="O5" s="155">
        <v>13</v>
      </c>
      <c r="P5" s="155">
        <v>29</v>
      </c>
      <c r="Q5" s="155">
        <v>15</v>
      </c>
      <c r="R5" s="155">
        <v>7</v>
      </c>
      <c r="S5" s="96">
        <v>5</v>
      </c>
      <c r="T5" s="96"/>
      <c r="U5" s="96"/>
    </row>
    <row r="6" spans="1:81" x14ac:dyDescent="0.45">
      <c r="E6" s="79"/>
      <c r="F6" s="892"/>
      <c r="G6" s="1057" t="s">
        <v>131</v>
      </c>
      <c r="H6" s="1302">
        <f>H5/2</f>
        <v>1058</v>
      </c>
      <c r="I6" s="1302">
        <f t="shared" ref="I6:L6" si="1">I5/2</f>
        <v>3969</v>
      </c>
      <c r="J6" s="1302"/>
      <c r="K6" s="1302">
        <f t="shared" si="1"/>
        <v>7055</v>
      </c>
      <c r="L6" s="1302">
        <f t="shared" si="1"/>
        <v>12481.5</v>
      </c>
      <c r="M6" s="875"/>
      <c r="N6" s="155"/>
      <c r="O6" s="155"/>
      <c r="P6" s="155"/>
      <c r="Q6" s="155"/>
      <c r="R6" s="155"/>
      <c r="S6" s="96"/>
      <c r="T6" s="96"/>
      <c r="U6" s="96"/>
    </row>
    <row r="7" spans="1:81" ht="19.5" customHeight="1" thickBot="1" x14ac:dyDescent="0.5">
      <c r="E7" s="64"/>
      <c r="F7" s="64"/>
      <c r="H7" s="893"/>
      <c r="I7" s="893"/>
      <c r="J7" s="893"/>
      <c r="K7" s="893"/>
      <c r="L7" s="893"/>
      <c r="M7" s="893"/>
      <c r="N7" s="893"/>
      <c r="O7" s="893"/>
      <c r="P7" s="893"/>
      <c r="Q7" s="893"/>
      <c r="V7" s="155"/>
      <c r="BD7" s="1210" t="s">
        <v>366</v>
      </c>
      <c r="BE7" s="1210"/>
      <c r="BF7" s="1210"/>
      <c r="BI7" s="1205" t="s">
        <v>368</v>
      </c>
      <c r="BJ7" s="1205"/>
      <c r="BK7" s="1205"/>
      <c r="BL7" s="1205"/>
      <c r="BM7" s="1205"/>
      <c r="BN7" s="1205"/>
      <c r="BO7" s="1205"/>
      <c r="BP7" s="1205"/>
      <c r="BQ7" s="1205"/>
      <c r="BR7" s="1205"/>
      <c r="BS7" s="93"/>
      <c r="BT7" s="1205" t="s">
        <v>369</v>
      </c>
      <c r="BU7" s="1205"/>
      <c r="BV7" s="1205"/>
      <c r="BW7" s="1205"/>
      <c r="BX7" s="1205"/>
      <c r="BY7" s="1205"/>
      <c r="BZ7" s="1205"/>
      <c r="CA7" s="1205"/>
      <c r="CB7" s="1205"/>
      <c r="CC7" s="1205"/>
    </row>
    <row r="8" spans="1:81" ht="18.75" customHeight="1" thickBot="1" x14ac:dyDescent="0.5">
      <c r="E8" s="66"/>
      <c r="F8" s="1299" t="s">
        <v>413</v>
      </c>
      <c r="G8" s="1227" t="s">
        <v>79</v>
      </c>
      <c r="H8" s="1219" t="s">
        <v>416</v>
      </c>
      <c r="I8" s="1219"/>
      <c r="J8" s="1220"/>
      <c r="K8" s="1220"/>
      <c r="L8" s="1220"/>
      <c r="M8" s="1220"/>
      <c r="N8" s="1220"/>
      <c r="O8" s="1220"/>
      <c r="P8" s="1220"/>
      <c r="Q8" s="149"/>
      <c r="R8" s="326"/>
      <c r="S8" s="1222" t="s">
        <v>91</v>
      </c>
      <c r="T8" s="1222" t="s">
        <v>92</v>
      </c>
      <c r="U8" s="1225" t="s">
        <v>93</v>
      </c>
      <c r="V8" s="1221" t="s">
        <v>90</v>
      </c>
      <c r="W8" s="1303" t="s">
        <v>365</v>
      </c>
      <c r="X8" s="1310" t="s">
        <v>415</v>
      </c>
      <c r="Y8" s="1310"/>
      <c r="Z8" s="1311"/>
      <c r="AA8" s="1311"/>
      <c r="AB8" s="1311"/>
      <c r="AC8" s="1311"/>
      <c r="AD8" s="1311"/>
      <c r="AE8" s="1311"/>
      <c r="AF8" s="1311"/>
      <c r="AG8" s="902"/>
      <c r="AH8" s="1308" t="s">
        <v>414</v>
      </c>
      <c r="AI8" s="1217" t="s">
        <v>325</v>
      </c>
      <c r="AJ8" s="1217"/>
      <c r="AK8" s="1218"/>
      <c r="AL8" s="1218"/>
      <c r="AM8" s="1218"/>
      <c r="AN8" s="1218"/>
      <c r="AO8" s="1218"/>
      <c r="AP8" s="1218"/>
      <c r="AQ8" s="1218"/>
      <c r="AR8" s="902"/>
      <c r="AS8" s="953"/>
      <c r="AT8" s="1217" t="s">
        <v>354</v>
      </c>
      <c r="AU8" s="1217"/>
      <c r="AV8" s="1218"/>
      <c r="AW8" s="1218"/>
      <c r="AX8" s="1218"/>
      <c r="AY8" s="1218"/>
      <c r="AZ8" s="1218"/>
      <c r="BA8" s="1218"/>
      <c r="BB8" s="1218"/>
      <c r="BC8" s="902"/>
      <c r="BD8" s="1211" t="s">
        <v>91</v>
      </c>
      <c r="BE8" s="1212"/>
      <c r="BF8" s="1208" t="s">
        <v>195</v>
      </c>
      <c r="BG8" s="1208" t="s">
        <v>198</v>
      </c>
      <c r="BI8" s="1206" t="s">
        <v>356</v>
      </c>
      <c r="BJ8" s="1207"/>
      <c r="BK8" s="1207"/>
      <c r="BL8" s="1207"/>
      <c r="BM8" s="1207"/>
      <c r="BN8" s="1207"/>
      <c r="BO8" s="1207"/>
      <c r="BP8" s="1207"/>
      <c r="BQ8" s="1207"/>
      <c r="BR8" s="1207"/>
      <c r="BS8" s="983"/>
      <c r="BT8" s="1206" t="s">
        <v>356</v>
      </c>
      <c r="BU8" s="1207"/>
      <c r="BV8" s="1207"/>
      <c r="BW8" s="1207"/>
      <c r="BX8" s="1207"/>
      <c r="BY8" s="1207"/>
      <c r="BZ8" s="1207"/>
      <c r="CA8" s="1207"/>
      <c r="CB8" s="1207"/>
      <c r="CC8" s="1207"/>
    </row>
    <row r="9" spans="1:81" ht="18.75" customHeight="1" thickBot="1" x14ac:dyDescent="0.5">
      <c r="A9" s="65" t="s">
        <v>75</v>
      </c>
      <c r="B9" s="65" t="s">
        <v>76</v>
      </c>
      <c r="E9" s="80" t="s">
        <v>11</v>
      </c>
      <c r="F9" s="1300"/>
      <c r="G9" s="1228"/>
      <c r="H9" s="151" t="s">
        <v>32</v>
      </c>
      <c r="I9" s="152" t="s">
        <v>132</v>
      </c>
      <c r="J9" s="151" t="s">
        <v>33</v>
      </c>
      <c r="K9" s="152" t="s">
        <v>132</v>
      </c>
      <c r="L9" s="151" t="s">
        <v>34</v>
      </c>
      <c r="M9" s="152" t="s">
        <v>132</v>
      </c>
      <c r="N9" s="153" t="s">
        <v>35</v>
      </c>
      <c r="O9" s="154" t="s">
        <v>132</v>
      </c>
      <c r="P9" s="153" t="s">
        <v>36</v>
      </c>
      <c r="Q9" s="154" t="s">
        <v>132</v>
      </c>
      <c r="R9" s="390" t="s">
        <v>8</v>
      </c>
      <c r="S9" s="1223"/>
      <c r="T9" s="1224"/>
      <c r="U9" s="1226"/>
      <c r="V9" s="1221"/>
      <c r="W9" s="1303"/>
      <c r="X9" s="897" t="s">
        <v>32</v>
      </c>
      <c r="Y9" s="898" t="s">
        <v>132</v>
      </c>
      <c r="Z9" s="897" t="s">
        <v>33</v>
      </c>
      <c r="AA9" s="898" t="s">
        <v>132</v>
      </c>
      <c r="AB9" s="897" t="s">
        <v>34</v>
      </c>
      <c r="AC9" s="898" t="s">
        <v>132</v>
      </c>
      <c r="AD9" s="899" t="s">
        <v>35</v>
      </c>
      <c r="AE9" s="900" t="s">
        <v>132</v>
      </c>
      <c r="AF9" s="899" t="s">
        <v>36</v>
      </c>
      <c r="AG9" s="903" t="s">
        <v>132</v>
      </c>
      <c r="AH9" s="1309"/>
      <c r="AI9" s="897" t="s">
        <v>32</v>
      </c>
      <c r="AJ9" s="898" t="s">
        <v>132</v>
      </c>
      <c r="AK9" s="897" t="s">
        <v>33</v>
      </c>
      <c r="AL9" s="898" t="s">
        <v>132</v>
      </c>
      <c r="AM9" s="897" t="s">
        <v>34</v>
      </c>
      <c r="AN9" s="898" t="s">
        <v>132</v>
      </c>
      <c r="AO9" s="899" t="s">
        <v>35</v>
      </c>
      <c r="AP9" s="900" t="s">
        <v>132</v>
      </c>
      <c r="AQ9" s="899" t="s">
        <v>36</v>
      </c>
      <c r="AR9" s="903" t="s">
        <v>132</v>
      </c>
      <c r="AS9" s="954"/>
      <c r="AT9" s="897" t="s">
        <v>32</v>
      </c>
      <c r="AU9" s="898" t="s">
        <v>132</v>
      </c>
      <c r="AV9" s="897" t="s">
        <v>33</v>
      </c>
      <c r="AW9" s="898" t="s">
        <v>132</v>
      </c>
      <c r="AX9" s="897" t="s">
        <v>34</v>
      </c>
      <c r="AY9" s="898" t="s">
        <v>132</v>
      </c>
      <c r="AZ9" s="899" t="s">
        <v>35</v>
      </c>
      <c r="BA9" s="900" t="s">
        <v>132</v>
      </c>
      <c r="BB9" s="899" t="s">
        <v>36</v>
      </c>
      <c r="BC9" s="903" t="s">
        <v>132</v>
      </c>
      <c r="BD9" s="965" t="s">
        <v>355</v>
      </c>
      <c r="BE9" s="966" t="s">
        <v>132</v>
      </c>
      <c r="BF9" s="1209"/>
      <c r="BG9" s="1209"/>
      <c r="BI9" s="978" t="s">
        <v>32</v>
      </c>
      <c r="BJ9" s="979" t="s">
        <v>132</v>
      </c>
      <c r="BK9" s="978" t="s">
        <v>33</v>
      </c>
      <c r="BL9" s="979" t="s">
        <v>132</v>
      </c>
      <c r="BM9" s="978" t="s">
        <v>34</v>
      </c>
      <c r="BN9" s="979" t="s">
        <v>132</v>
      </c>
      <c r="BO9" s="980" t="s">
        <v>35</v>
      </c>
      <c r="BP9" s="981" t="s">
        <v>132</v>
      </c>
      <c r="BQ9" s="980" t="s">
        <v>36</v>
      </c>
      <c r="BR9" s="982" t="s">
        <v>132</v>
      </c>
      <c r="BS9" s="984"/>
      <c r="BT9" s="978" t="s">
        <v>32</v>
      </c>
      <c r="BU9" s="979" t="s">
        <v>132</v>
      </c>
      <c r="BV9" s="978" t="s">
        <v>33</v>
      </c>
      <c r="BW9" s="979" t="s">
        <v>132</v>
      </c>
      <c r="BX9" s="978" t="s">
        <v>34</v>
      </c>
      <c r="BY9" s="979" t="s">
        <v>132</v>
      </c>
      <c r="BZ9" s="980" t="s">
        <v>35</v>
      </c>
      <c r="CA9" s="981" t="s">
        <v>132</v>
      </c>
      <c r="CB9" s="980" t="s">
        <v>36</v>
      </c>
      <c r="CC9" s="982" t="s">
        <v>132</v>
      </c>
    </row>
    <row r="10" spans="1:81" ht="21.5" thickBot="1" x14ac:dyDescent="0.5">
      <c r="A10" s="77">
        <v>125</v>
      </c>
      <c r="B10" s="77">
        <v>7019</v>
      </c>
      <c r="C10" s="72"/>
      <c r="D10" s="72"/>
      <c r="E10" s="927" t="s">
        <v>12</v>
      </c>
      <c r="F10" s="1304">
        <v>220</v>
      </c>
      <c r="G10" s="1312">
        <v>221</v>
      </c>
      <c r="H10" s="1313">
        <v>44</v>
      </c>
      <c r="I10" s="1314">
        <v>0</v>
      </c>
      <c r="J10" s="1313">
        <v>81</v>
      </c>
      <c r="K10" s="1314">
        <v>0</v>
      </c>
      <c r="L10" s="1313"/>
      <c r="M10" s="1314">
        <v>0</v>
      </c>
      <c r="N10" s="1313">
        <v>51</v>
      </c>
      <c r="O10" s="1314">
        <v>0</v>
      </c>
      <c r="P10" s="1313">
        <v>5</v>
      </c>
      <c r="Q10" s="1059">
        <v>0</v>
      </c>
      <c r="R10" s="391"/>
      <c r="S10" s="1098"/>
      <c r="T10" s="1324">
        <v>1.6899999999999998E-2</v>
      </c>
      <c r="U10" s="1068"/>
      <c r="V10" s="1324">
        <v>1.0168999999999999</v>
      </c>
      <c r="W10" s="1306">
        <v>220</v>
      </c>
      <c r="X10" s="1328"/>
      <c r="Y10" s="1329"/>
      <c r="Z10" s="1328">
        <v>1</v>
      </c>
      <c r="AA10" s="1329"/>
      <c r="AB10" s="1328"/>
      <c r="AC10" s="1329"/>
      <c r="AD10" s="1328"/>
      <c r="AE10" s="1329"/>
      <c r="AF10" s="1328"/>
      <c r="AG10" s="1337"/>
      <c r="AH10" s="1335">
        <v>1</v>
      </c>
      <c r="AI10" s="1328">
        <f t="shared" ref="AI10:AI11" si="2">X10+H10</f>
        <v>44</v>
      </c>
      <c r="AJ10" s="1328">
        <f t="shared" ref="AJ10:AJ11" si="3">Y10+I10</f>
        <v>0</v>
      </c>
      <c r="AK10" s="1328">
        <f t="shared" ref="AK10:AK11" si="4">Z10+J10</f>
        <v>82</v>
      </c>
      <c r="AL10" s="1328">
        <f t="shared" ref="AL10:AL11" si="5">AA10+K10</f>
        <v>0</v>
      </c>
      <c r="AM10" s="1328">
        <f t="shared" ref="AM10:AM11" si="6">AB10+L10</f>
        <v>0</v>
      </c>
      <c r="AN10" s="1328">
        <f t="shared" ref="AN10:AN11" si="7">AC10+M10</f>
        <v>0</v>
      </c>
      <c r="AO10" s="1328">
        <f t="shared" ref="AO10:AO11" si="8">AD10+N10</f>
        <v>51</v>
      </c>
      <c r="AP10" s="1328">
        <f t="shared" ref="AP10:AP11" si="9">AE10+O10</f>
        <v>0</v>
      </c>
      <c r="AQ10" s="1328">
        <f t="shared" ref="AQ10:AQ11" si="10">AF10+P10</f>
        <v>5</v>
      </c>
      <c r="AR10" s="1328">
        <f t="shared" ref="AR10:AR11" si="11">AG10+Q10</f>
        <v>0</v>
      </c>
      <c r="AS10" s="955"/>
      <c r="AT10" s="1313">
        <v>8</v>
      </c>
      <c r="AU10" s="1313"/>
      <c r="AV10" s="1313">
        <v>17</v>
      </c>
      <c r="AW10" s="1313"/>
      <c r="AX10" s="1313"/>
      <c r="AY10" s="1313"/>
      <c r="AZ10" s="1313">
        <v>13</v>
      </c>
      <c r="BA10" s="1313"/>
      <c r="BB10" s="1313">
        <v>1</v>
      </c>
      <c r="BC10" s="1315"/>
      <c r="BD10" s="1316">
        <v>0</v>
      </c>
      <c r="BE10" s="1317">
        <v>0</v>
      </c>
      <c r="BF10" s="1318">
        <v>113180.94951830799</v>
      </c>
      <c r="BG10" s="1318">
        <v>0</v>
      </c>
      <c r="BH10" s="972" t="s">
        <v>12</v>
      </c>
      <c r="BI10" s="1319">
        <v>62</v>
      </c>
      <c r="BJ10" s="1320">
        <v>0</v>
      </c>
      <c r="BK10" s="1319">
        <v>72</v>
      </c>
      <c r="BL10" s="1320">
        <v>0</v>
      </c>
      <c r="BM10" s="1319">
        <v>41</v>
      </c>
      <c r="BN10" s="1320">
        <v>0</v>
      </c>
      <c r="BO10" s="1319">
        <v>12</v>
      </c>
      <c r="BP10" s="1320">
        <v>0</v>
      </c>
      <c r="BQ10" s="1319">
        <v>9</v>
      </c>
      <c r="BR10" s="1321">
        <v>0</v>
      </c>
      <c r="BS10" s="985"/>
      <c r="BT10" s="1322">
        <f>AI10</f>
        <v>44</v>
      </c>
      <c r="BU10" s="1320">
        <v>0</v>
      </c>
      <c r="BV10" s="1323">
        <f>AK10</f>
        <v>82</v>
      </c>
      <c r="BW10" s="1320">
        <v>0</v>
      </c>
      <c r="BX10" s="1323">
        <f>AM10</f>
        <v>0</v>
      </c>
      <c r="BY10" s="1320">
        <v>0</v>
      </c>
      <c r="BZ10" s="1323">
        <f>+AO10</f>
        <v>51</v>
      </c>
      <c r="CA10" s="1320">
        <v>0</v>
      </c>
      <c r="CB10" s="1323">
        <f>AQ10</f>
        <v>5</v>
      </c>
      <c r="CC10" s="1321">
        <v>0</v>
      </c>
    </row>
    <row r="11" spans="1:81" ht="21.5" thickBot="1" x14ac:dyDescent="0.5">
      <c r="A11" s="78">
        <v>126</v>
      </c>
      <c r="B11" s="78">
        <v>7008</v>
      </c>
      <c r="C11" s="75" t="s">
        <v>7</v>
      </c>
      <c r="D11" s="75"/>
      <c r="E11" s="928" t="s">
        <v>13</v>
      </c>
      <c r="F11" s="1304">
        <v>65</v>
      </c>
      <c r="G11" s="1327">
        <v>59</v>
      </c>
      <c r="H11" s="1328">
        <v>2</v>
      </c>
      <c r="I11" s="1329">
        <v>0</v>
      </c>
      <c r="J11" s="1328">
        <v>6</v>
      </c>
      <c r="K11" s="1329">
        <v>0</v>
      </c>
      <c r="L11" s="1328"/>
      <c r="M11" s="1329">
        <v>0</v>
      </c>
      <c r="N11" s="1328">
        <f>29+13</f>
        <v>42</v>
      </c>
      <c r="O11" s="1329">
        <v>0</v>
      </c>
      <c r="P11" s="1328">
        <v>9</v>
      </c>
      <c r="Q11" s="1329">
        <v>0</v>
      </c>
      <c r="R11" s="391"/>
      <c r="S11" s="1098"/>
      <c r="T11" s="1336"/>
      <c r="U11" s="1336"/>
      <c r="V11" s="1336"/>
      <c r="W11" s="1306">
        <v>65</v>
      </c>
      <c r="X11" s="1328"/>
      <c r="Y11" s="1329"/>
      <c r="Z11" s="1328"/>
      <c r="AA11" s="1329"/>
      <c r="AB11" s="1328"/>
      <c r="AC11" s="1329"/>
      <c r="AD11" s="1328"/>
      <c r="AE11" s="1329"/>
      <c r="AF11" s="1328"/>
      <c r="AG11" s="1337"/>
      <c r="AH11" s="1335"/>
      <c r="AI11" s="1328">
        <f t="shared" si="2"/>
        <v>2</v>
      </c>
      <c r="AJ11" s="1328">
        <f t="shared" si="3"/>
        <v>0</v>
      </c>
      <c r="AK11" s="1328">
        <f t="shared" si="4"/>
        <v>6</v>
      </c>
      <c r="AL11" s="1328">
        <f t="shared" si="5"/>
        <v>0</v>
      </c>
      <c r="AM11" s="1328">
        <f t="shared" si="6"/>
        <v>0</v>
      </c>
      <c r="AN11" s="1328">
        <f t="shared" si="7"/>
        <v>0</v>
      </c>
      <c r="AO11" s="1328">
        <f t="shared" si="8"/>
        <v>42</v>
      </c>
      <c r="AP11" s="1328">
        <f t="shared" si="9"/>
        <v>0</v>
      </c>
      <c r="AQ11" s="1328">
        <f t="shared" si="10"/>
        <v>9</v>
      </c>
      <c r="AR11" s="1328">
        <f t="shared" si="11"/>
        <v>0</v>
      </c>
      <c r="AS11" s="955"/>
      <c r="AT11" s="1328"/>
      <c r="AU11" s="1328"/>
      <c r="AV11" s="1328"/>
      <c r="AW11" s="1328"/>
      <c r="AX11" s="1328"/>
      <c r="AY11" s="1328"/>
      <c r="AZ11" s="1328"/>
      <c r="BA11" s="1328"/>
      <c r="BB11" s="1328"/>
      <c r="BC11" s="1333"/>
      <c r="BD11" s="1334">
        <v>68103.797260273976</v>
      </c>
      <c r="BE11" s="1332">
        <v>0</v>
      </c>
      <c r="BF11" s="1335">
        <v>13370.165734849314</v>
      </c>
      <c r="BG11" s="1335">
        <v>0</v>
      </c>
      <c r="BH11" s="973" t="s">
        <v>13</v>
      </c>
      <c r="BI11" s="1330">
        <v>6</v>
      </c>
      <c r="BJ11" s="1331">
        <v>0</v>
      </c>
      <c r="BK11" s="1330">
        <v>14</v>
      </c>
      <c r="BL11" s="1331">
        <v>0</v>
      </c>
      <c r="BM11" s="1330">
        <v>22</v>
      </c>
      <c r="BN11" s="1331">
        <v>0</v>
      </c>
      <c r="BO11" s="1330">
        <v>9</v>
      </c>
      <c r="BP11" s="1331">
        <v>0</v>
      </c>
      <c r="BQ11" s="1330">
        <v>8</v>
      </c>
      <c r="BR11" s="1332">
        <v>0</v>
      </c>
      <c r="BS11" s="986"/>
      <c r="BT11" s="1322">
        <f t="shared" ref="BT11:BT23" si="12">AI11</f>
        <v>2</v>
      </c>
      <c r="BU11" s="1320"/>
      <c r="BV11" s="1323">
        <f t="shared" ref="BV11:BV23" si="13">AK11</f>
        <v>6</v>
      </c>
      <c r="BW11" s="1320"/>
      <c r="BX11" s="1323">
        <f t="shared" ref="BX11:BX23" si="14">AM11</f>
        <v>0</v>
      </c>
      <c r="BY11" s="1320"/>
      <c r="BZ11" s="1323">
        <f t="shared" ref="BZ11:BZ23" si="15">+AO11</f>
        <v>42</v>
      </c>
      <c r="CA11" s="1320"/>
      <c r="CB11" s="1323">
        <f t="shared" ref="CB11:CB23" si="16">AQ11</f>
        <v>9</v>
      </c>
      <c r="CC11" s="1321"/>
    </row>
    <row r="12" spans="1:81" ht="21.75" customHeight="1" thickBot="1" x14ac:dyDescent="0.5">
      <c r="A12" s="77">
        <v>127</v>
      </c>
      <c r="B12" s="77">
        <v>7015</v>
      </c>
      <c r="C12" s="72"/>
      <c r="D12" s="72" t="s">
        <v>132</v>
      </c>
      <c r="E12" s="929" t="s">
        <v>14</v>
      </c>
      <c r="F12" s="1304">
        <v>148</v>
      </c>
      <c r="G12" s="1327">
        <v>162</v>
      </c>
      <c r="H12" s="1328">
        <v>5</v>
      </c>
      <c r="I12" s="1329">
        <v>0</v>
      </c>
      <c r="J12" s="1328">
        <v>32</v>
      </c>
      <c r="K12" s="1329">
        <v>0</v>
      </c>
      <c r="L12" s="1328"/>
      <c r="M12" s="1329">
        <v>0</v>
      </c>
      <c r="N12" s="1328">
        <f>62+49</f>
        <v>111</v>
      </c>
      <c r="O12" s="1329"/>
      <c r="P12" s="1328">
        <v>14</v>
      </c>
      <c r="Q12" s="1059">
        <v>0</v>
      </c>
      <c r="R12" s="391"/>
      <c r="S12" s="1098"/>
      <c r="T12" s="1336"/>
      <c r="U12" s="1336"/>
      <c r="V12" s="1336"/>
      <c r="W12" s="1306">
        <v>148</v>
      </c>
      <c r="X12" s="1328"/>
      <c r="Y12" s="1329"/>
      <c r="Z12" s="1328"/>
      <c r="AA12" s="1329"/>
      <c r="AB12" s="1328"/>
      <c r="AC12" s="1329"/>
      <c r="AD12" s="1328"/>
      <c r="AE12" s="1329"/>
      <c r="AF12" s="1328"/>
      <c r="AG12" s="1337"/>
      <c r="AH12" s="1335"/>
      <c r="AI12" s="1328">
        <f t="shared" ref="AI12:AI22" si="17">X12+H12</f>
        <v>5</v>
      </c>
      <c r="AJ12" s="1328">
        <f t="shared" ref="AJ12:AJ22" si="18">Y12+I12</f>
        <v>0</v>
      </c>
      <c r="AK12" s="1328">
        <f t="shared" ref="AK12:AK22" si="19">Z12+J12</f>
        <v>32</v>
      </c>
      <c r="AL12" s="1328">
        <f t="shared" ref="AL12:AL22" si="20">AA12+K12</f>
        <v>0</v>
      </c>
      <c r="AM12" s="1328">
        <f t="shared" ref="AM12:AM22" si="21">AB12+L12</f>
        <v>0</v>
      </c>
      <c r="AN12" s="1328">
        <f t="shared" ref="AN12:AN22" si="22">AC12+M12</f>
        <v>0</v>
      </c>
      <c r="AO12" s="1328">
        <f t="shared" ref="AO12:AO22" si="23">AD12+N12</f>
        <v>111</v>
      </c>
      <c r="AP12" s="1328">
        <f t="shared" ref="AP12:AP22" si="24">AE12+O12</f>
        <v>0</v>
      </c>
      <c r="AQ12" s="1328">
        <f t="shared" ref="AQ12:AQ23" si="25">AF12+P12</f>
        <v>14</v>
      </c>
      <c r="AR12" s="1328">
        <f t="shared" ref="AR12:AR22" si="26">AG12+Q12</f>
        <v>0</v>
      </c>
      <c r="AS12" s="955"/>
      <c r="AT12" s="1328"/>
      <c r="AU12" s="1328"/>
      <c r="AV12" s="1328"/>
      <c r="AW12" s="1328"/>
      <c r="AX12" s="1328"/>
      <c r="AY12" s="1328"/>
      <c r="AZ12" s="1328">
        <v>1</v>
      </c>
      <c r="BA12" s="1328"/>
      <c r="BB12" s="1328"/>
      <c r="BC12" s="1333"/>
      <c r="BD12" s="1103">
        <v>15028.123287671235</v>
      </c>
      <c r="BE12" s="1104">
        <v>47.12602739726028</v>
      </c>
      <c r="BF12" s="1102">
        <v>0</v>
      </c>
      <c r="BG12" s="1102"/>
      <c r="BH12" s="974" t="s">
        <v>14</v>
      </c>
      <c r="BI12" s="1338">
        <v>6</v>
      </c>
      <c r="BJ12" s="1331">
        <v>0</v>
      </c>
      <c r="BK12" s="1338">
        <v>32</v>
      </c>
      <c r="BL12" s="1339"/>
      <c r="BM12" s="1338">
        <v>58</v>
      </c>
      <c r="BN12" s="1331">
        <v>0</v>
      </c>
      <c r="BO12" s="1338">
        <v>43</v>
      </c>
      <c r="BP12" s="1339">
        <v>1</v>
      </c>
      <c r="BQ12" s="1338">
        <v>7</v>
      </c>
      <c r="BR12" s="1339"/>
      <c r="BS12" s="986"/>
      <c r="BT12" s="1322">
        <f t="shared" si="12"/>
        <v>5</v>
      </c>
      <c r="BU12" s="1320"/>
      <c r="BV12" s="1323">
        <f t="shared" si="13"/>
        <v>32</v>
      </c>
      <c r="BW12" s="1320"/>
      <c r="BX12" s="1323">
        <f t="shared" si="14"/>
        <v>0</v>
      </c>
      <c r="BY12" s="1320"/>
      <c r="BZ12" s="1323">
        <f t="shared" si="15"/>
        <v>111</v>
      </c>
      <c r="CA12" s="1320"/>
      <c r="CB12" s="1323">
        <f t="shared" si="16"/>
        <v>14</v>
      </c>
      <c r="CC12" s="1321"/>
    </row>
    <row r="13" spans="1:81" ht="26" customHeight="1" thickBot="1" x14ac:dyDescent="0.5">
      <c r="A13" s="78">
        <v>130</v>
      </c>
      <c r="B13" s="78">
        <v>7011</v>
      </c>
      <c r="C13" s="75" t="s">
        <v>7</v>
      </c>
      <c r="D13" s="75"/>
      <c r="E13" s="1097" t="s">
        <v>15</v>
      </c>
      <c r="F13" s="1304">
        <v>60</v>
      </c>
      <c r="G13" s="1327">
        <v>59</v>
      </c>
      <c r="H13" s="1328">
        <v>11</v>
      </c>
      <c r="I13" s="1329">
        <v>0</v>
      </c>
      <c r="J13" s="1328">
        <v>21</v>
      </c>
      <c r="K13" s="1329">
        <v>0</v>
      </c>
      <c r="L13" s="1328"/>
      <c r="M13" s="1329">
        <v>0</v>
      </c>
      <c r="N13" s="1328">
        <f>19</f>
        <v>19</v>
      </c>
      <c r="O13" s="1329">
        <v>0</v>
      </c>
      <c r="P13" s="1328">
        <v>4</v>
      </c>
      <c r="Q13" s="1329">
        <v>0</v>
      </c>
      <c r="R13" s="391"/>
      <c r="S13" s="1098"/>
      <c r="T13" s="1336">
        <v>0.31809999999999999</v>
      </c>
      <c r="U13" s="1336"/>
      <c r="V13" s="1336">
        <v>1.3181</v>
      </c>
      <c r="W13" s="1306">
        <v>60</v>
      </c>
      <c r="X13" s="1328"/>
      <c r="Y13" s="1329"/>
      <c r="Z13" s="1328"/>
      <c r="AA13" s="1329"/>
      <c r="AB13" s="1328"/>
      <c r="AC13" s="1329"/>
      <c r="AD13" s="1328"/>
      <c r="AE13" s="1329"/>
      <c r="AF13" s="1328">
        <v>2</v>
      </c>
      <c r="AG13" s="1337"/>
      <c r="AH13" s="1335"/>
      <c r="AI13" s="1328">
        <f t="shared" si="17"/>
        <v>11</v>
      </c>
      <c r="AJ13" s="1328">
        <f t="shared" si="18"/>
        <v>0</v>
      </c>
      <c r="AK13" s="1328">
        <f t="shared" si="19"/>
        <v>21</v>
      </c>
      <c r="AL13" s="1328">
        <f t="shared" si="20"/>
        <v>0</v>
      </c>
      <c r="AM13" s="1328">
        <f t="shared" si="21"/>
        <v>0</v>
      </c>
      <c r="AN13" s="1328">
        <f t="shared" si="22"/>
        <v>0</v>
      </c>
      <c r="AO13" s="1328">
        <f t="shared" si="23"/>
        <v>19</v>
      </c>
      <c r="AP13" s="1328">
        <f t="shared" si="24"/>
        <v>0</v>
      </c>
      <c r="AQ13" s="1328">
        <f t="shared" si="25"/>
        <v>6</v>
      </c>
      <c r="AR13" s="1328">
        <f t="shared" si="26"/>
        <v>0</v>
      </c>
      <c r="AS13" s="955"/>
      <c r="AT13" s="1328">
        <v>2</v>
      </c>
      <c r="AU13" s="1328"/>
      <c r="AV13" s="1328"/>
      <c r="AW13" s="1328"/>
      <c r="AX13" s="1328"/>
      <c r="AY13" s="1328"/>
      <c r="AZ13" s="1328"/>
      <c r="BA13" s="1328"/>
      <c r="BB13" s="1328"/>
      <c r="BC13" s="1333"/>
      <c r="BD13" s="1334">
        <v>86183.49</v>
      </c>
      <c r="BE13" s="1332">
        <v>0</v>
      </c>
      <c r="BF13" s="1335">
        <v>217560.99003587675</v>
      </c>
      <c r="BG13" s="1335"/>
      <c r="BH13" s="973" t="s">
        <v>15</v>
      </c>
      <c r="BI13" s="1330">
        <v>14</v>
      </c>
      <c r="BJ13" s="1331">
        <v>1</v>
      </c>
      <c r="BK13" s="1330">
        <v>28</v>
      </c>
      <c r="BL13" s="1331">
        <v>0</v>
      </c>
      <c r="BM13" s="1330">
        <v>15</v>
      </c>
      <c r="BN13" s="1331">
        <v>0</v>
      </c>
      <c r="BO13" s="1330">
        <v>7</v>
      </c>
      <c r="BP13" s="1331">
        <v>0</v>
      </c>
      <c r="BQ13" s="1330">
        <v>5</v>
      </c>
      <c r="BR13" s="1332">
        <v>0</v>
      </c>
      <c r="BS13" s="986"/>
      <c r="BT13" s="1322">
        <f t="shared" si="12"/>
        <v>11</v>
      </c>
      <c r="BU13" s="1320"/>
      <c r="BV13" s="1323">
        <f t="shared" si="13"/>
        <v>21</v>
      </c>
      <c r="BW13" s="1320"/>
      <c r="BX13" s="1323">
        <f t="shared" si="14"/>
        <v>0</v>
      </c>
      <c r="BY13" s="1320"/>
      <c r="BZ13" s="1323">
        <f t="shared" si="15"/>
        <v>19</v>
      </c>
      <c r="CA13" s="1320"/>
      <c r="CB13" s="1323">
        <f t="shared" si="16"/>
        <v>6</v>
      </c>
      <c r="CC13" s="1321"/>
    </row>
    <row r="14" spans="1:81" s="1075" customFormat="1" ht="21.5" thickBot="1" x14ac:dyDescent="0.5">
      <c r="A14" s="1061">
        <v>132</v>
      </c>
      <c r="B14" s="1061">
        <v>7005</v>
      </c>
      <c r="C14" s="1062" t="s">
        <v>7</v>
      </c>
      <c r="D14" s="1062" t="s">
        <v>30</v>
      </c>
      <c r="E14" s="1062" t="s">
        <v>16</v>
      </c>
      <c r="F14" s="1304"/>
      <c r="G14" s="1064">
        <f>SUM(H14:Q14)</f>
        <v>0</v>
      </c>
      <c r="H14" s="1065">
        <v>0</v>
      </c>
      <c r="I14" s="1066">
        <v>0</v>
      </c>
      <c r="J14" s="1065">
        <v>0</v>
      </c>
      <c r="K14" s="1066">
        <v>0</v>
      </c>
      <c r="L14" s="1065">
        <v>0</v>
      </c>
      <c r="M14" s="1066">
        <v>0</v>
      </c>
      <c r="N14" s="1065">
        <v>0</v>
      </c>
      <c r="O14" s="1066">
        <v>0</v>
      </c>
      <c r="P14" s="1065">
        <v>0</v>
      </c>
      <c r="Q14" s="1066">
        <v>0</v>
      </c>
      <c r="R14" s="1067">
        <v>0</v>
      </c>
      <c r="S14" s="1098"/>
      <c r="T14" s="1068"/>
      <c r="U14" s="1068"/>
      <c r="V14" s="1100"/>
      <c r="W14" s="1306">
        <v>0</v>
      </c>
      <c r="X14" s="1328"/>
      <c r="Y14" s="1329"/>
      <c r="Z14" s="1328"/>
      <c r="AA14" s="1329"/>
      <c r="AB14" s="1328"/>
      <c r="AC14" s="1329"/>
      <c r="AD14" s="1328"/>
      <c r="AE14" s="1329"/>
      <c r="AF14" s="1328"/>
      <c r="AG14" s="1337"/>
      <c r="AH14" s="1335"/>
      <c r="AI14" s="1328">
        <f t="shared" si="17"/>
        <v>0</v>
      </c>
      <c r="AJ14" s="1328">
        <f t="shared" si="18"/>
        <v>0</v>
      </c>
      <c r="AK14" s="1328">
        <f t="shared" si="19"/>
        <v>0</v>
      </c>
      <c r="AL14" s="1328">
        <f t="shared" si="20"/>
        <v>0</v>
      </c>
      <c r="AM14" s="1328">
        <f t="shared" si="21"/>
        <v>0</v>
      </c>
      <c r="AN14" s="1328">
        <f t="shared" si="22"/>
        <v>0</v>
      </c>
      <c r="AO14" s="1328">
        <f t="shared" si="23"/>
        <v>0</v>
      </c>
      <c r="AP14" s="1328">
        <f t="shared" si="24"/>
        <v>0</v>
      </c>
      <c r="AQ14" s="1328">
        <f t="shared" si="25"/>
        <v>0</v>
      </c>
      <c r="AR14" s="1328">
        <f t="shared" si="26"/>
        <v>0</v>
      </c>
      <c r="AS14" s="1065"/>
      <c r="AT14" s="1065"/>
      <c r="AU14" s="1065"/>
      <c r="AV14" s="1065"/>
      <c r="AW14" s="1065"/>
      <c r="AX14" s="1065"/>
      <c r="AY14" s="1065"/>
      <c r="AZ14" s="1065"/>
      <c r="BA14" s="1065"/>
      <c r="BB14" s="1065"/>
      <c r="BC14" s="1070"/>
      <c r="BD14" s="1071"/>
      <c r="BE14" s="1072"/>
      <c r="BF14" s="1069"/>
      <c r="BG14" s="1069"/>
      <c r="BH14" s="1073"/>
      <c r="BI14" s="1071"/>
      <c r="BJ14" s="1063"/>
      <c r="BK14" s="1063"/>
      <c r="BL14" s="1063"/>
      <c r="BM14" s="1063"/>
      <c r="BN14" s="1063"/>
      <c r="BO14" s="1063"/>
      <c r="BP14" s="1063"/>
      <c r="BQ14" s="1063"/>
      <c r="BR14" s="1072"/>
      <c r="BS14" s="1074"/>
      <c r="BT14" s="1322">
        <f t="shared" si="12"/>
        <v>0</v>
      </c>
      <c r="BU14" s="1320"/>
      <c r="BV14" s="1323">
        <f t="shared" si="13"/>
        <v>0</v>
      </c>
      <c r="BW14" s="1320"/>
      <c r="BX14" s="1323">
        <f t="shared" si="14"/>
        <v>0</v>
      </c>
      <c r="BY14" s="1320"/>
      <c r="BZ14" s="1323">
        <f t="shared" si="15"/>
        <v>0</v>
      </c>
      <c r="CA14" s="1320"/>
      <c r="CB14" s="1323">
        <f t="shared" si="16"/>
        <v>0</v>
      </c>
      <c r="CC14" s="1321"/>
    </row>
    <row r="15" spans="1:81" ht="21.5" thickBot="1" x14ac:dyDescent="0.5">
      <c r="A15" s="77">
        <v>137</v>
      </c>
      <c r="B15" s="77">
        <v>7018</v>
      </c>
      <c r="C15" s="72"/>
      <c r="D15" s="72"/>
      <c r="E15" s="929" t="s">
        <v>17</v>
      </c>
      <c r="F15" s="1304">
        <v>60</v>
      </c>
      <c r="G15" s="1327">
        <v>66</v>
      </c>
      <c r="H15" s="1328">
        <v>15</v>
      </c>
      <c r="I15" s="1329">
        <v>0</v>
      </c>
      <c r="J15" s="1328">
        <v>10</v>
      </c>
      <c r="K15" s="1329">
        <v>0</v>
      </c>
      <c r="L15" s="1328"/>
      <c r="M15" s="1329">
        <v>0</v>
      </c>
      <c r="N15" s="1328">
        <f>16+7</f>
        <v>23</v>
      </c>
      <c r="O15" s="1329">
        <v>0</v>
      </c>
      <c r="P15" s="1328">
        <v>3</v>
      </c>
      <c r="Q15" s="1329">
        <v>0</v>
      </c>
      <c r="R15" s="391"/>
      <c r="S15" s="1098"/>
      <c r="T15" s="1336">
        <v>0.29063536778717414</v>
      </c>
      <c r="U15" s="1068"/>
      <c r="V15" s="1336">
        <v>1.2906</v>
      </c>
      <c r="W15" s="1306">
        <v>60</v>
      </c>
      <c r="X15" s="1328"/>
      <c r="Y15" s="1329"/>
      <c r="Z15" s="1328"/>
      <c r="AA15" s="1329"/>
      <c r="AB15" s="1328"/>
      <c r="AC15" s="1329"/>
      <c r="AD15" s="1328"/>
      <c r="AE15" s="1329"/>
      <c r="AF15" s="1328"/>
      <c r="AG15" s="1337"/>
      <c r="AH15" s="1335">
        <v>6</v>
      </c>
      <c r="AI15" s="1328">
        <f t="shared" si="17"/>
        <v>15</v>
      </c>
      <c r="AJ15" s="1328">
        <f t="shared" si="18"/>
        <v>0</v>
      </c>
      <c r="AK15" s="1328">
        <f t="shared" si="19"/>
        <v>10</v>
      </c>
      <c r="AL15" s="1328">
        <f t="shared" si="20"/>
        <v>0</v>
      </c>
      <c r="AM15" s="1328">
        <f t="shared" si="21"/>
        <v>0</v>
      </c>
      <c r="AN15" s="1328">
        <f t="shared" si="22"/>
        <v>0</v>
      </c>
      <c r="AO15" s="1328">
        <f t="shared" si="23"/>
        <v>23</v>
      </c>
      <c r="AP15" s="1328">
        <f t="shared" si="24"/>
        <v>0</v>
      </c>
      <c r="AQ15" s="1328">
        <f t="shared" si="25"/>
        <v>3</v>
      </c>
      <c r="AR15" s="1328">
        <f t="shared" si="26"/>
        <v>0</v>
      </c>
      <c r="AS15" s="955"/>
      <c r="AT15" s="1328">
        <v>12</v>
      </c>
      <c r="AU15" s="1328"/>
      <c r="AV15" s="1328">
        <v>1</v>
      </c>
      <c r="AW15" s="1328"/>
      <c r="AX15" s="1328"/>
      <c r="AY15" s="1328"/>
      <c r="AZ15" s="1328">
        <v>2</v>
      </c>
      <c r="BA15" s="1328"/>
      <c r="BB15" s="1328"/>
      <c r="BC15" s="1333"/>
      <c r="BD15" s="1334">
        <v>59651.293150684935</v>
      </c>
      <c r="BE15" s="1332">
        <v>0</v>
      </c>
      <c r="BF15" s="1335"/>
      <c r="BG15" s="1335"/>
      <c r="BH15" s="974" t="s">
        <v>17</v>
      </c>
      <c r="BI15" s="1338">
        <v>6</v>
      </c>
      <c r="BJ15" s="1331">
        <v>0</v>
      </c>
      <c r="BK15" s="1338">
        <v>10</v>
      </c>
      <c r="BL15" s="1331">
        <v>0</v>
      </c>
      <c r="BM15" s="1338">
        <v>16</v>
      </c>
      <c r="BN15" s="1331">
        <v>0</v>
      </c>
      <c r="BO15" s="1338">
        <v>9</v>
      </c>
      <c r="BP15" s="1331">
        <v>0</v>
      </c>
      <c r="BQ15" s="1338">
        <v>4</v>
      </c>
      <c r="BR15" s="1332">
        <v>0</v>
      </c>
      <c r="BS15" s="986"/>
      <c r="BT15" s="1322">
        <f t="shared" si="12"/>
        <v>15</v>
      </c>
      <c r="BU15" s="1320"/>
      <c r="BV15" s="1323">
        <f t="shared" si="13"/>
        <v>10</v>
      </c>
      <c r="BW15" s="1320"/>
      <c r="BX15" s="1323">
        <f t="shared" si="14"/>
        <v>0</v>
      </c>
      <c r="BY15" s="1320"/>
      <c r="BZ15" s="1323">
        <f t="shared" si="15"/>
        <v>23</v>
      </c>
      <c r="CA15" s="1320"/>
      <c r="CB15" s="1323">
        <f t="shared" si="16"/>
        <v>3</v>
      </c>
      <c r="CC15" s="1321"/>
    </row>
    <row r="16" spans="1:81" ht="21.5" hidden="1" thickBot="1" x14ac:dyDescent="0.5">
      <c r="A16" s="78"/>
      <c r="B16" s="78"/>
      <c r="C16" s="75"/>
      <c r="D16" s="75"/>
      <c r="E16" s="928"/>
      <c r="F16" s="1304"/>
      <c r="G16" s="150"/>
      <c r="H16" s="963"/>
      <c r="I16" s="896"/>
      <c r="J16" s="895"/>
      <c r="K16" s="896"/>
      <c r="L16" s="895"/>
      <c r="M16" s="896"/>
      <c r="N16" s="895"/>
      <c r="O16" s="896"/>
      <c r="P16" s="895"/>
      <c r="Q16" s="896"/>
      <c r="R16" s="391"/>
      <c r="S16" s="1098"/>
      <c r="T16" s="97"/>
      <c r="U16" s="1068"/>
      <c r="V16" s="1100"/>
      <c r="W16" s="1306"/>
      <c r="X16" s="1328"/>
      <c r="Y16" s="1329"/>
      <c r="Z16" s="1328"/>
      <c r="AA16" s="1329"/>
      <c r="AB16" s="1328"/>
      <c r="AC16" s="1329"/>
      <c r="AD16" s="1328"/>
      <c r="AE16" s="1329"/>
      <c r="AF16" s="1328"/>
      <c r="AG16" s="1337"/>
      <c r="AH16" s="1335"/>
      <c r="AI16" s="1328"/>
      <c r="AJ16" s="1328"/>
      <c r="AK16" s="1328"/>
      <c r="AL16" s="1328"/>
      <c r="AM16" s="1328"/>
      <c r="AN16" s="1328"/>
      <c r="AO16" s="1328"/>
      <c r="AP16" s="1328"/>
      <c r="AQ16" s="1328"/>
      <c r="AR16" s="1328"/>
      <c r="AS16" s="955"/>
      <c r="AT16" s="895"/>
      <c r="AU16" s="895"/>
      <c r="AV16" s="895"/>
      <c r="AW16" s="895"/>
      <c r="AX16" s="895"/>
      <c r="AY16" s="895"/>
      <c r="AZ16" s="895"/>
      <c r="BA16" s="895"/>
      <c r="BB16" s="895"/>
      <c r="BC16" s="964"/>
      <c r="BD16" s="967"/>
      <c r="BE16" s="968"/>
      <c r="BF16" s="969"/>
      <c r="BG16" s="969"/>
      <c r="BH16" s="975"/>
      <c r="BI16" s="967"/>
      <c r="BJ16" s="977"/>
      <c r="BK16" s="977"/>
      <c r="BL16" s="977"/>
      <c r="BM16" s="977"/>
      <c r="BN16" s="977"/>
      <c r="BO16" s="977"/>
      <c r="BP16" s="977"/>
      <c r="BQ16" s="977"/>
      <c r="BR16" s="968"/>
      <c r="BS16" s="986"/>
      <c r="BT16" s="1322">
        <f t="shared" si="12"/>
        <v>0</v>
      </c>
      <c r="BU16" s="1320"/>
      <c r="BV16" s="1323">
        <f t="shared" si="13"/>
        <v>0</v>
      </c>
      <c r="BW16" s="1320"/>
      <c r="BX16" s="1323">
        <f t="shared" si="14"/>
        <v>0</v>
      </c>
      <c r="BY16" s="1320"/>
      <c r="BZ16" s="1323">
        <f t="shared" si="15"/>
        <v>0</v>
      </c>
      <c r="CA16" s="1320"/>
      <c r="CB16" s="1323">
        <f t="shared" si="16"/>
        <v>0</v>
      </c>
      <c r="CC16" s="1321"/>
    </row>
    <row r="17" spans="1:81" ht="21.5" thickBot="1" x14ac:dyDescent="0.5">
      <c r="A17" s="77">
        <v>139</v>
      </c>
      <c r="B17" s="77">
        <v>7017</v>
      </c>
      <c r="C17" s="72"/>
      <c r="D17" s="72"/>
      <c r="E17" s="929" t="s">
        <v>19</v>
      </c>
      <c r="F17" s="1304">
        <v>130</v>
      </c>
      <c r="G17" s="1327">
        <v>131</v>
      </c>
      <c r="H17" s="1328">
        <v>13</v>
      </c>
      <c r="I17" s="1329">
        <v>0</v>
      </c>
      <c r="J17" s="1328">
        <v>71</v>
      </c>
      <c r="K17" s="1329">
        <v>0</v>
      </c>
      <c r="L17" s="1328"/>
      <c r="M17" s="1329">
        <v>0</v>
      </c>
      <c r="N17" s="1328">
        <v>47</v>
      </c>
      <c r="O17" s="1329">
        <v>0</v>
      </c>
      <c r="P17" s="1328">
        <v>0</v>
      </c>
      <c r="Q17" s="1329">
        <v>0</v>
      </c>
      <c r="R17" s="391"/>
      <c r="S17" s="1098"/>
      <c r="T17" s="1336"/>
      <c r="U17" s="1336"/>
      <c r="V17" s="1336"/>
      <c r="W17" s="1306">
        <v>130</v>
      </c>
      <c r="X17" s="1328"/>
      <c r="Y17" s="1329"/>
      <c r="Z17" s="1328"/>
      <c r="AA17" s="1329"/>
      <c r="AB17" s="1328"/>
      <c r="AC17" s="1329"/>
      <c r="AD17" s="1328"/>
      <c r="AE17" s="1329"/>
      <c r="AF17" s="1328"/>
      <c r="AG17" s="1337"/>
      <c r="AH17" s="1335">
        <v>1</v>
      </c>
      <c r="AI17" s="1328">
        <f t="shared" si="17"/>
        <v>13</v>
      </c>
      <c r="AJ17" s="1328">
        <f t="shared" si="18"/>
        <v>0</v>
      </c>
      <c r="AK17" s="1328">
        <f t="shared" si="19"/>
        <v>71</v>
      </c>
      <c r="AL17" s="1328">
        <f t="shared" si="20"/>
        <v>0</v>
      </c>
      <c r="AM17" s="1328">
        <f t="shared" si="21"/>
        <v>0</v>
      </c>
      <c r="AN17" s="1328">
        <f t="shared" si="22"/>
        <v>0</v>
      </c>
      <c r="AO17" s="1328">
        <f t="shared" si="23"/>
        <v>47</v>
      </c>
      <c r="AP17" s="1328">
        <f t="shared" si="24"/>
        <v>0</v>
      </c>
      <c r="AQ17" s="1328">
        <f t="shared" si="25"/>
        <v>0</v>
      </c>
      <c r="AR17" s="1328">
        <f t="shared" si="26"/>
        <v>0</v>
      </c>
      <c r="AS17" s="955"/>
      <c r="AT17" s="1328"/>
      <c r="AU17" s="1328"/>
      <c r="AV17" s="1328"/>
      <c r="AW17" s="1328"/>
      <c r="AX17" s="1328"/>
      <c r="AY17" s="1328"/>
      <c r="AZ17" s="1328"/>
      <c r="BA17" s="1328"/>
      <c r="BB17" s="1328"/>
      <c r="BC17" s="1333"/>
      <c r="BD17" s="1103">
        <v>32456.849315068492</v>
      </c>
      <c r="BE17" s="1104"/>
      <c r="BF17" s="1102">
        <v>0</v>
      </c>
      <c r="BG17" s="1102"/>
      <c r="BH17" s="974" t="s">
        <v>19</v>
      </c>
      <c r="BI17" s="1338">
        <v>14</v>
      </c>
      <c r="BJ17" s="1331">
        <v>0</v>
      </c>
      <c r="BK17" s="1338">
        <v>73</v>
      </c>
      <c r="BL17" s="1331">
        <v>0</v>
      </c>
      <c r="BM17" s="1338">
        <v>37</v>
      </c>
      <c r="BN17" s="1331">
        <v>0</v>
      </c>
      <c r="BO17" s="1338">
        <v>4</v>
      </c>
      <c r="BP17" s="1331">
        <v>0</v>
      </c>
      <c r="BQ17" s="1331">
        <v>0</v>
      </c>
      <c r="BR17" s="1332">
        <v>0</v>
      </c>
      <c r="BS17" s="986"/>
      <c r="BT17" s="1322">
        <f t="shared" si="12"/>
        <v>13</v>
      </c>
      <c r="BU17" s="1320"/>
      <c r="BV17" s="1323">
        <f t="shared" si="13"/>
        <v>71</v>
      </c>
      <c r="BW17" s="1320"/>
      <c r="BX17" s="1323">
        <f t="shared" si="14"/>
        <v>0</v>
      </c>
      <c r="BY17" s="1320"/>
      <c r="BZ17" s="1323">
        <f t="shared" si="15"/>
        <v>47</v>
      </c>
      <c r="CA17" s="1320"/>
      <c r="CB17" s="1323">
        <f t="shared" si="16"/>
        <v>0</v>
      </c>
      <c r="CC17" s="1321"/>
    </row>
    <row r="18" spans="1:81" ht="21.5" thickBot="1" x14ac:dyDescent="0.5">
      <c r="A18" s="78">
        <v>141</v>
      </c>
      <c r="B18" s="78">
        <v>7022</v>
      </c>
      <c r="C18" s="76" t="s">
        <v>7</v>
      </c>
      <c r="D18" s="76"/>
      <c r="E18" s="929" t="s">
        <v>20</v>
      </c>
      <c r="F18" s="1304">
        <v>65</v>
      </c>
      <c r="G18" s="1327">
        <v>65</v>
      </c>
      <c r="H18" s="1328">
        <v>7</v>
      </c>
      <c r="I18" s="1329"/>
      <c r="J18" s="1328">
        <v>25</v>
      </c>
      <c r="K18" s="1329">
        <v>1</v>
      </c>
      <c r="L18" s="1328"/>
      <c r="M18" s="1329"/>
      <c r="N18" s="1328">
        <v>30</v>
      </c>
      <c r="O18" s="1329"/>
      <c r="P18" s="1328">
        <v>3</v>
      </c>
      <c r="Q18" s="1329"/>
      <c r="R18" s="391"/>
      <c r="S18" s="1098"/>
      <c r="T18" s="1336">
        <v>0.29045927649155939</v>
      </c>
      <c r="U18" s="1068"/>
      <c r="V18" s="1336">
        <v>1.2905</v>
      </c>
      <c r="W18" s="1306">
        <v>65</v>
      </c>
      <c r="X18" s="1328"/>
      <c r="Y18" s="1329"/>
      <c r="Z18" s="1328"/>
      <c r="AA18" s="1329"/>
      <c r="AB18" s="1328"/>
      <c r="AC18" s="1329"/>
      <c r="AD18" s="1328"/>
      <c r="AE18" s="1329"/>
      <c r="AF18" s="1328"/>
      <c r="AG18" s="1337"/>
      <c r="AH18" s="1335"/>
      <c r="AI18" s="1328">
        <f t="shared" si="17"/>
        <v>7</v>
      </c>
      <c r="AJ18" s="1328">
        <f t="shared" si="18"/>
        <v>0</v>
      </c>
      <c r="AK18" s="1328">
        <f t="shared" si="19"/>
        <v>25</v>
      </c>
      <c r="AL18" s="1328">
        <f t="shared" si="20"/>
        <v>1</v>
      </c>
      <c r="AM18" s="1328">
        <v>23</v>
      </c>
      <c r="AN18" s="1328">
        <v>0</v>
      </c>
      <c r="AO18" s="1328">
        <f t="shared" si="23"/>
        <v>30</v>
      </c>
      <c r="AP18" s="1328">
        <f t="shared" si="24"/>
        <v>0</v>
      </c>
      <c r="AQ18" s="1328">
        <f t="shared" si="25"/>
        <v>3</v>
      </c>
      <c r="AR18" s="1328">
        <f t="shared" si="26"/>
        <v>0</v>
      </c>
      <c r="AS18" s="955"/>
      <c r="AT18" s="1328"/>
      <c r="AU18" s="1328"/>
      <c r="AV18" s="1328"/>
      <c r="AW18" s="1328"/>
      <c r="AX18" s="1328"/>
      <c r="AY18" s="1328"/>
      <c r="AZ18" s="1328"/>
      <c r="BA18" s="1328"/>
      <c r="BB18" s="1328"/>
      <c r="BC18" s="1333"/>
      <c r="BD18" s="1334">
        <v>69322.010958904124</v>
      </c>
      <c r="BE18" s="1332">
        <v>573</v>
      </c>
      <c r="BF18" s="1335">
        <v>186927.98875750141</v>
      </c>
      <c r="BG18" s="1335">
        <v>0</v>
      </c>
      <c r="BH18" s="974" t="s">
        <v>20</v>
      </c>
      <c r="BI18" s="1330">
        <v>10</v>
      </c>
      <c r="BJ18" s="1331">
        <v>0</v>
      </c>
      <c r="BK18" s="1330">
        <v>22</v>
      </c>
      <c r="BL18" s="1331">
        <v>0</v>
      </c>
      <c r="BM18" s="1330">
        <v>23</v>
      </c>
      <c r="BN18" s="1331">
        <v>0</v>
      </c>
      <c r="BO18" s="1330">
        <v>6</v>
      </c>
      <c r="BP18" s="1331">
        <v>0</v>
      </c>
      <c r="BQ18" s="1330">
        <v>2</v>
      </c>
      <c r="BR18" s="1332">
        <v>0</v>
      </c>
      <c r="BS18" s="986"/>
      <c r="BT18" s="1322">
        <f t="shared" si="12"/>
        <v>7</v>
      </c>
      <c r="BU18" s="1320"/>
      <c r="BV18" s="1323">
        <f t="shared" si="13"/>
        <v>25</v>
      </c>
      <c r="BW18" s="1320"/>
      <c r="BX18" s="1323">
        <f t="shared" si="14"/>
        <v>23</v>
      </c>
      <c r="BY18" s="1320"/>
      <c r="BZ18" s="1323">
        <f t="shared" si="15"/>
        <v>30</v>
      </c>
      <c r="CA18" s="1320"/>
      <c r="CB18" s="1323">
        <f t="shared" si="16"/>
        <v>3</v>
      </c>
      <c r="CC18" s="1321"/>
    </row>
    <row r="19" spans="1:81" ht="21.5" thickBot="1" x14ac:dyDescent="0.5">
      <c r="A19" s="77">
        <v>143</v>
      </c>
      <c r="B19" s="77">
        <v>7023</v>
      </c>
      <c r="C19" s="72"/>
      <c r="D19" s="72"/>
      <c r="E19" s="929" t="s">
        <v>21</v>
      </c>
      <c r="F19" s="1304">
        <v>156</v>
      </c>
      <c r="G19" s="1327">
        <v>194</v>
      </c>
      <c r="H19" s="1328">
        <v>19</v>
      </c>
      <c r="I19" s="1329">
        <v>0</v>
      </c>
      <c r="J19" s="1328">
        <v>111</v>
      </c>
      <c r="K19" s="1329">
        <v>0</v>
      </c>
      <c r="L19" s="1328"/>
      <c r="M19" s="1329">
        <v>0</v>
      </c>
      <c r="N19" s="1328">
        <v>45</v>
      </c>
      <c r="O19" s="1329">
        <v>0</v>
      </c>
      <c r="P19" s="1328">
        <v>15</v>
      </c>
      <c r="Q19" s="1329">
        <v>0</v>
      </c>
      <c r="R19" s="391"/>
      <c r="S19" s="1098"/>
      <c r="T19" s="1336"/>
      <c r="U19" s="1068"/>
      <c r="V19" s="1336"/>
      <c r="W19" s="1306">
        <v>180</v>
      </c>
      <c r="X19" s="1328"/>
      <c r="Y19" s="1329"/>
      <c r="Z19" s="1328"/>
      <c r="AA19" s="1329"/>
      <c r="AB19" s="1328"/>
      <c r="AC19" s="1329"/>
      <c r="AD19" s="1328">
        <v>1</v>
      </c>
      <c r="AE19" s="1329"/>
      <c r="AF19" s="1328"/>
      <c r="AG19" s="1337"/>
      <c r="AH19" s="1335">
        <v>14</v>
      </c>
      <c r="AI19" s="1313">
        <f t="shared" si="17"/>
        <v>19</v>
      </c>
      <c r="AJ19" s="1313">
        <f t="shared" si="18"/>
        <v>0</v>
      </c>
      <c r="AK19" s="1313">
        <f>Z19+J19</f>
        <v>111</v>
      </c>
      <c r="AL19" s="1313">
        <f t="shared" si="20"/>
        <v>0</v>
      </c>
      <c r="AM19" s="1313">
        <f t="shared" si="21"/>
        <v>0</v>
      </c>
      <c r="AN19" s="1313">
        <f t="shared" si="22"/>
        <v>0</v>
      </c>
      <c r="AO19" s="1313">
        <f t="shared" si="23"/>
        <v>46</v>
      </c>
      <c r="AP19" s="1313">
        <f t="shared" si="24"/>
        <v>0</v>
      </c>
      <c r="AQ19" s="1313">
        <f t="shared" si="25"/>
        <v>15</v>
      </c>
      <c r="AR19" s="1313">
        <f t="shared" si="26"/>
        <v>0</v>
      </c>
      <c r="AS19" s="955"/>
      <c r="AT19" s="1328"/>
      <c r="AU19" s="1328"/>
      <c r="AV19" s="1328">
        <v>1</v>
      </c>
      <c r="AW19" s="1328"/>
      <c r="AX19" s="1328"/>
      <c r="AY19" s="1328"/>
      <c r="AZ19" s="1328">
        <v>1</v>
      </c>
      <c r="BA19" s="1328"/>
      <c r="BB19" s="1328">
        <v>1</v>
      </c>
      <c r="BC19" s="1333"/>
      <c r="BD19" s="1334">
        <v>7994.3013698630139</v>
      </c>
      <c r="BE19" s="1332">
        <v>0</v>
      </c>
      <c r="BF19" s="1335">
        <v>109523</v>
      </c>
      <c r="BG19" s="1335">
        <v>0</v>
      </c>
      <c r="BH19" s="974" t="s">
        <v>21</v>
      </c>
      <c r="BI19" s="1330">
        <v>47</v>
      </c>
      <c r="BJ19" s="1331">
        <v>0</v>
      </c>
      <c r="BK19" s="1330">
        <v>72</v>
      </c>
      <c r="BL19" s="1331">
        <v>0</v>
      </c>
      <c r="BM19" s="1330">
        <v>35</v>
      </c>
      <c r="BN19" s="1331">
        <v>0</v>
      </c>
      <c r="BO19" s="1330">
        <v>8</v>
      </c>
      <c r="BP19" s="1331">
        <v>0</v>
      </c>
      <c r="BQ19" s="1330">
        <v>5</v>
      </c>
      <c r="BR19" s="1332">
        <v>0</v>
      </c>
      <c r="BS19" s="1340"/>
      <c r="BT19" s="1341">
        <f t="shared" si="12"/>
        <v>19</v>
      </c>
      <c r="BU19" s="1342"/>
      <c r="BV19" s="1343">
        <f t="shared" si="13"/>
        <v>111</v>
      </c>
      <c r="BW19" s="1342"/>
      <c r="BX19" s="1343">
        <f t="shared" si="14"/>
        <v>0</v>
      </c>
      <c r="BY19" s="1342"/>
      <c r="BZ19" s="1343">
        <f t="shared" si="15"/>
        <v>46</v>
      </c>
      <c r="CA19" s="1342"/>
      <c r="CB19" s="1343">
        <f t="shared" si="16"/>
        <v>15</v>
      </c>
      <c r="CC19" s="1321"/>
    </row>
    <row r="20" spans="1:81" ht="21.5" thickBot="1" x14ac:dyDescent="0.5">
      <c r="A20" s="77">
        <v>144</v>
      </c>
      <c r="B20" s="77">
        <v>7024</v>
      </c>
      <c r="C20" s="72"/>
      <c r="D20" s="72" t="s">
        <v>132</v>
      </c>
      <c r="E20" s="929" t="s">
        <v>22</v>
      </c>
      <c r="F20" s="1304">
        <v>320</v>
      </c>
      <c r="G20" s="1327">
        <v>321</v>
      </c>
      <c r="H20" s="1328">
        <v>75</v>
      </c>
      <c r="I20" s="1329">
        <v>4</v>
      </c>
      <c r="J20" s="1328">
        <v>76</v>
      </c>
      <c r="K20" s="1329">
        <v>0</v>
      </c>
      <c r="L20" s="1328"/>
      <c r="M20" s="1329"/>
      <c r="N20" s="1328">
        <f>99+53</f>
        <v>152</v>
      </c>
      <c r="O20" s="1329">
        <v>0</v>
      </c>
      <c r="P20" s="1328">
        <v>14</v>
      </c>
      <c r="Q20" s="1329">
        <v>0</v>
      </c>
      <c r="R20" s="391"/>
      <c r="S20" s="1098"/>
      <c r="T20" s="1336">
        <v>1.2200000000000001E-2</v>
      </c>
      <c r="U20" s="1068"/>
      <c r="V20" s="1336">
        <v>1.0122</v>
      </c>
      <c r="W20" s="1306">
        <v>320</v>
      </c>
      <c r="X20" s="1328"/>
      <c r="Y20" s="1329"/>
      <c r="Z20" s="1328"/>
      <c r="AA20" s="1329"/>
      <c r="AB20" s="1328"/>
      <c r="AC20" s="1329"/>
      <c r="AD20" s="1328"/>
      <c r="AE20" s="1329"/>
      <c r="AF20" s="1328"/>
      <c r="AG20" s="1337"/>
      <c r="AH20" s="1335">
        <v>1</v>
      </c>
      <c r="AI20" s="1313">
        <f t="shared" si="17"/>
        <v>75</v>
      </c>
      <c r="AJ20" s="1313">
        <f t="shared" si="18"/>
        <v>4</v>
      </c>
      <c r="AK20" s="1313">
        <f t="shared" si="19"/>
        <v>76</v>
      </c>
      <c r="AL20" s="1313">
        <f t="shared" si="20"/>
        <v>0</v>
      </c>
      <c r="AM20" s="1313">
        <f t="shared" si="21"/>
        <v>0</v>
      </c>
      <c r="AN20" s="1313">
        <f t="shared" si="22"/>
        <v>0</v>
      </c>
      <c r="AO20" s="1313">
        <f t="shared" si="23"/>
        <v>152</v>
      </c>
      <c r="AP20" s="1313">
        <f t="shared" si="24"/>
        <v>0</v>
      </c>
      <c r="AQ20" s="1313">
        <f t="shared" si="25"/>
        <v>14</v>
      </c>
      <c r="AR20" s="1313">
        <f t="shared" si="26"/>
        <v>0</v>
      </c>
      <c r="AS20" s="955"/>
      <c r="AT20" s="1328"/>
      <c r="AU20" s="1328"/>
      <c r="AV20" s="1328"/>
      <c r="AW20" s="1328"/>
      <c r="AX20" s="1328"/>
      <c r="AY20" s="1328"/>
      <c r="AZ20" s="1328"/>
      <c r="BA20" s="1328"/>
      <c r="BB20" s="1328"/>
      <c r="BC20" s="1333"/>
      <c r="BD20" s="1334">
        <v>0</v>
      </c>
      <c r="BE20" s="1332">
        <v>0</v>
      </c>
      <c r="BF20" s="1335">
        <v>0</v>
      </c>
      <c r="BG20" s="1335"/>
      <c r="BH20" s="974" t="s">
        <v>22</v>
      </c>
      <c r="BI20" s="1338">
        <v>45</v>
      </c>
      <c r="BJ20" s="1339">
        <v>1</v>
      </c>
      <c r="BK20" s="1338">
        <v>103</v>
      </c>
      <c r="BL20" s="1331"/>
      <c r="BM20" s="1344">
        <v>99</v>
      </c>
      <c r="BN20" s="1331"/>
      <c r="BO20" s="1344">
        <v>61</v>
      </c>
      <c r="BP20" s="1331"/>
      <c r="BQ20" s="1344">
        <v>10</v>
      </c>
      <c r="BR20" s="1332">
        <v>0</v>
      </c>
      <c r="BS20" s="1340"/>
      <c r="BT20" s="1341">
        <f t="shared" si="12"/>
        <v>75</v>
      </c>
      <c r="BU20" s="1342">
        <v>4</v>
      </c>
      <c r="BV20" s="1343">
        <f t="shared" si="13"/>
        <v>76</v>
      </c>
      <c r="BW20" s="1342"/>
      <c r="BX20" s="1343">
        <f t="shared" si="14"/>
        <v>0</v>
      </c>
      <c r="BY20" s="1342"/>
      <c r="BZ20" s="1343">
        <f t="shared" si="15"/>
        <v>152</v>
      </c>
      <c r="CA20" s="1342"/>
      <c r="CB20" s="1343">
        <f t="shared" si="16"/>
        <v>14</v>
      </c>
      <c r="CC20" s="1321"/>
    </row>
    <row r="21" spans="1:81" ht="21.5" thickBot="1" x14ac:dyDescent="0.5">
      <c r="A21" s="77">
        <v>145</v>
      </c>
      <c r="B21" s="77">
        <v>7025</v>
      </c>
      <c r="C21" s="74"/>
      <c r="D21" s="74" t="s">
        <v>132</v>
      </c>
      <c r="E21" s="930" t="s">
        <v>23</v>
      </c>
      <c r="F21" s="1304">
        <v>135</v>
      </c>
      <c r="G21" s="1093">
        <v>129</v>
      </c>
      <c r="H21" s="1095">
        <v>9</v>
      </c>
      <c r="I21" s="1096">
        <v>0</v>
      </c>
      <c r="J21" s="1095">
        <v>53</v>
      </c>
      <c r="K21" s="1096">
        <v>0</v>
      </c>
      <c r="L21" s="1095"/>
      <c r="M21" s="1096">
        <v>0</v>
      </c>
      <c r="N21" s="1095">
        <f>26+18</f>
        <v>44</v>
      </c>
      <c r="O21" s="1096">
        <v>0</v>
      </c>
      <c r="P21" s="1095">
        <v>4</v>
      </c>
      <c r="Q21" s="1096">
        <v>0</v>
      </c>
      <c r="R21" s="392"/>
      <c r="S21" s="1099"/>
      <c r="T21" s="1100"/>
      <c r="U21" s="1068"/>
      <c r="V21" s="1100"/>
      <c r="W21" s="1306">
        <v>125</v>
      </c>
      <c r="X21" s="1328"/>
      <c r="Y21" s="1329"/>
      <c r="Z21" s="1328">
        <v>3</v>
      </c>
      <c r="AA21" s="1329"/>
      <c r="AB21" s="1328"/>
      <c r="AC21" s="1329"/>
      <c r="AD21" s="1328">
        <v>9</v>
      </c>
      <c r="AE21" s="1329"/>
      <c r="AF21" s="1328">
        <v>3</v>
      </c>
      <c r="AG21" s="1337"/>
      <c r="AH21" s="1102"/>
      <c r="AI21" s="1313">
        <f t="shared" si="17"/>
        <v>9</v>
      </c>
      <c r="AJ21" s="1313">
        <f t="shared" si="18"/>
        <v>0</v>
      </c>
      <c r="AK21" s="1313">
        <f t="shared" si="19"/>
        <v>56</v>
      </c>
      <c r="AL21" s="1313">
        <f t="shared" si="20"/>
        <v>0</v>
      </c>
      <c r="AM21" s="1313">
        <f t="shared" si="21"/>
        <v>0</v>
      </c>
      <c r="AN21" s="1313">
        <f t="shared" si="22"/>
        <v>0</v>
      </c>
      <c r="AO21" s="1313">
        <f t="shared" si="23"/>
        <v>53</v>
      </c>
      <c r="AP21" s="1313">
        <f t="shared" si="24"/>
        <v>0</v>
      </c>
      <c r="AQ21" s="1313">
        <f t="shared" si="25"/>
        <v>7</v>
      </c>
      <c r="AR21" s="1313">
        <f t="shared" si="26"/>
        <v>0</v>
      </c>
      <c r="AS21" s="955"/>
      <c r="AT21" s="1095">
        <v>1</v>
      </c>
      <c r="AU21" s="1095"/>
      <c r="AV21" s="1095"/>
      <c r="AW21" s="1095"/>
      <c r="AX21" s="1095"/>
      <c r="AY21" s="1095"/>
      <c r="AZ21" s="1095"/>
      <c r="BA21" s="1095"/>
      <c r="BB21" s="1095">
        <v>3</v>
      </c>
      <c r="BC21" s="1118"/>
      <c r="BD21" s="1103">
        <v>48285.531506849322</v>
      </c>
      <c r="BE21" s="1104">
        <v>0</v>
      </c>
      <c r="BF21" s="1102">
        <v>46644.765238663022</v>
      </c>
      <c r="BG21" s="1102">
        <v>0</v>
      </c>
      <c r="BH21" s="976" t="s">
        <v>23</v>
      </c>
      <c r="BI21" s="1119">
        <v>21</v>
      </c>
      <c r="BJ21" s="1094">
        <v>0</v>
      </c>
      <c r="BK21" s="1119">
        <v>41</v>
      </c>
      <c r="BL21" s="1094">
        <v>0</v>
      </c>
      <c r="BM21" s="1119">
        <v>26</v>
      </c>
      <c r="BN21" s="1094">
        <v>0</v>
      </c>
      <c r="BO21" s="1119">
        <v>16</v>
      </c>
      <c r="BP21" s="1094">
        <v>0</v>
      </c>
      <c r="BQ21" s="1119">
        <v>6</v>
      </c>
      <c r="BR21" s="1104">
        <v>0</v>
      </c>
      <c r="BS21" s="986"/>
      <c r="BT21" s="1322">
        <f t="shared" si="12"/>
        <v>9</v>
      </c>
      <c r="BU21" s="1320"/>
      <c r="BV21" s="1323">
        <f t="shared" si="13"/>
        <v>56</v>
      </c>
      <c r="BW21" s="1320"/>
      <c r="BX21" s="1323">
        <f t="shared" si="14"/>
        <v>0</v>
      </c>
      <c r="BY21" s="1320"/>
      <c r="BZ21" s="1323">
        <f t="shared" si="15"/>
        <v>53</v>
      </c>
      <c r="CA21" s="1320"/>
      <c r="CB21" s="1323">
        <f t="shared" si="16"/>
        <v>7</v>
      </c>
      <c r="CC21" s="1321"/>
    </row>
    <row r="22" spans="1:81" ht="37.5" thickBot="1" x14ac:dyDescent="0.5">
      <c r="A22" s="73" t="s">
        <v>24</v>
      </c>
      <c r="B22" s="73">
        <v>959</v>
      </c>
      <c r="C22" s="73"/>
      <c r="D22" s="73"/>
      <c r="E22" s="928" t="s">
        <v>24</v>
      </c>
      <c r="F22" s="1304">
        <v>6</v>
      </c>
      <c r="G22" s="1327">
        <v>7</v>
      </c>
      <c r="H22" s="1328"/>
      <c r="I22" s="1329"/>
      <c r="J22" s="1328"/>
      <c r="K22" s="1329"/>
      <c r="L22" s="1328"/>
      <c r="M22" s="1329"/>
      <c r="N22" s="1328"/>
      <c r="O22" s="1329"/>
      <c r="P22" s="1328">
        <v>7</v>
      </c>
      <c r="Q22" s="1329"/>
      <c r="R22" s="391"/>
      <c r="S22" s="1098"/>
      <c r="T22" s="1100"/>
      <c r="U22" s="1068"/>
      <c r="V22" s="1100"/>
      <c r="W22" s="1306">
        <v>6</v>
      </c>
      <c r="X22" s="1095"/>
      <c r="Y22" s="1096"/>
      <c r="Z22" s="1095"/>
      <c r="AA22" s="1096"/>
      <c r="AB22" s="1095"/>
      <c r="AC22" s="1096"/>
      <c r="AD22" s="1095"/>
      <c r="AE22" s="1096"/>
      <c r="AF22" s="1095"/>
      <c r="AG22" s="1101"/>
      <c r="AH22" s="1345">
        <v>1</v>
      </c>
      <c r="AI22" s="1313">
        <f t="shared" si="17"/>
        <v>0</v>
      </c>
      <c r="AJ22" s="1313">
        <f t="shared" si="18"/>
        <v>0</v>
      </c>
      <c r="AK22" s="1313">
        <f t="shared" si="19"/>
        <v>0</v>
      </c>
      <c r="AL22" s="1313">
        <f t="shared" si="20"/>
        <v>0</v>
      </c>
      <c r="AM22" s="1313">
        <f t="shared" si="21"/>
        <v>0</v>
      </c>
      <c r="AN22" s="1313">
        <f t="shared" si="22"/>
        <v>0</v>
      </c>
      <c r="AO22" s="1313">
        <f t="shared" si="23"/>
        <v>0</v>
      </c>
      <c r="AP22" s="1313">
        <f t="shared" si="24"/>
        <v>0</v>
      </c>
      <c r="AQ22" s="1313">
        <f t="shared" si="25"/>
        <v>7</v>
      </c>
      <c r="AR22" s="1313">
        <f t="shared" si="26"/>
        <v>0</v>
      </c>
      <c r="AS22" s="955"/>
      <c r="AT22" s="1328"/>
      <c r="AU22" s="1328"/>
      <c r="AV22" s="1328"/>
      <c r="AW22" s="1328"/>
      <c r="AX22" s="1328"/>
      <c r="AY22" s="1328"/>
      <c r="AZ22" s="1328"/>
      <c r="BA22" s="1328"/>
      <c r="BB22" s="1328"/>
      <c r="BC22" s="1333"/>
      <c r="BD22" s="1346">
        <v>0</v>
      </c>
      <c r="BE22" s="1347">
        <v>0</v>
      </c>
      <c r="BF22" s="1345">
        <v>0</v>
      </c>
      <c r="BG22" s="1345"/>
      <c r="BH22" s="973" t="s">
        <v>24</v>
      </c>
      <c r="BI22" s="1346">
        <v>0</v>
      </c>
      <c r="BJ22" s="1348">
        <v>0</v>
      </c>
      <c r="BK22" s="1348">
        <v>0</v>
      </c>
      <c r="BL22" s="1348">
        <v>0</v>
      </c>
      <c r="BM22" s="1348">
        <v>0</v>
      </c>
      <c r="BN22" s="1348">
        <v>0</v>
      </c>
      <c r="BO22" s="1348">
        <v>0</v>
      </c>
      <c r="BP22" s="1348">
        <v>0</v>
      </c>
      <c r="BQ22" s="1348">
        <v>7</v>
      </c>
      <c r="BR22" s="1347">
        <v>0</v>
      </c>
      <c r="BS22" s="987"/>
      <c r="BT22" s="1322">
        <f t="shared" si="12"/>
        <v>0</v>
      </c>
      <c r="BU22" s="1320"/>
      <c r="BV22" s="1323">
        <f t="shared" si="13"/>
        <v>0</v>
      </c>
      <c r="BW22" s="1320"/>
      <c r="BX22" s="1323">
        <f t="shared" si="14"/>
        <v>0</v>
      </c>
      <c r="BY22" s="1320"/>
      <c r="BZ22" s="1323">
        <f t="shared" si="15"/>
        <v>0</v>
      </c>
      <c r="CA22" s="1320"/>
      <c r="CB22" s="1323">
        <f t="shared" si="16"/>
        <v>7</v>
      </c>
      <c r="CC22" s="1321"/>
    </row>
    <row r="23" spans="1:81" x14ac:dyDescent="0.45">
      <c r="A23" s="1105" t="s">
        <v>370</v>
      </c>
      <c r="B23" s="1105"/>
      <c r="C23" s="1105"/>
      <c r="D23" s="1105"/>
      <c r="E23" s="928" t="s">
        <v>367</v>
      </c>
      <c r="F23" s="1305">
        <v>50</v>
      </c>
      <c r="G23" s="1116">
        <v>35</v>
      </c>
      <c r="H23" s="1110"/>
      <c r="I23" s="1110"/>
      <c r="J23" s="1110"/>
      <c r="K23" s="1110"/>
      <c r="L23" s="1110"/>
      <c r="M23" s="1110"/>
      <c r="N23" s="1110">
        <v>16</v>
      </c>
      <c r="O23" s="1110"/>
      <c r="P23" s="1110">
        <v>19</v>
      </c>
      <c r="Q23" s="1110"/>
      <c r="R23" s="1109"/>
      <c r="S23" s="1110"/>
      <c r="T23" s="1117"/>
      <c r="U23" s="1111"/>
      <c r="V23" s="1117"/>
      <c r="W23" s="1307">
        <v>50</v>
      </c>
      <c r="X23" s="1109"/>
      <c r="Y23" s="1109"/>
      <c r="Z23" s="1109"/>
      <c r="AA23" s="1109"/>
      <c r="AB23" s="1109"/>
      <c r="AC23" s="1109"/>
      <c r="AD23" s="1109"/>
      <c r="AE23" s="1109"/>
      <c r="AF23" s="1109"/>
      <c r="AG23" s="1109"/>
      <c r="AH23" s="1112"/>
      <c r="AI23" s="1108"/>
      <c r="AJ23" s="1108"/>
      <c r="AK23" s="1108"/>
      <c r="AL23" s="1108"/>
      <c r="AM23" s="1108"/>
      <c r="AN23" s="1108"/>
      <c r="AO23" s="1108">
        <v>16</v>
      </c>
      <c r="AP23" s="1108"/>
      <c r="AQ23" s="1108">
        <f t="shared" si="25"/>
        <v>19</v>
      </c>
      <c r="AR23" s="1108"/>
      <c r="AS23" s="1113"/>
      <c r="AT23" s="1110"/>
      <c r="AU23" s="1110"/>
      <c r="AV23" s="1110"/>
      <c r="AW23" s="1110"/>
      <c r="AX23" s="1110"/>
      <c r="AY23" s="1110"/>
      <c r="AZ23" s="1110"/>
      <c r="BA23" s="1110"/>
      <c r="BB23" s="1110"/>
      <c r="BC23" s="1110"/>
      <c r="BD23" s="1107"/>
      <c r="BE23" s="1107"/>
      <c r="BF23" s="1107"/>
      <c r="BG23" s="1107"/>
      <c r="BH23" s="1106"/>
      <c r="BI23" s="1114"/>
      <c r="BJ23" s="1114"/>
      <c r="BK23" s="1114"/>
      <c r="BL23" s="1114"/>
      <c r="BM23" s="1114"/>
      <c r="BN23" s="1114"/>
      <c r="BO23" s="1114"/>
      <c r="BP23" s="1114"/>
      <c r="BQ23" s="1114"/>
      <c r="BR23" s="1114"/>
      <c r="BS23" s="1115"/>
      <c r="BT23" s="1322">
        <f t="shared" si="12"/>
        <v>0</v>
      </c>
      <c r="BU23" s="1320"/>
      <c r="BV23" s="1323">
        <f t="shared" si="13"/>
        <v>0</v>
      </c>
      <c r="BW23" s="1320"/>
      <c r="BX23" s="1323">
        <f t="shared" si="14"/>
        <v>0</v>
      </c>
      <c r="BY23" s="1320"/>
      <c r="BZ23" s="1323">
        <f t="shared" si="15"/>
        <v>16</v>
      </c>
      <c r="CA23" s="1320"/>
      <c r="CB23" s="1323">
        <f t="shared" si="16"/>
        <v>19</v>
      </c>
      <c r="CC23" s="1321"/>
    </row>
    <row r="24" spans="1:81" x14ac:dyDescent="0.45">
      <c r="F24"/>
      <c r="H24" s="67">
        <f>H20/$G$20*100</f>
        <v>23.364485981308412</v>
      </c>
      <c r="I24" s="67"/>
      <c r="J24" s="67">
        <f t="shared" ref="J24:P24" si="27">J20/$G$20*100</f>
        <v>23.676012461059191</v>
      </c>
      <c r="K24" s="67"/>
      <c r="L24" s="67">
        <f t="shared" si="27"/>
        <v>0</v>
      </c>
      <c r="M24" s="67"/>
      <c r="N24" s="67">
        <f t="shared" si="27"/>
        <v>47.352024922118382</v>
      </c>
      <c r="O24" s="67"/>
      <c r="P24" s="67">
        <f t="shared" si="27"/>
        <v>4.361370716510903</v>
      </c>
      <c r="Q24" s="67"/>
      <c r="R24" s="67"/>
      <c r="S24" s="67"/>
      <c r="T24" s="67"/>
      <c r="U24" s="67"/>
      <c r="W24" s="65">
        <f>SUM(W10:W23)</f>
        <v>1429</v>
      </c>
    </row>
    <row r="25" spans="1:81" ht="19" thickBot="1" x14ac:dyDescent="0.5">
      <c r="F25" s="68">
        <f>SUM(F10:F23)</f>
        <v>1415</v>
      </c>
      <c r="G25" s="68">
        <f>SUM(G10:G23)</f>
        <v>1449</v>
      </c>
      <c r="H25" s="68">
        <f>SUM(H10:H22)</f>
        <v>200</v>
      </c>
      <c r="I25" s="68">
        <f t="shared" ref="I25:P25" si="28">SUM(I10:I22)</f>
        <v>4</v>
      </c>
      <c r="J25" s="68">
        <f t="shared" si="28"/>
        <v>486</v>
      </c>
      <c r="K25" s="68">
        <f t="shared" si="28"/>
        <v>1</v>
      </c>
      <c r="L25" s="68">
        <f t="shared" si="28"/>
        <v>0</v>
      </c>
      <c r="M25" s="68">
        <f t="shared" si="28"/>
        <v>0</v>
      </c>
      <c r="N25" s="68">
        <f t="shared" si="28"/>
        <v>564</v>
      </c>
      <c r="O25" s="68">
        <f t="shared" si="28"/>
        <v>0</v>
      </c>
      <c r="P25" s="68">
        <f t="shared" si="28"/>
        <v>78</v>
      </c>
      <c r="Q25" s="68">
        <f>SUM(Q10:Q22)</f>
        <v>0</v>
      </c>
      <c r="R25" s="94"/>
      <c r="S25" s="94"/>
      <c r="T25" s="94"/>
      <c r="U25" s="910"/>
      <c r="V25" s="894"/>
    </row>
    <row r="26" spans="1:81" ht="19.5" thickTop="1" thickBot="1" x14ac:dyDescent="0.5">
      <c r="G26" s="69"/>
      <c r="H26" s="69"/>
      <c r="I26" s="69"/>
      <c r="J26" s="69"/>
      <c r="K26" s="69"/>
      <c r="L26" s="69"/>
      <c r="M26" s="69"/>
      <c r="N26" s="69"/>
      <c r="O26" s="69"/>
      <c r="P26" s="69"/>
      <c r="Q26" s="69"/>
      <c r="R26" s="69"/>
      <c r="S26" s="69"/>
      <c r="T26" s="69"/>
      <c r="U26" s="69"/>
      <c r="V26" s="894"/>
      <c r="AI26" s="65">
        <v>2</v>
      </c>
      <c r="AJ26" s="65">
        <v>6</v>
      </c>
      <c r="AK26" s="65">
        <v>29</v>
      </c>
      <c r="AL26" s="65">
        <v>14</v>
      </c>
      <c r="AM26" s="65">
        <v>9</v>
      </c>
    </row>
    <row r="27" spans="1:81" ht="23" thickBot="1" x14ac:dyDescent="0.5">
      <c r="G27" s="70">
        <f>SUM(H27:P27)</f>
        <v>0.91649413388543821</v>
      </c>
      <c r="H27" s="71">
        <f>H25/$G$25</f>
        <v>0.13802622498274672</v>
      </c>
      <c r="I27" s="71"/>
      <c r="J27" s="71">
        <f t="shared" ref="J27:Q27" si="29">J25/$G$25</f>
        <v>0.33540372670807456</v>
      </c>
      <c r="K27" s="71"/>
      <c r="L27" s="71">
        <f t="shared" si="29"/>
        <v>0</v>
      </c>
      <c r="M27" s="71"/>
      <c r="N27" s="71">
        <f t="shared" si="29"/>
        <v>0.38923395445134573</v>
      </c>
      <c r="O27" s="71"/>
      <c r="P27" s="71">
        <f t="shared" si="29"/>
        <v>5.3830227743271224E-2</v>
      </c>
      <c r="Q27" s="71">
        <f t="shared" si="29"/>
        <v>0</v>
      </c>
      <c r="R27" s="95"/>
      <c r="S27" s="1213" t="s">
        <v>345</v>
      </c>
      <c r="T27" s="1215" t="s">
        <v>346</v>
      </c>
      <c r="U27" s="1215" t="s">
        <v>347</v>
      </c>
      <c r="V27" s="1215" t="s">
        <v>348</v>
      </c>
      <c r="W27" s="940">
        <v>125</v>
      </c>
      <c r="X27" s="940">
        <v>126</v>
      </c>
      <c r="Y27" s="940">
        <v>127</v>
      </c>
      <c r="Z27" s="940">
        <v>130</v>
      </c>
      <c r="AA27" s="940">
        <v>137</v>
      </c>
      <c r="AB27" s="940">
        <v>138</v>
      </c>
      <c r="AC27" s="940">
        <v>139</v>
      </c>
      <c r="AD27" s="940">
        <v>141</v>
      </c>
      <c r="AE27" s="940">
        <v>143</v>
      </c>
      <c r="AF27" s="940">
        <v>144</v>
      </c>
      <c r="AG27" s="940">
        <v>145</v>
      </c>
    </row>
    <row r="28" spans="1:81" ht="56.5" thickTop="1" thickBot="1" x14ac:dyDescent="0.5">
      <c r="E28" s="875"/>
      <c r="F28" s="875"/>
      <c r="G28" s="875"/>
      <c r="S28" s="1214"/>
      <c r="T28" s="1216"/>
      <c r="U28" s="1216"/>
      <c r="V28" s="1216"/>
      <c r="W28" s="941" t="s">
        <v>271</v>
      </c>
      <c r="X28" s="941" t="s">
        <v>272</v>
      </c>
      <c r="Y28" s="941" t="s">
        <v>273</v>
      </c>
      <c r="Z28" s="941" t="s">
        <v>274</v>
      </c>
      <c r="AA28" s="941" t="s">
        <v>276</v>
      </c>
      <c r="AB28" s="941" t="s">
        <v>277</v>
      </c>
      <c r="AC28" s="941" t="s">
        <v>278</v>
      </c>
      <c r="AD28" s="941" t="s">
        <v>279</v>
      </c>
      <c r="AE28" s="941" t="s">
        <v>280</v>
      </c>
      <c r="AF28" s="941" t="s">
        <v>281</v>
      </c>
      <c r="AG28" s="941" t="s">
        <v>23</v>
      </c>
    </row>
    <row r="29" spans="1:81" x14ac:dyDescent="0.45">
      <c r="S29" s="931" t="s">
        <v>271</v>
      </c>
      <c r="T29" s="935">
        <v>145</v>
      </c>
      <c r="U29" s="936">
        <v>173</v>
      </c>
      <c r="V29" s="936">
        <v>178</v>
      </c>
      <c r="W29" s="942"/>
      <c r="X29" s="943">
        <v>1146</v>
      </c>
      <c r="Y29" s="942"/>
      <c r="Z29" s="943">
        <v>968</v>
      </c>
      <c r="AA29" s="943">
        <v>1321</v>
      </c>
      <c r="AB29" s="942"/>
      <c r="AC29" s="942"/>
      <c r="AD29" s="943">
        <v>1146</v>
      </c>
      <c r="AE29" s="942"/>
      <c r="AF29" s="942"/>
      <c r="AG29" s="942"/>
      <c r="AH29" s="65">
        <f>U29-T29</f>
        <v>28</v>
      </c>
    </row>
    <row r="30" spans="1:81" x14ac:dyDescent="0.45">
      <c r="E30" s="263" t="s">
        <v>344</v>
      </c>
      <c r="F30" s="264"/>
      <c r="S30" s="932" t="s">
        <v>87</v>
      </c>
      <c r="T30" s="937">
        <v>40</v>
      </c>
      <c r="U30" s="937">
        <v>49</v>
      </c>
      <c r="V30" s="937">
        <v>58</v>
      </c>
      <c r="W30" s="943">
        <v>-76</v>
      </c>
      <c r="X30" s="942"/>
      <c r="Y30" s="943">
        <v>103</v>
      </c>
      <c r="Z30" s="942"/>
      <c r="AA30" s="942"/>
      <c r="AB30" s="942"/>
      <c r="AC30" s="943">
        <v>250</v>
      </c>
      <c r="AD30" s="942"/>
      <c r="AE30" s="943">
        <v>48</v>
      </c>
      <c r="AF30" s="942"/>
      <c r="AG30" s="943">
        <v>409</v>
      </c>
      <c r="AH30" s="65">
        <f t="shared" ref="AH30:AH39" si="30">U30-T30</f>
        <v>9</v>
      </c>
    </row>
    <row r="31" spans="1:81" x14ac:dyDescent="0.45">
      <c r="E31" s="266">
        <v>0</v>
      </c>
      <c r="F31" s="265"/>
      <c r="S31" s="933" t="s">
        <v>273</v>
      </c>
      <c r="T31" s="937">
        <v>134</v>
      </c>
      <c r="U31" s="937">
        <v>150</v>
      </c>
      <c r="V31" s="937">
        <v>148</v>
      </c>
      <c r="W31" s="942"/>
      <c r="X31" s="942"/>
      <c r="Y31" s="942"/>
      <c r="Z31" s="942"/>
      <c r="AA31" s="942"/>
      <c r="AB31" s="942"/>
      <c r="AC31" s="942"/>
      <c r="AD31" s="942"/>
      <c r="AE31" s="942"/>
      <c r="AF31" s="942"/>
      <c r="AG31" s="942"/>
      <c r="AH31" s="65">
        <f t="shared" si="30"/>
        <v>16</v>
      </c>
    </row>
    <row r="32" spans="1:81" ht="19" thickBot="1" x14ac:dyDescent="0.5">
      <c r="E32" s="251"/>
      <c r="F32" s="252"/>
      <c r="S32" s="932" t="s">
        <v>15</v>
      </c>
      <c r="T32" s="937">
        <v>60</v>
      </c>
      <c r="U32" s="938">
        <v>71</v>
      </c>
      <c r="V32" s="938">
        <v>60</v>
      </c>
      <c r="AH32" s="65">
        <f t="shared" si="30"/>
        <v>11</v>
      </c>
    </row>
    <row r="33" spans="5:34" ht="30.5" thickBot="1" x14ac:dyDescent="0.5">
      <c r="E33" s="253"/>
      <c r="F33" s="253" t="s">
        <v>161</v>
      </c>
      <c r="G33" s="859" t="s">
        <v>322</v>
      </c>
      <c r="S33" s="932" t="s">
        <v>276</v>
      </c>
      <c r="T33" s="937">
        <v>50</v>
      </c>
      <c r="U33" s="937">
        <v>50</v>
      </c>
      <c r="V33" s="937">
        <v>60</v>
      </c>
      <c r="W33" s="962" t="s">
        <v>195</v>
      </c>
      <c r="X33" s="959" t="s">
        <v>349</v>
      </c>
      <c r="Y33" s="960" t="s">
        <v>350</v>
      </c>
      <c r="Z33" s="961" t="s">
        <v>351</v>
      </c>
      <c r="AH33" s="65">
        <f t="shared" si="30"/>
        <v>0</v>
      </c>
    </row>
    <row r="34" spans="5:34" x14ac:dyDescent="0.45">
      <c r="E34" s="254" t="s">
        <v>32</v>
      </c>
      <c r="F34" s="255">
        <f>ROUND(F50*(1+$E$47),0)</f>
        <v>1939</v>
      </c>
      <c r="G34" s="256">
        <v>1939</v>
      </c>
      <c r="S34" s="933" t="s">
        <v>278</v>
      </c>
      <c r="T34" s="937">
        <v>116</v>
      </c>
      <c r="U34" s="937">
        <v>127</v>
      </c>
      <c r="V34" s="937">
        <v>130</v>
      </c>
      <c r="W34" s="944" t="s">
        <v>352</v>
      </c>
      <c r="X34" s="945">
        <v>86599</v>
      </c>
      <c r="Y34" s="945">
        <v>100512</v>
      </c>
      <c r="Z34" s="946">
        <v>0.11890000000000001</v>
      </c>
      <c r="AH34" s="65">
        <f t="shared" si="30"/>
        <v>11</v>
      </c>
    </row>
    <row r="35" spans="5:34" ht="19" thickBot="1" x14ac:dyDescent="0.5">
      <c r="E35" s="257" t="s">
        <v>163</v>
      </c>
      <c r="F35" s="258">
        <f>F34*0.5</f>
        <v>969.5</v>
      </c>
      <c r="G35" s="259">
        <v>969.5</v>
      </c>
      <c r="S35" s="933" t="s">
        <v>279</v>
      </c>
      <c r="T35" s="937">
        <v>40</v>
      </c>
      <c r="U35" s="937">
        <v>40</v>
      </c>
      <c r="V35" s="937">
        <v>65</v>
      </c>
      <c r="W35" s="947" t="s">
        <v>280</v>
      </c>
      <c r="X35" s="948">
        <v>46507</v>
      </c>
      <c r="Y35" s="948">
        <v>79451</v>
      </c>
      <c r="Z35" s="949">
        <v>9.5299999999999996E-2</v>
      </c>
      <c r="AH35" s="65">
        <f t="shared" si="30"/>
        <v>0</v>
      </c>
    </row>
    <row r="36" spans="5:34" x14ac:dyDescent="0.45">
      <c r="E36" s="254" t="s">
        <v>33</v>
      </c>
      <c r="F36" s="255">
        <f>ROUND(F52*(1+$E$47),0)</f>
        <v>7273</v>
      </c>
      <c r="G36" s="256">
        <v>7273</v>
      </c>
      <c r="S36" s="932" t="s">
        <v>280</v>
      </c>
      <c r="T36" s="937">
        <v>127</v>
      </c>
      <c r="U36" s="937">
        <v>146</v>
      </c>
      <c r="V36" s="937">
        <v>156</v>
      </c>
      <c r="W36" s="947" t="s">
        <v>353</v>
      </c>
      <c r="X36" s="948">
        <v>16274</v>
      </c>
      <c r="Y36" s="948">
        <v>35535</v>
      </c>
      <c r="Z36" s="949">
        <v>3.44E-2</v>
      </c>
      <c r="AH36" s="65">
        <f t="shared" si="30"/>
        <v>19</v>
      </c>
    </row>
    <row r="37" spans="5:34" ht="19" thickBot="1" x14ac:dyDescent="0.5">
      <c r="E37" s="257" t="s">
        <v>164</v>
      </c>
      <c r="F37" s="258">
        <f>F36*0.5</f>
        <v>3636.5</v>
      </c>
      <c r="G37" s="259">
        <v>3636.5</v>
      </c>
      <c r="S37" s="932" t="s">
        <v>281</v>
      </c>
      <c r="T37" s="937">
        <v>300</v>
      </c>
      <c r="U37" s="937">
        <v>316</v>
      </c>
      <c r="V37" s="937">
        <v>320</v>
      </c>
      <c r="W37" s="947" t="s">
        <v>279</v>
      </c>
      <c r="X37" s="948">
        <v>53568</v>
      </c>
      <c r="Y37" s="948">
        <v>141266</v>
      </c>
      <c r="Z37" s="949">
        <v>0.3004</v>
      </c>
      <c r="AH37" s="65">
        <f t="shared" si="30"/>
        <v>16</v>
      </c>
    </row>
    <row r="38" spans="5:34" x14ac:dyDescent="0.45">
      <c r="E38" s="254" t="s">
        <v>34</v>
      </c>
      <c r="F38" s="255">
        <f>ROUND(F54*(1+$E$47),0)</f>
        <v>12121</v>
      </c>
      <c r="G38" s="256">
        <v>12121</v>
      </c>
      <c r="S38" s="933" t="s">
        <v>23</v>
      </c>
      <c r="T38" s="937">
        <v>100</v>
      </c>
      <c r="U38" s="937">
        <v>109</v>
      </c>
      <c r="V38" s="937">
        <v>115</v>
      </c>
      <c r="W38" s="947" t="s">
        <v>272</v>
      </c>
      <c r="X38" s="948">
        <v>0</v>
      </c>
      <c r="Y38" s="948">
        <v>70679</v>
      </c>
      <c r="Z38" s="949">
        <v>0.13769999999999999</v>
      </c>
      <c r="AH38" s="65">
        <f t="shared" si="30"/>
        <v>9</v>
      </c>
    </row>
    <row r="39" spans="5:34" ht="19" thickBot="1" x14ac:dyDescent="0.5">
      <c r="E39" s="257" t="s">
        <v>165</v>
      </c>
      <c r="F39" s="258">
        <f>F38*0.5</f>
        <v>6060.5</v>
      </c>
      <c r="G39" s="259">
        <v>6060.5</v>
      </c>
      <c r="S39" s="934" t="s">
        <v>24</v>
      </c>
      <c r="T39" s="939">
        <v>6</v>
      </c>
      <c r="U39" s="939">
        <v>7</v>
      </c>
      <c r="V39" s="939">
        <v>6</v>
      </c>
      <c r="W39" s="947" t="s">
        <v>274</v>
      </c>
      <c r="X39" s="948">
        <v>24400</v>
      </c>
      <c r="Y39" s="948">
        <v>116769</v>
      </c>
      <c r="Z39" s="949">
        <v>0.19370000000000001</v>
      </c>
      <c r="AH39" s="65">
        <f t="shared" si="30"/>
        <v>1</v>
      </c>
    </row>
    <row r="40" spans="5:34" ht="19" thickBot="1" x14ac:dyDescent="0.5">
      <c r="E40" s="254" t="s">
        <v>35</v>
      </c>
      <c r="F40" s="255">
        <f>ROUND(F56*(1+$E$47),0)</f>
        <v>12928</v>
      </c>
      <c r="G40" s="256">
        <v>12928</v>
      </c>
      <c r="V40" s="894"/>
      <c r="W40" s="950" t="s">
        <v>276</v>
      </c>
      <c r="X40" s="951">
        <v>0</v>
      </c>
      <c r="Y40" s="951">
        <v>9219</v>
      </c>
      <c r="Z40" s="952">
        <v>1.7899999999999999E-2</v>
      </c>
    </row>
    <row r="41" spans="5:34" ht="19" thickBot="1" x14ac:dyDescent="0.5">
      <c r="E41" s="257" t="s">
        <v>166</v>
      </c>
      <c r="F41" s="258">
        <f>F40*0.5</f>
        <v>6464</v>
      </c>
      <c r="G41" s="259">
        <v>6464</v>
      </c>
    </row>
    <row r="42" spans="5:34" x14ac:dyDescent="0.45">
      <c r="E42" s="254" t="s">
        <v>36</v>
      </c>
      <c r="F42" s="255">
        <f>ROUND(F58*(1+$E$47),0)</f>
        <v>22625</v>
      </c>
      <c r="G42" s="256">
        <v>22625</v>
      </c>
    </row>
    <row r="43" spans="5:34" ht="19" thickBot="1" x14ac:dyDescent="0.5">
      <c r="E43" s="257" t="s">
        <v>167</v>
      </c>
      <c r="F43" s="258">
        <f>F42*0.5</f>
        <v>11312.5</v>
      </c>
      <c r="G43" s="259">
        <v>11312.5</v>
      </c>
    </row>
    <row r="44" spans="5:34" ht="19" thickBot="1" x14ac:dyDescent="0.5">
      <c r="E44" s="260" t="s">
        <v>8</v>
      </c>
      <c r="F44" s="261"/>
      <c r="G44" s="262">
        <f>ROUND(G60*(1+E31),0)</f>
        <v>39057</v>
      </c>
    </row>
    <row r="46" spans="5:34" x14ac:dyDescent="0.45">
      <c r="E46" s="263" t="s">
        <v>307</v>
      </c>
      <c r="F46" s="264"/>
    </row>
    <row r="47" spans="5:34" x14ac:dyDescent="0.45">
      <c r="E47" s="266">
        <v>0</v>
      </c>
      <c r="F47" s="265"/>
    </row>
    <row r="48" spans="5:34" x14ac:dyDescent="0.45">
      <c r="E48" s="251"/>
      <c r="F48" s="252"/>
    </row>
    <row r="49" spans="5:15" ht="30.5" thickBot="1" x14ac:dyDescent="0.5">
      <c r="E49" s="253"/>
      <c r="F49" s="253" t="s">
        <v>161</v>
      </c>
      <c r="G49" s="859" t="s">
        <v>308</v>
      </c>
    </row>
    <row r="50" spans="5:15" x14ac:dyDescent="0.45">
      <c r="E50" s="254" t="s">
        <v>32</v>
      </c>
      <c r="F50" s="255">
        <f>ROUND(F66*(1+$E$47),0)</f>
        <v>1939</v>
      </c>
      <c r="G50" s="256">
        <f>ROUND(F50*(1.1),0)</f>
        <v>2133</v>
      </c>
    </row>
    <row r="51" spans="5:15" ht="19" thickBot="1" x14ac:dyDescent="0.5">
      <c r="E51" s="257" t="s">
        <v>163</v>
      </c>
      <c r="F51" s="258">
        <f>F50*0.5</f>
        <v>969.5</v>
      </c>
      <c r="G51" s="259">
        <f>G50*0.5</f>
        <v>1066.5</v>
      </c>
    </row>
    <row r="52" spans="5:15" x14ac:dyDescent="0.45">
      <c r="E52" s="254" t="s">
        <v>33</v>
      </c>
      <c r="F52" s="255">
        <f>ROUND(F68*(1+$E$47),0)</f>
        <v>7273</v>
      </c>
      <c r="G52" s="256">
        <f>ROUND(F52*(1.1),0)</f>
        <v>8000</v>
      </c>
    </row>
    <row r="53" spans="5:15" ht="19" thickBot="1" x14ac:dyDescent="0.5">
      <c r="E53" s="257" t="s">
        <v>164</v>
      </c>
      <c r="F53" s="258">
        <f>F52*0.5</f>
        <v>3636.5</v>
      </c>
      <c r="G53" s="259">
        <f>G52*0.5</f>
        <v>4000</v>
      </c>
    </row>
    <row r="54" spans="5:15" x14ac:dyDescent="0.45">
      <c r="E54" s="254" t="s">
        <v>34</v>
      </c>
      <c r="F54" s="255">
        <f>ROUND(F70*(1+$E$47),0)</f>
        <v>12121</v>
      </c>
      <c r="G54" s="256">
        <f>ROUND(F54*(1.1),0)</f>
        <v>13333</v>
      </c>
    </row>
    <row r="55" spans="5:15" ht="19" thickBot="1" x14ac:dyDescent="0.5">
      <c r="E55" s="257" t="s">
        <v>165</v>
      </c>
      <c r="F55" s="258">
        <f>F54*0.5</f>
        <v>6060.5</v>
      </c>
      <c r="G55" s="259">
        <f>G54*0.5</f>
        <v>6666.5</v>
      </c>
    </row>
    <row r="56" spans="5:15" x14ac:dyDescent="0.45">
      <c r="E56" s="254" t="s">
        <v>35</v>
      </c>
      <c r="F56" s="255">
        <f>ROUND(F72*(1+$E$47),0)</f>
        <v>12928</v>
      </c>
      <c r="G56" s="256">
        <f>ROUND(F56*(1.1),0)</f>
        <v>14221</v>
      </c>
    </row>
    <row r="57" spans="5:15" ht="19" thickBot="1" x14ac:dyDescent="0.5">
      <c r="E57" s="257" t="s">
        <v>166</v>
      </c>
      <c r="F57" s="258">
        <f>F56*0.5</f>
        <v>6464</v>
      </c>
      <c r="G57" s="259">
        <f>G56*0.5</f>
        <v>7110.5</v>
      </c>
    </row>
    <row r="58" spans="5:15" x14ac:dyDescent="0.45">
      <c r="E58" s="254" t="s">
        <v>36</v>
      </c>
      <c r="F58" s="255">
        <f>ROUND(F74*(1+$E$47),0)</f>
        <v>22625</v>
      </c>
      <c r="G58" s="256">
        <f>ROUND(F58*(1.1),0)</f>
        <v>24888</v>
      </c>
    </row>
    <row r="59" spans="5:15" ht="19" thickBot="1" x14ac:dyDescent="0.5">
      <c r="E59" s="257" t="s">
        <v>167</v>
      </c>
      <c r="F59" s="258">
        <f>F58*0.5</f>
        <v>11312.5</v>
      </c>
      <c r="G59" s="259">
        <f>G58*0.5</f>
        <v>12444</v>
      </c>
    </row>
    <row r="60" spans="5:15" ht="19" thickBot="1" x14ac:dyDescent="0.5">
      <c r="E60" s="260" t="s">
        <v>8</v>
      </c>
      <c r="F60" s="261"/>
      <c r="G60" s="262">
        <f>ROUND(G76*(1+E47),0)</f>
        <v>39057</v>
      </c>
    </row>
    <row r="62" spans="5:15" x14ac:dyDescent="0.45">
      <c r="E62" s="263" t="s">
        <v>305</v>
      </c>
      <c r="F62" s="264"/>
    </row>
    <row r="63" spans="5:15" x14ac:dyDescent="0.45">
      <c r="E63" s="266">
        <v>0.15</v>
      </c>
      <c r="F63" s="265"/>
    </row>
    <row r="64" spans="5:15" x14ac:dyDescent="0.45">
      <c r="E64" s="251"/>
      <c r="F64" s="252"/>
      <c r="O64" s="299"/>
    </row>
    <row r="65" spans="5:9" ht="19" thickBot="1" x14ac:dyDescent="0.5">
      <c r="E65" s="253"/>
      <c r="F65" s="253" t="s">
        <v>161</v>
      </c>
      <c r="G65" s="253" t="s">
        <v>162</v>
      </c>
    </row>
    <row r="66" spans="5:9" x14ac:dyDescent="0.45">
      <c r="E66" s="254" t="s">
        <v>32</v>
      </c>
      <c r="F66" s="255">
        <f>ROUND(F83*(1+$E$63),0)</f>
        <v>1939</v>
      </c>
      <c r="G66" s="256">
        <f>ROUND(F66*(1.15),0)</f>
        <v>2230</v>
      </c>
    </row>
    <row r="67" spans="5:9" ht="19" thickBot="1" x14ac:dyDescent="0.5">
      <c r="E67" s="257" t="s">
        <v>163</v>
      </c>
      <c r="F67" s="258">
        <f>F66*0.5</f>
        <v>969.5</v>
      </c>
      <c r="G67" s="259">
        <f>G66*0.5</f>
        <v>1115</v>
      </c>
    </row>
    <row r="68" spans="5:9" x14ac:dyDescent="0.45">
      <c r="E68" s="254" t="s">
        <v>33</v>
      </c>
      <c r="F68" s="255">
        <f>ROUND(F85*(1+$E$63),0)</f>
        <v>7273</v>
      </c>
      <c r="G68" s="256">
        <f>ROUND(F68*(1.15),0)</f>
        <v>8364</v>
      </c>
      <c r="I68" s="267">
        <f>F83-F99</f>
        <v>112</v>
      </c>
    </row>
    <row r="69" spans="5:9" ht="19" thickBot="1" x14ac:dyDescent="0.5">
      <c r="E69" s="257" t="s">
        <v>164</v>
      </c>
      <c r="F69" s="258">
        <f>F68*0.5</f>
        <v>3636.5</v>
      </c>
      <c r="G69" s="259">
        <f>G68*0.5</f>
        <v>4182</v>
      </c>
    </row>
    <row r="70" spans="5:9" x14ac:dyDescent="0.45">
      <c r="E70" s="254" t="s">
        <v>34</v>
      </c>
      <c r="F70" s="255">
        <f>ROUND(F87*(1+$E$63),0)</f>
        <v>12121</v>
      </c>
      <c r="G70" s="256">
        <f>ROUND(F70*(1.15),0)</f>
        <v>13939</v>
      </c>
    </row>
    <row r="71" spans="5:9" ht="19" thickBot="1" x14ac:dyDescent="0.5">
      <c r="E71" s="257" t="s">
        <v>165</v>
      </c>
      <c r="F71" s="258">
        <f>F70*0.5</f>
        <v>6060.5</v>
      </c>
      <c r="G71" s="259">
        <f>G70*0.5</f>
        <v>6969.5</v>
      </c>
    </row>
    <row r="72" spans="5:9" x14ac:dyDescent="0.45">
      <c r="E72" s="254" t="s">
        <v>35</v>
      </c>
      <c r="F72" s="255">
        <f>ROUND(F89*(1+$E$63),0)</f>
        <v>12928</v>
      </c>
      <c r="G72" s="256">
        <f>ROUND(F72*(1.15),0)</f>
        <v>14867</v>
      </c>
    </row>
    <row r="73" spans="5:9" ht="19" thickBot="1" x14ac:dyDescent="0.5">
      <c r="E73" s="257" t="s">
        <v>166</v>
      </c>
      <c r="F73" s="258">
        <f>F72*0.5</f>
        <v>6464</v>
      </c>
      <c r="G73" s="259">
        <f>G72*0.5</f>
        <v>7433.5</v>
      </c>
    </row>
    <row r="74" spans="5:9" x14ac:dyDescent="0.45">
      <c r="E74" s="254" t="s">
        <v>36</v>
      </c>
      <c r="F74" s="255">
        <f>ROUND(F91*(1+$E$63),0)</f>
        <v>22625</v>
      </c>
      <c r="G74" s="256">
        <f>ROUND(F74*(1.15),0)</f>
        <v>26019</v>
      </c>
    </row>
    <row r="75" spans="5:9" ht="19" thickBot="1" x14ac:dyDescent="0.5">
      <c r="E75" s="257" t="s">
        <v>167</v>
      </c>
      <c r="F75" s="258">
        <f>F74*0.5</f>
        <v>11312.5</v>
      </c>
      <c r="G75" s="259">
        <f>G74*0.5</f>
        <v>13009.5</v>
      </c>
    </row>
    <row r="76" spans="5:9" ht="19" thickBot="1" x14ac:dyDescent="0.5">
      <c r="E76" s="260" t="s">
        <v>8</v>
      </c>
      <c r="F76" s="261"/>
      <c r="G76" s="262">
        <f>ROUND(G93*(1+E63),0)</f>
        <v>39057</v>
      </c>
    </row>
    <row r="79" spans="5:9" x14ac:dyDescent="0.45">
      <c r="E79" s="263" t="s">
        <v>170</v>
      </c>
      <c r="F79" s="264"/>
      <c r="G79" s="265"/>
    </row>
    <row r="80" spans="5:9" x14ac:dyDescent="0.45">
      <c r="E80" s="266">
        <v>7.1400000000000005E-2</v>
      </c>
      <c r="F80" s="265"/>
      <c r="G80" s="265"/>
    </row>
    <row r="81" spans="5:7" x14ac:dyDescent="0.45">
      <c r="E81" s="251" t="s">
        <v>168</v>
      </c>
      <c r="F81" s="252"/>
      <c r="G81" s="252"/>
    </row>
    <row r="82" spans="5:7" ht="19" thickBot="1" x14ac:dyDescent="0.5">
      <c r="E82" s="253"/>
      <c r="F82" s="253" t="s">
        <v>161</v>
      </c>
      <c r="G82" s="253" t="s">
        <v>162</v>
      </c>
    </row>
    <row r="83" spans="5:7" x14ac:dyDescent="0.45">
      <c r="E83" s="254" t="s">
        <v>32</v>
      </c>
      <c r="F83" s="255">
        <f>ROUND(F99*(1+$E$80),0)</f>
        <v>1686</v>
      </c>
      <c r="G83" s="256">
        <f>ROUND(F83*(1.15),0)</f>
        <v>1939</v>
      </c>
    </row>
    <row r="84" spans="5:7" ht="19" thickBot="1" x14ac:dyDescent="0.5">
      <c r="E84" s="257" t="s">
        <v>163</v>
      </c>
      <c r="F84" s="258">
        <f>F83*0.5</f>
        <v>843</v>
      </c>
      <c r="G84" s="259">
        <f>G83*0.5</f>
        <v>969.5</v>
      </c>
    </row>
    <row r="85" spans="5:7" x14ac:dyDescent="0.45">
      <c r="E85" s="254" t="s">
        <v>33</v>
      </c>
      <c r="F85" s="255">
        <f>ROUND(F101*(1+$E$80),0)</f>
        <v>6324</v>
      </c>
      <c r="G85" s="256">
        <f>ROUND(F85*(1.15),0)</f>
        <v>7273</v>
      </c>
    </row>
    <row r="86" spans="5:7" ht="19" thickBot="1" x14ac:dyDescent="0.5">
      <c r="E86" s="257" t="s">
        <v>164</v>
      </c>
      <c r="F86" s="258">
        <f>F85*0.5</f>
        <v>3162</v>
      </c>
      <c r="G86" s="259">
        <f>G85*0.5</f>
        <v>3636.5</v>
      </c>
    </row>
    <row r="87" spans="5:7" x14ac:dyDescent="0.45">
      <c r="E87" s="254" t="s">
        <v>34</v>
      </c>
      <c r="F87" s="255">
        <f>ROUND(F103*(1+$E$80),0)</f>
        <v>10540</v>
      </c>
      <c r="G87" s="256">
        <f>ROUND(F87*(1.15),0)</f>
        <v>12121</v>
      </c>
    </row>
    <row r="88" spans="5:7" ht="19" thickBot="1" x14ac:dyDescent="0.5">
      <c r="E88" s="257" t="s">
        <v>165</v>
      </c>
      <c r="F88" s="258">
        <f>F87*0.5</f>
        <v>5270</v>
      </c>
      <c r="G88" s="259">
        <f>G87*0.5</f>
        <v>6060.5</v>
      </c>
    </row>
    <row r="89" spans="5:7" x14ac:dyDescent="0.45">
      <c r="E89" s="254" t="s">
        <v>35</v>
      </c>
      <c r="F89" s="255">
        <f>ROUND(F105*(1+$E$80),0)</f>
        <v>11242</v>
      </c>
      <c r="G89" s="256">
        <f>ROUND(F89*(1.15),0)</f>
        <v>12928</v>
      </c>
    </row>
    <row r="90" spans="5:7" ht="19" thickBot="1" x14ac:dyDescent="0.5">
      <c r="E90" s="257" t="s">
        <v>166</v>
      </c>
      <c r="F90" s="258">
        <f>F89*0.5</f>
        <v>5621</v>
      </c>
      <c r="G90" s="259">
        <f>G89*0.5</f>
        <v>6464</v>
      </c>
    </row>
    <row r="91" spans="5:7" x14ac:dyDescent="0.45">
      <c r="E91" s="254" t="s">
        <v>36</v>
      </c>
      <c r="F91" s="255">
        <f>ROUND(F107*(1+$E$80),0)</f>
        <v>19674</v>
      </c>
      <c r="G91" s="256">
        <f>ROUND(F91*(1.15),0)</f>
        <v>22625</v>
      </c>
    </row>
    <row r="92" spans="5:7" ht="19" thickBot="1" x14ac:dyDescent="0.5">
      <c r="E92" s="257" t="s">
        <v>167</v>
      </c>
      <c r="F92" s="258">
        <f>F91*0.5</f>
        <v>9837</v>
      </c>
      <c r="G92" s="259">
        <f>G91*0.5</f>
        <v>11312.5</v>
      </c>
    </row>
    <row r="93" spans="5:7" ht="19" thickBot="1" x14ac:dyDescent="0.5">
      <c r="E93" s="260" t="s">
        <v>8</v>
      </c>
      <c r="F93" s="261"/>
      <c r="G93" s="262">
        <f>ROUND(G109*(1+E80),0)</f>
        <v>33963</v>
      </c>
    </row>
    <row r="97" spans="5:7" x14ac:dyDescent="0.45">
      <c r="E97" s="65" t="s">
        <v>169</v>
      </c>
    </row>
    <row r="98" spans="5:7" ht="19" thickBot="1" x14ac:dyDescent="0.5">
      <c r="E98" s="241"/>
      <c r="F98" s="241" t="s">
        <v>161</v>
      </c>
      <c r="G98" s="241" t="s">
        <v>162</v>
      </c>
    </row>
    <row r="99" spans="5:7" x14ac:dyDescent="0.45">
      <c r="E99" s="242" t="s">
        <v>32</v>
      </c>
      <c r="F99" s="243">
        <v>1574</v>
      </c>
      <c r="G99" s="244">
        <v>1810</v>
      </c>
    </row>
    <row r="100" spans="5:7" ht="19" thickBot="1" x14ac:dyDescent="0.5">
      <c r="E100" s="245" t="s">
        <v>163</v>
      </c>
      <c r="F100" s="246">
        <f>F99*0.5</f>
        <v>787</v>
      </c>
      <c r="G100" s="247">
        <v>905</v>
      </c>
    </row>
    <row r="101" spans="5:7" x14ac:dyDescent="0.45">
      <c r="E101" s="242" t="s">
        <v>33</v>
      </c>
      <c r="F101" s="243">
        <v>5903</v>
      </c>
      <c r="G101" s="244">
        <v>6788</v>
      </c>
    </row>
    <row r="102" spans="5:7" ht="19" thickBot="1" x14ac:dyDescent="0.5">
      <c r="E102" s="245" t="s">
        <v>164</v>
      </c>
      <c r="F102" s="246">
        <f>F101*0.5</f>
        <v>2951.5</v>
      </c>
      <c r="G102" s="247">
        <v>3394</v>
      </c>
    </row>
    <row r="103" spans="5:7" x14ac:dyDescent="0.45">
      <c r="E103" s="242" t="s">
        <v>34</v>
      </c>
      <c r="F103" s="243">
        <v>9838</v>
      </c>
      <c r="G103" s="244">
        <v>11313</v>
      </c>
    </row>
    <row r="104" spans="5:7" ht="19" thickBot="1" x14ac:dyDescent="0.5">
      <c r="E104" s="245" t="s">
        <v>165</v>
      </c>
      <c r="F104" s="246">
        <f>F103*0.5</f>
        <v>4919</v>
      </c>
      <c r="G104" s="247">
        <v>5656.5</v>
      </c>
    </row>
    <row r="105" spans="5:7" x14ac:dyDescent="0.45">
      <c r="E105" s="242" t="s">
        <v>35</v>
      </c>
      <c r="F105" s="243">
        <v>10493</v>
      </c>
      <c r="G105" s="244">
        <v>12067</v>
      </c>
    </row>
    <row r="106" spans="5:7" ht="19" thickBot="1" x14ac:dyDescent="0.5">
      <c r="E106" s="245" t="s">
        <v>166</v>
      </c>
      <c r="F106" s="246">
        <f>F105*0.5</f>
        <v>5246.5</v>
      </c>
      <c r="G106" s="247">
        <v>6033.5</v>
      </c>
    </row>
    <row r="107" spans="5:7" x14ac:dyDescent="0.45">
      <c r="E107" s="242" t="s">
        <v>36</v>
      </c>
      <c r="F107" s="243">
        <v>18363</v>
      </c>
      <c r="G107" s="244">
        <v>21118</v>
      </c>
    </row>
    <row r="108" spans="5:7" ht="19" thickBot="1" x14ac:dyDescent="0.5">
      <c r="E108" s="245" t="s">
        <v>167</v>
      </c>
      <c r="F108" s="246">
        <f>F107*0.5</f>
        <v>9181.5</v>
      </c>
      <c r="G108" s="247">
        <v>10559</v>
      </c>
    </row>
    <row r="109" spans="5:7" ht="19" thickBot="1" x14ac:dyDescent="0.5">
      <c r="E109" s="248" t="s">
        <v>8</v>
      </c>
      <c r="F109" s="249"/>
      <c r="G109" s="250">
        <v>31700</v>
      </c>
    </row>
  </sheetData>
  <mergeCells count="24">
    <mergeCell ref="F8:F9"/>
    <mergeCell ref="V8:V9"/>
    <mergeCell ref="S8:S9"/>
    <mergeCell ref="T8:T9"/>
    <mergeCell ref="U8:U9"/>
    <mergeCell ref="H8:P8"/>
    <mergeCell ref="G8:G9"/>
    <mergeCell ref="BD7:BF7"/>
    <mergeCell ref="BF8:BF9"/>
    <mergeCell ref="BD8:BE8"/>
    <mergeCell ref="S27:S28"/>
    <mergeCell ref="T27:T28"/>
    <mergeCell ref="U27:U28"/>
    <mergeCell ref="V27:V28"/>
    <mergeCell ref="AT8:BB8"/>
    <mergeCell ref="AI8:AQ8"/>
    <mergeCell ref="AH8:AH9"/>
    <mergeCell ref="X8:AF8"/>
    <mergeCell ref="W8:W9"/>
    <mergeCell ref="BT7:CC7"/>
    <mergeCell ref="BT8:CC8"/>
    <mergeCell ref="BG8:BG9"/>
    <mergeCell ref="BI8:BR8"/>
    <mergeCell ref="BI7:BR7"/>
  </mergeCells>
  <pageMargins left="0.7" right="0.7" top="0.75" bottom="0.75" header="0.3" footer="0.3"/>
  <pageSetup paperSize="9" orientation="portrait"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2:J19"/>
  <sheetViews>
    <sheetView workbookViewId="0">
      <selection activeCell="D3" sqref="D3:D15"/>
    </sheetView>
  </sheetViews>
  <sheetFormatPr defaultColWidth="9.1796875" defaultRowHeight="15.5" x14ac:dyDescent="0.35"/>
  <cols>
    <col min="1" max="1" width="5.54296875" style="13" bestFit="1" customWidth="1"/>
    <col min="2" max="2" width="25.54296875" style="13" bestFit="1" customWidth="1"/>
    <col min="3" max="3" width="18" style="13" bestFit="1" customWidth="1"/>
    <col min="4" max="4" width="8.26953125" style="13" bestFit="1" customWidth="1"/>
    <col min="5" max="5" width="7.81640625" style="13" bestFit="1" customWidth="1"/>
    <col min="6" max="6" width="11" style="13" bestFit="1" customWidth="1"/>
    <col min="7" max="7" width="12.81640625" style="13" bestFit="1" customWidth="1"/>
    <col min="8" max="8" width="12.26953125" style="13" bestFit="1" customWidth="1"/>
    <col min="9" max="16384" width="9.1796875" style="13"/>
  </cols>
  <sheetData>
    <row r="2" spans="1:8" ht="46.5" x14ac:dyDescent="0.35">
      <c r="A2" s="12" t="s">
        <v>26</v>
      </c>
      <c r="B2" s="12" t="s">
        <v>11</v>
      </c>
      <c r="C2" s="12" t="s">
        <v>31</v>
      </c>
      <c r="D2" s="12" t="s">
        <v>25</v>
      </c>
      <c r="E2" s="12" t="s">
        <v>29</v>
      </c>
      <c r="F2" s="12" t="s">
        <v>8</v>
      </c>
      <c r="G2" s="12" t="s">
        <v>27</v>
      </c>
      <c r="H2" s="12" t="s">
        <v>28</v>
      </c>
    </row>
    <row r="3" spans="1:8" x14ac:dyDescent="0.35">
      <c r="A3" s="14">
        <v>125</v>
      </c>
      <c r="B3" s="15" t="s">
        <v>12</v>
      </c>
      <c r="C3" s="11">
        <v>145</v>
      </c>
      <c r="D3" s="16"/>
      <c r="E3" s="17"/>
      <c r="F3" s="17"/>
      <c r="G3" s="50">
        <v>9.2299999999999993E-2</v>
      </c>
      <c r="H3" s="50"/>
    </row>
    <row r="4" spans="1:8" x14ac:dyDescent="0.35">
      <c r="A4" s="18">
        <v>126</v>
      </c>
      <c r="B4" s="19" t="s">
        <v>13</v>
      </c>
      <c r="C4" s="11">
        <v>40</v>
      </c>
      <c r="D4" s="16"/>
      <c r="E4" s="16" t="s">
        <v>7</v>
      </c>
      <c r="F4" s="17"/>
      <c r="G4" s="50">
        <v>0</v>
      </c>
      <c r="H4" s="50"/>
    </row>
    <row r="5" spans="1:8" x14ac:dyDescent="0.35">
      <c r="A5" s="14">
        <v>127</v>
      </c>
      <c r="B5" s="15" t="s">
        <v>14</v>
      </c>
      <c r="C5" s="11">
        <v>134</v>
      </c>
      <c r="D5" s="16"/>
      <c r="E5" s="17"/>
      <c r="F5" s="17"/>
      <c r="G5" s="50"/>
      <c r="H5" s="50">
        <v>-2.3E-3</v>
      </c>
    </row>
    <row r="6" spans="1:8" x14ac:dyDescent="0.35">
      <c r="A6" s="18">
        <v>130</v>
      </c>
      <c r="B6" s="19" t="s">
        <v>15</v>
      </c>
      <c r="C6" s="11">
        <v>32</v>
      </c>
      <c r="D6" s="16"/>
      <c r="E6" s="16" t="s">
        <v>7</v>
      </c>
      <c r="F6" s="17"/>
      <c r="G6" s="50">
        <v>3.4000000000000002E-2</v>
      </c>
      <c r="H6" s="50"/>
    </row>
    <row r="7" spans="1:8" x14ac:dyDescent="0.35">
      <c r="A7" s="14"/>
      <c r="B7" s="15"/>
      <c r="C7" s="11"/>
      <c r="D7" s="16"/>
      <c r="E7" s="16"/>
      <c r="F7" s="16"/>
      <c r="G7" s="50"/>
      <c r="H7" s="50"/>
    </row>
    <row r="8" spans="1:8" x14ac:dyDescent="0.35">
      <c r="A8" s="14">
        <v>137</v>
      </c>
      <c r="B8" s="15" t="s">
        <v>17</v>
      </c>
      <c r="C8" s="11">
        <v>50</v>
      </c>
      <c r="D8" s="16"/>
      <c r="E8" s="17"/>
      <c r="F8" s="17"/>
      <c r="G8" s="50"/>
      <c r="H8" s="50">
        <v>-2.2100000000000002E-2</v>
      </c>
    </row>
    <row r="9" spans="1:8" x14ac:dyDescent="0.35">
      <c r="A9" s="18">
        <v>138</v>
      </c>
      <c r="B9" s="19" t="s">
        <v>18</v>
      </c>
      <c r="C9" s="11">
        <v>28</v>
      </c>
      <c r="D9" s="16"/>
      <c r="E9" s="16" t="s">
        <v>7</v>
      </c>
      <c r="F9" s="17"/>
      <c r="G9" s="50"/>
      <c r="H9" s="50">
        <v>-9.4299999999999995E-2</v>
      </c>
    </row>
    <row r="10" spans="1:8" x14ac:dyDescent="0.35">
      <c r="A10" s="14">
        <v>139</v>
      </c>
      <c r="B10" s="15" t="s">
        <v>19</v>
      </c>
      <c r="C10" s="11">
        <v>116</v>
      </c>
      <c r="D10" s="16"/>
      <c r="E10" s="17"/>
      <c r="F10" s="17"/>
      <c r="G10" s="50"/>
      <c r="H10" s="50">
        <v>-3.6200000000000003E-2</v>
      </c>
    </row>
    <row r="11" spans="1:8" x14ac:dyDescent="0.35">
      <c r="A11" s="14">
        <v>141</v>
      </c>
      <c r="B11" s="15" t="s">
        <v>20</v>
      </c>
      <c r="C11" s="11">
        <v>40</v>
      </c>
      <c r="D11" s="16"/>
      <c r="E11" s="16" t="s">
        <v>7</v>
      </c>
      <c r="F11" s="17"/>
      <c r="G11" s="50">
        <v>0.11360000000000001</v>
      </c>
      <c r="H11" s="50"/>
    </row>
    <row r="12" spans="1:8" x14ac:dyDescent="0.35">
      <c r="A12" s="14">
        <v>143</v>
      </c>
      <c r="B12" s="15" t="s">
        <v>21</v>
      </c>
      <c r="C12" s="11">
        <v>126</v>
      </c>
      <c r="D12" s="16"/>
      <c r="E12" s="17"/>
      <c r="F12" s="17"/>
      <c r="G12" s="50">
        <v>5.8999999999999997E-2</v>
      </c>
      <c r="H12" s="50"/>
    </row>
    <row r="13" spans="1:8" x14ac:dyDescent="0.35">
      <c r="A13" s="14">
        <v>144</v>
      </c>
      <c r="B13" s="15" t="s">
        <v>22</v>
      </c>
      <c r="C13" s="11">
        <v>302.5</v>
      </c>
      <c r="D13" s="16"/>
      <c r="E13" s="17"/>
      <c r="F13" s="17"/>
      <c r="G13" s="50"/>
      <c r="H13" s="50">
        <v>-4.1099999999999998E-2</v>
      </c>
    </row>
    <row r="14" spans="1:8" x14ac:dyDescent="0.35">
      <c r="A14" s="20">
        <v>145</v>
      </c>
      <c r="B14" s="21" t="s">
        <v>23</v>
      </c>
      <c r="C14" s="11">
        <v>100</v>
      </c>
      <c r="D14" s="16"/>
      <c r="E14" s="17"/>
      <c r="F14" s="17"/>
      <c r="G14" s="50">
        <v>1.72E-2</v>
      </c>
      <c r="H14" s="50"/>
    </row>
    <row r="15" spans="1:8" x14ac:dyDescent="0.35">
      <c r="A15" s="18">
        <v>959</v>
      </c>
      <c r="B15" s="19" t="s">
        <v>24</v>
      </c>
      <c r="C15" s="11">
        <v>6</v>
      </c>
      <c r="D15" s="16"/>
      <c r="E15" s="17"/>
      <c r="F15" s="17"/>
      <c r="G15" s="50"/>
      <c r="H15" s="50">
        <v>-3.9699999999999999E-2</v>
      </c>
    </row>
    <row r="17" spans="2:10" ht="16" thickBot="1" x14ac:dyDescent="0.4">
      <c r="C17" s="22">
        <f>SUM(C3:C15)</f>
        <v>1119.5</v>
      </c>
    </row>
    <row r="18" spans="2:10" ht="16" thickTop="1" x14ac:dyDescent="0.35"/>
    <row r="19" spans="2:10" x14ac:dyDescent="0.35">
      <c r="B19" s="63" t="s">
        <v>72</v>
      </c>
      <c r="C19" s="63"/>
      <c r="D19" s="63"/>
      <c r="E19" s="63"/>
      <c r="F19" s="63"/>
      <c r="G19" s="63"/>
      <c r="H19" s="63"/>
      <c r="I19" s="63"/>
      <c r="J19" s="6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M30"/>
  <sheetViews>
    <sheetView zoomScale="80" zoomScaleNormal="80" workbookViewId="0">
      <pane xSplit="5" ySplit="11" topLeftCell="F12" activePane="bottomRight" state="frozen"/>
      <selection pane="topRight" activeCell="F1" sqref="F1"/>
      <selection pane="bottomLeft" activeCell="A12" sqref="A12"/>
      <selection pane="bottomRight" activeCell="F12" sqref="F12"/>
    </sheetView>
  </sheetViews>
  <sheetFormatPr defaultColWidth="9.1796875" defaultRowHeight="14.5" x14ac:dyDescent="0.35"/>
  <cols>
    <col min="1" max="1" width="9.1796875" style="182"/>
    <col min="2" max="2" width="9.54296875" style="182" customWidth="1"/>
    <col min="3" max="4" width="9.1796875" style="182"/>
    <col min="5" max="5" width="32" style="182" customWidth="1"/>
    <col min="6" max="6" width="9.1796875" style="182"/>
    <col min="7" max="7" width="9.1796875" style="182" customWidth="1"/>
    <col min="8" max="8" width="9.1796875" style="182"/>
    <col min="9" max="9" width="9.1796875" style="182" customWidth="1"/>
    <col min="10" max="10" width="10.54296875" style="182" customWidth="1"/>
    <col min="11" max="11" width="9.1796875" style="182" customWidth="1"/>
    <col min="12" max="12" width="9.1796875" style="182"/>
    <col min="13" max="13" width="9.1796875" style="182" customWidth="1"/>
    <col min="14" max="14" width="9.1796875" style="182"/>
    <col min="15" max="15" width="9.1796875" style="182" customWidth="1"/>
    <col min="16" max="20" width="9.1796875" style="182"/>
    <col min="21" max="21" width="12.453125" style="182" customWidth="1"/>
    <col min="22" max="31" width="9.1796875" style="182"/>
    <col min="32" max="32" width="10.7265625" style="182" customWidth="1"/>
    <col min="33" max="33" width="9.1796875" style="182"/>
    <col min="34" max="34" width="9.1796875" style="459"/>
    <col min="35" max="35" width="14.1796875" style="182" customWidth="1"/>
    <col min="36" max="36" width="9.1796875" style="182" customWidth="1"/>
    <col min="37" max="37" width="11.453125" style="182" customWidth="1"/>
    <col min="38" max="38" width="9.1796875" style="182" customWidth="1"/>
    <col min="39" max="39" width="10" style="182" customWidth="1"/>
    <col min="40" max="40" width="9.1796875" style="182" customWidth="1"/>
    <col min="41" max="41" width="9.81640625" style="182" customWidth="1"/>
    <col min="42" max="50" width="9.1796875" style="182" customWidth="1"/>
    <col min="51" max="53" width="13.81640625" style="182" customWidth="1"/>
    <col min="54" max="61" width="9.1796875" style="182" customWidth="1"/>
    <col min="62" max="16384" width="9.1796875" style="182"/>
  </cols>
  <sheetData>
    <row r="1" spans="1:65" x14ac:dyDescent="0.35">
      <c r="A1" s="182">
        <v>1</v>
      </c>
      <c r="B1" s="182">
        <v>2</v>
      </c>
      <c r="C1" s="182">
        <v>3</v>
      </c>
      <c r="D1" s="182">
        <v>4</v>
      </c>
      <c r="E1" s="182">
        <v>5</v>
      </c>
      <c r="F1" s="182">
        <v>6</v>
      </c>
      <c r="G1" s="182">
        <v>7</v>
      </c>
      <c r="H1" s="182">
        <v>8</v>
      </c>
      <c r="I1" s="182">
        <v>9</v>
      </c>
      <c r="J1" s="182">
        <v>10</v>
      </c>
      <c r="K1" s="182">
        <v>11</v>
      </c>
      <c r="L1" s="182">
        <v>12</v>
      </c>
      <c r="M1" s="182">
        <v>13</v>
      </c>
      <c r="N1" s="182">
        <v>14</v>
      </c>
      <c r="O1" s="182">
        <v>15</v>
      </c>
      <c r="P1" s="182">
        <v>16</v>
      </c>
      <c r="Q1" s="182">
        <v>17</v>
      </c>
      <c r="R1" s="182">
        <v>18</v>
      </c>
      <c r="S1" s="182">
        <v>19</v>
      </c>
      <c r="T1" s="182">
        <v>20</v>
      </c>
      <c r="U1" s="182">
        <v>21</v>
      </c>
      <c r="V1" s="182">
        <v>22</v>
      </c>
      <c r="W1" s="182">
        <v>23</v>
      </c>
      <c r="X1" s="182">
        <v>24</v>
      </c>
      <c r="Y1" s="182">
        <v>25</v>
      </c>
      <c r="Z1" s="182">
        <v>26</v>
      </c>
      <c r="AA1" s="182">
        <v>27</v>
      </c>
      <c r="AB1" s="182">
        <v>28</v>
      </c>
      <c r="AC1" s="182">
        <v>29</v>
      </c>
      <c r="AD1" s="182">
        <v>30</v>
      </c>
      <c r="AE1" s="182">
        <v>31</v>
      </c>
      <c r="AF1" s="182">
        <v>32</v>
      </c>
      <c r="AG1" s="182">
        <v>33</v>
      </c>
      <c r="AH1" s="182">
        <v>34</v>
      </c>
      <c r="AI1" s="182">
        <v>35</v>
      </c>
      <c r="AJ1" s="182">
        <v>36</v>
      </c>
      <c r="AK1" s="182">
        <v>37</v>
      </c>
      <c r="AL1" s="182">
        <v>38</v>
      </c>
      <c r="AM1" s="182">
        <v>39</v>
      </c>
      <c r="AN1" s="182">
        <v>40</v>
      </c>
      <c r="AO1" s="182">
        <v>41</v>
      </c>
      <c r="AP1" s="182">
        <v>42</v>
      </c>
      <c r="AQ1" s="182">
        <v>43</v>
      </c>
      <c r="AR1" s="182">
        <v>44</v>
      </c>
      <c r="AS1" s="182">
        <v>45</v>
      </c>
      <c r="AT1" s="182">
        <v>46</v>
      </c>
      <c r="AU1" s="182">
        <v>47</v>
      </c>
      <c r="AV1" s="182">
        <v>48</v>
      </c>
      <c r="AW1" s="182">
        <v>49</v>
      </c>
      <c r="AX1" s="182">
        <v>50</v>
      </c>
      <c r="AY1" s="182">
        <v>51</v>
      </c>
      <c r="AZ1" s="182">
        <v>52</v>
      </c>
      <c r="BA1" s="182">
        <v>53</v>
      </c>
      <c r="BB1" s="182">
        <v>54</v>
      </c>
      <c r="BC1" s="182">
        <v>55</v>
      </c>
      <c r="BD1" s="182">
        <v>56</v>
      </c>
      <c r="BE1" s="182">
        <v>57</v>
      </c>
      <c r="BF1" s="182">
        <v>58</v>
      </c>
      <c r="BG1" s="182">
        <v>59</v>
      </c>
      <c r="BH1" s="182">
        <v>60</v>
      </c>
      <c r="BI1" s="182">
        <v>61</v>
      </c>
      <c r="BJ1" s="182">
        <v>62</v>
      </c>
      <c r="BK1" s="182">
        <v>63</v>
      </c>
      <c r="BL1" s="182">
        <v>64</v>
      </c>
      <c r="BM1" s="182">
        <v>65</v>
      </c>
    </row>
    <row r="3" spans="1:65" ht="15" thickBot="1" x14ac:dyDescent="0.4"/>
    <row r="4" spans="1:65" x14ac:dyDescent="0.35">
      <c r="F4" s="1246" t="s">
        <v>215</v>
      </c>
      <c r="G4" s="1247"/>
      <c r="H4" s="1247"/>
      <c r="I4" s="1247"/>
      <c r="J4" s="1247"/>
      <c r="K4" s="1247"/>
      <c r="L4" s="1247"/>
      <c r="M4" s="1247"/>
      <c r="N4" s="1247"/>
      <c r="O4" s="1247"/>
      <c r="P4" s="1248"/>
    </row>
    <row r="5" spans="1:65" x14ac:dyDescent="0.35">
      <c r="F5" s="415">
        <v>1574</v>
      </c>
      <c r="G5" s="416">
        <v>787</v>
      </c>
      <c r="H5" s="416">
        <v>5903</v>
      </c>
      <c r="I5" s="416">
        <v>2951.5</v>
      </c>
      <c r="J5" s="416">
        <v>9838</v>
      </c>
      <c r="K5" s="416">
        <v>4919</v>
      </c>
      <c r="L5" s="416">
        <v>10493</v>
      </c>
      <c r="M5" s="416">
        <v>5246.5</v>
      </c>
      <c r="N5" s="416">
        <v>18363</v>
      </c>
      <c r="O5" s="416">
        <v>9181.5</v>
      </c>
      <c r="P5" s="417"/>
      <c r="AI5" s="462">
        <v>1686</v>
      </c>
      <c r="AJ5" s="462">
        <v>843</v>
      </c>
      <c r="AK5" s="462">
        <v>6324</v>
      </c>
      <c r="AL5" s="462">
        <v>3162</v>
      </c>
      <c r="AM5" s="462">
        <v>10540</v>
      </c>
      <c r="AN5" s="462">
        <v>5270</v>
      </c>
      <c r="AO5" s="462">
        <v>11242</v>
      </c>
      <c r="AP5" s="462">
        <v>5621</v>
      </c>
      <c r="AQ5" s="462">
        <v>19672</v>
      </c>
      <c r="AR5" s="462">
        <v>9837</v>
      </c>
      <c r="AS5" s="462"/>
      <c r="AT5" s="462"/>
      <c r="AU5" s="462"/>
      <c r="AV5" s="462"/>
      <c r="AW5" s="462"/>
      <c r="AX5" s="462"/>
    </row>
    <row r="6" spans="1:65" s="413" customFormat="1" ht="15" thickBot="1" x14ac:dyDescent="0.4">
      <c r="E6" s="414" t="s">
        <v>7</v>
      </c>
      <c r="F6" s="418">
        <v>1810</v>
      </c>
      <c r="G6" s="419">
        <v>905</v>
      </c>
      <c r="H6" s="419">
        <v>6788</v>
      </c>
      <c r="I6" s="419">
        <v>3394</v>
      </c>
      <c r="J6" s="419">
        <v>11313</v>
      </c>
      <c r="K6" s="419">
        <v>5656.5</v>
      </c>
      <c r="L6" s="419">
        <v>12067</v>
      </c>
      <c r="M6" s="419">
        <v>6033.5</v>
      </c>
      <c r="N6" s="419">
        <v>21118</v>
      </c>
      <c r="O6" s="419">
        <v>10559</v>
      </c>
      <c r="P6" s="420">
        <v>31700</v>
      </c>
      <c r="AH6" s="459"/>
      <c r="AI6" s="413">
        <v>1939</v>
      </c>
      <c r="AJ6" s="413">
        <v>969.5</v>
      </c>
      <c r="AK6" s="413">
        <v>7273</v>
      </c>
      <c r="AL6" s="413">
        <v>3636.5</v>
      </c>
      <c r="AM6" s="413">
        <v>12121</v>
      </c>
      <c r="AN6" s="413">
        <v>6060.5</v>
      </c>
      <c r="AO6" s="413">
        <v>12928</v>
      </c>
      <c r="AP6" s="413">
        <v>6464</v>
      </c>
      <c r="AQ6" s="413">
        <v>22623</v>
      </c>
      <c r="AR6" s="413">
        <v>11312.5</v>
      </c>
      <c r="AS6" s="413">
        <v>33963</v>
      </c>
    </row>
    <row r="7" spans="1:65" x14ac:dyDescent="0.35">
      <c r="AI7" s="462"/>
      <c r="AJ7" s="462"/>
      <c r="AK7" s="462"/>
      <c r="AL7" s="462"/>
      <c r="AM7" s="462"/>
      <c r="AN7" s="462"/>
      <c r="AO7" s="462"/>
      <c r="AP7" s="462"/>
      <c r="AQ7" s="462"/>
      <c r="AR7" s="462"/>
      <c r="AS7" s="462"/>
      <c r="AT7" s="462"/>
      <c r="AU7" s="462"/>
      <c r="AV7" s="462"/>
      <c r="AW7" s="462"/>
      <c r="AX7" s="462"/>
    </row>
    <row r="8" spans="1:65" x14ac:dyDescent="0.35">
      <c r="AI8" s="462"/>
      <c r="AJ8" s="462"/>
      <c r="AK8" s="462"/>
      <c r="AL8" s="462"/>
      <c r="AM8" s="462"/>
      <c r="AN8" s="462"/>
      <c r="AO8" s="462"/>
      <c r="AP8" s="462"/>
      <c r="AQ8" s="462"/>
      <c r="AR8" s="462"/>
      <c r="AS8" s="462"/>
      <c r="AT8" s="462"/>
      <c r="AU8" s="462"/>
      <c r="AV8" s="462"/>
      <c r="AW8" s="462"/>
      <c r="AX8" s="462"/>
    </row>
    <row r="9" spans="1:65" ht="15" customHeight="1" x14ac:dyDescent="0.35">
      <c r="F9" s="1186" t="s">
        <v>180</v>
      </c>
      <c r="G9" s="1187"/>
      <c r="H9" s="1187"/>
      <c r="I9" s="1187"/>
      <c r="J9" s="1187"/>
      <c r="K9" s="1187"/>
      <c r="L9" s="1187"/>
      <c r="M9" s="1187"/>
      <c r="N9" s="1187"/>
      <c r="O9" s="1187"/>
      <c r="P9" s="1187"/>
      <c r="Q9" s="1187"/>
      <c r="R9" s="1187"/>
      <c r="S9" s="1187"/>
      <c r="T9" s="1187"/>
      <c r="U9" s="1187"/>
      <c r="V9" s="1184" t="s">
        <v>219</v>
      </c>
      <c r="W9" s="1229"/>
      <c r="X9" s="1229"/>
      <c r="Y9" s="1229"/>
      <c r="Z9" s="1229"/>
      <c r="AA9" s="1229"/>
      <c r="AB9" s="1229"/>
      <c r="AC9" s="1229"/>
      <c r="AD9" s="1229"/>
      <c r="AE9" s="1229"/>
      <c r="AF9" s="1230"/>
      <c r="AI9" s="1231" t="s">
        <v>217</v>
      </c>
      <c r="AJ9" s="1232"/>
      <c r="AK9" s="1232"/>
      <c r="AL9" s="1232"/>
      <c r="AM9" s="1232"/>
      <c r="AN9" s="1232"/>
      <c r="AO9" s="1232"/>
      <c r="AP9" s="1232"/>
      <c r="AQ9" s="1232"/>
      <c r="AR9" s="1232"/>
      <c r="AS9" s="1232"/>
      <c r="AT9" s="1232"/>
      <c r="AU9" s="1232"/>
      <c r="AV9" s="1232"/>
      <c r="AW9" s="1232"/>
      <c r="AX9" s="1232"/>
      <c r="BB9" s="1231" t="s">
        <v>216</v>
      </c>
      <c r="BC9" s="1232"/>
      <c r="BD9" s="1232"/>
      <c r="BE9" s="1232"/>
      <c r="BF9" s="1232"/>
      <c r="BG9" s="1232"/>
      <c r="BH9" s="1232"/>
      <c r="BI9" s="1232"/>
      <c r="BJ9" s="1232"/>
      <c r="BK9" s="1232"/>
      <c r="BL9" s="1232"/>
      <c r="BM9" s="454"/>
    </row>
    <row r="10" spans="1:65" ht="15" customHeight="1" x14ac:dyDescent="0.45">
      <c r="F10" s="1184" t="s">
        <v>118</v>
      </c>
      <c r="G10" s="1230"/>
      <c r="H10" s="1184" t="s">
        <v>181</v>
      </c>
      <c r="I10" s="1230"/>
      <c r="J10" s="1184" t="s">
        <v>182</v>
      </c>
      <c r="K10" s="1230"/>
      <c r="L10" s="1184" t="s">
        <v>121</v>
      </c>
      <c r="M10" s="1230"/>
      <c r="N10" s="1184" t="s">
        <v>122</v>
      </c>
      <c r="O10" s="1230"/>
      <c r="P10" s="1179" t="s">
        <v>8</v>
      </c>
      <c r="Q10" s="1181" t="s">
        <v>150</v>
      </c>
      <c r="R10" s="1181"/>
      <c r="S10" s="1177" t="s">
        <v>183</v>
      </c>
      <c r="T10" s="1177" t="s">
        <v>184</v>
      </c>
      <c r="U10" s="1249" t="s">
        <v>88</v>
      </c>
      <c r="V10" s="1184" t="s">
        <v>118</v>
      </c>
      <c r="W10" s="1230"/>
      <c r="X10" s="1184" t="s">
        <v>181</v>
      </c>
      <c r="Y10" s="1230"/>
      <c r="Z10" s="1184" t="s">
        <v>182</v>
      </c>
      <c r="AA10" s="1230"/>
      <c r="AB10" s="1184" t="s">
        <v>121</v>
      </c>
      <c r="AC10" s="1230"/>
      <c r="AD10" s="1184" t="s">
        <v>122</v>
      </c>
      <c r="AE10" s="1230"/>
      <c r="AF10" s="422" t="s">
        <v>8</v>
      </c>
      <c r="AG10" s="182" t="s">
        <v>177</v>
      </c>
      <c r="AI10" s="1233" t="s">
        <v>118</v>
      </c>
      <c r="AJ10" s="1234"/>
      <c r="AK10" s="1233" t="s">
        <v>181</v>
      </c>
      <c r="AL10" s="1234"/>
      <c r="AM10" s="1235" t="s">
        <v>182</v>
      </c>
      <c r="AN10" s="1234"/>
      <c r="AO10" s="1233" t="s">
        <v>121</v>
      </c>
      <c r="AP10" s="1234"/>
      <c r="AQ10" s="1233" t="s">
        <v>122</v>
      </c>
      <c r="AR10" s="1234"/>
      <c r="AS10" s="1236" t="s">
        <v>8</v>
      </c>
      <c r="AT10" s="1238" t="s">
        <v>150</v>
      </c>
      <c r="AU10" s="1238"/>
      <c r="AV10" s="1239" t="s">
        <v>183</v>
      </c>
      <c r="AW10" s="1239" t="s">
        <v>184</v>
      </c>
      <c r="AX10" s="1241" t="s">
        <v>88</v>
      </c>
      <c r="AY10" s="1243" t="s">
        <v>90</v>
      </c>
      <c r="AZ10" s="470"/>
      <c r="BA10" s="470"/>
      <c r="BB10" s="1244" t="s">
        <v>118</v>
      </c>
      <c r="BC10" s="1245"/>
      <c r="BD10" s="1244" t="s">
        <v>181</v>
      </c>
      <c r="BE10" s="1245"/>
      <c r="BF10" s="1244" t="s">
        <v>182</v>
      </c>
      <c r="BG10" s="1245"/>
      <c r="BH10" s="1244" t="s">
        <v>121</v>
      </c>
      <c r="BI10" s="1245"/>
      <c r="BJ10" s="1244" t="s">
        <v>122</v>
      </c>
      <c r="BK10" s="1245"/>
      <c r="BL10" s="433"/>
      <c r="BM10" s="455" t="s">
        <v>177</v>
      </c>
    </row>
    <row r="11" spans="1:65" ht="30" customHeight="1" thickBot="1" x14ac:dyDescent="0.4">
      <c r="F11" s="408" t="s">
        <v>211</v>
      </c>
      <c r="G11" s="409" t="s">
        <v>132</v>
      </c>
      <c r="H11" s="408" t="s">
        <v>211</v>
      </c>
      <c r="I11" s="409" t="s">
        <v>132</v>
      </c>
      <c r="J11" s="408" t="s">
        <v>211</v>
      </c>
      <c r="K11" s="409" t="s">
        <v>132</v>
      </c>
      <c r="L11" s="408" t="s">
        <v>211</v>
      </c>
      <c r="M11" s="409" t="s">
        <v>132</v>
      </c>
      <c r="N11" s="408" t="s">
        <v>211</v>
      </c>
      <c r="O11" s="409" t="s">
        <v>132</v>
      </c>
      <c r="P11" s="1180"/>
      <c r="Q11" s="406" t="s">
        <v>185</v>
      </c>
      <c r="R11" s="412" t="s">
        <v>186</v>
      </c>
      <c r="S11" s="1178"/>
      <c r="T11" s="1178"/>
      <c r="U11" s="1250"/>
      <c r="V11" s="408" t="s">
        <v>212</v>
      </c>
      <c r="W11" s="409" t="s">
        <v>213</v>
      </c>
      <c r="X11" s="408" t="s">
        <v>212</v>
      </c>
      <c r="Y11" s="409" t="s">
        <v>213</v>
      </c>
      <c r="Z11" s="408" t="s">
        <v>212</v>
      </c>
      <c r="AA11" s="409" t="s">
        <v>213</v>
      </c>
      <c r="AB11" s="408" t="s">
        <v>212</v>
      </c>
      <c r="AC11" s="409" t="s">
        <v>213</v>
      </c>
      <c r="AD11" s="408" t="s">
        <v>212</v>
      </c>
      <c r="AE11" s="409" t="s">
        <v>213</v>
      </c>
      <c r="AF11" s="409"/>
      <c r="AI11" s="428" t="s">
        <v>211</v>
      </c>
      <c r="AJ11" s="429" t="s">
        <v>132</v>
      </c>
      <c r="AK11" s="428" t="s">
        <v>211</v>
      </c>
      <c r="AL11" s="429" t="s">
        <v>132</v>
      </c>
      <c r="AM11" s="450" t="s">
        <v>211</v>
      </c>
      <c r="AN11" s="429" t="s">
        <v>132</v>
      </c>
      <c r="AO11" s="428" t="s">
        <v>211</v>
      </c>
      <c r="AP11" s="429" t="s">
        <v>132</v>
      </c>
      <c r="AQ11" s="428" t="s">
        <v>211</v>
      </c>
      <c r="AR11" s="429" t="s">
        <v>132</v>
      </c>
      <c r="AS11" s="1237"/>
      <c r="AT11" s="463" t="s">
        <v>185</v>
      </c>
      <c r="AU11" s="464" t="s">
        <v>186</v>
      </c>
      <c r="AV11" s="1240"/>
      <c r="AW11" s="1240"/>
      <c r="AX11" s="1242"/>
      <c r="AY11" s="1243"/>
      <c r="AZ11" s="471" t="s">
        <v>150</v>
      </c>
      <c r="BA11" s="471" t="s">
        <v>218</v>
      </c>
      <c r="BB11" s="428" t="s">
        <v>212</v>
      </c>
      <c r="BC11" s="429" t="s">
        <v>213</v>
      </c>
      <c r="BD11" s="428" t="s">
        <v>212</v>
      </c>
      <c r="BE11" s="429" t="s">
        <v>213</v>
      </c>
      <c r="BF11" s="428" t="s">
        <v>212</v>
      </c>
      <c r="BG11" s="429" t="s">
        <v>213</v>
      </c>
      <c r="BH11" s="428" t="s">
        <v>212</v>
      </c>
      <c r="BI11" s="429" t="s">
        <v>213</v>
      </c>
      <c r="BJ11" s="428" t="s">
        <v>212</v>
      </c>
      <c r="BK11" s="429" t="s">
        <v>213</v>
      </c>
      <c r="BL11" s="450" t="s">
        <v>8</v>
      </c>
      <c r="BM11" s="455"/>
    </row>
    <row r="12" spans="1:65" ht="21" x14ac:dyDescent="0.35">
      <c r="A12" s="77">
        <v>125</v>
      </c>
      <c r="B12" s="77">
        <v>7019</v>
      </c>
      <c r="C12" s="72"/>
      <c r="D12" s="72"/>
      <c r="E12" s="148" t="s">
        <v>12</v>
      </c>
      <c r="F12" s="410">
        <f>Sheet7!C6</f>
        <v>133784</v>
      </c>
      <c r="G12" s="411">
        <f>Sheet7!O6</f>
        <v>0</v>
      </c>
      <c r="H12" s="410">
        <f>Sheet7!D6</f>
        <v>218178</v>
      </c>
      <c r="I12" s="411">
        <f>Sheet7!P6</f>
        <v>0</v>
      </c>
      <c r="J12" s="410">
        <f>Sheet7!E6</f>
        <v>218178</v>
      </c>
      <c r="K12" s="411">
        <f>Sheet7!Q6</f>
        <v>0</v>
      </c>
      <c r="L12" s="410">
        <f>Sheet7!F6</f>
        <v>77570</v>
      </c>
      <c r="M12" s="411">
        <f>Sheet7!R6</f>
        <v>0</v>
      </c>
      <c r="N12" s="410">
        <f>Sheet7!G6</f>
        <v>22625</v>
      </c>
      <c r="O12" s="411">
        <f>Sheet7!S6</f>
        <v>0</v>
      </c>
      <c r="P12" s="410">
        <f>Sheet7!H6</f>
        <v>0</v>
      </c>
      <c r="Q12" s="410">
        <f>Sheet7!I6</f>
        <v>40332</v>
      </c>
      <c r="R12" s="411">
        <f>Sheet7!J6</f>
        <v>0</v>
      </c>
      <c r="S12" s="410">
        <f>Sheet7!K6</f>
        <v>27296</v>
      </c>
      <c r="T12" s="410">
        <f>Sheet7!L6</f>
        <v>0</v>
      </c>
      <c r="U12" s="441">
        <f>SUM(F12:T12)</f>
        <v>737963</v>
      </c>
      <c r="V12" s="442">
        <f>IF(C12="BESD",F12/$F$6,F12/$F$5)</f>
        <v>84.996188055908519</v>
      </c>
      <c r="W12" s="442">
        <f>IF(C12="BESD",G12/$G$6,G12/$G$5)</f>
        <v>0</v>
      </c>
      <c r="X12" s="442">
        <f>IF(C12="BESD",H12/$H$6,H12/$H$5)</f>
        <v>36.960528544807723</v>
      </c>
      <c r="Y12" s="442">
        <f>IF(C12="BESD",I12/$I$6,I12/$I$5)</f>
        <v>0</v>
      </c>
      <c r="Z12" s="442">
        <f>IF(C12="BESD",J12/$J$6,J12/$J$5)</f>
        <v>22.177068509859726</v>
      </c>
      <c r="AA12" s="442">
        <f>IF(C12="BESD",K12/$K$6,K12/$K$5)</f>
        <v>0</v>
      </c>
      <c r="AB12" s="442">
        <f>IF(C12="BESD",L12/$L$6,L12/$L$5)</f>
        <v>7.3925474125607549</v>
      </c>
      <c r="AC12" s="442">
        <f>IF(C12="BESD",M12/$M$6,M12/$M$5)</f>
        <v>0</v>
      </c>
      <c r="AD12" s="442">
        <f>IF(C12="BESD",N12/$N$6,N12/$N$5)</f>
        <v>1.2320971518815009</v>
      </c>
      <c r="AE12" s="442">
        <f>IF(C12="BESD",O12/$O$6,O12/$O$5)</f>
        <v>0</v>
      </c>
      <c r="AF12" s="443">
        <f>P12/$P$6</f>
        <v>0</v>
      </c>
      <c r="AG12" s="449">
        <f>SUM(V12:AF12)</f>
        <v>152.75842967501825</v>
      </c>
      <c r="AH12" s="460"/>
      <c r="AI12" s="473">
        <f t="shared" ref="AI12:AI19" si="0">IF(C12="BESD",((BB12*$AI$6)+(BB12*AZ12))*AY12,((BB12*$AI$5)+(BB12*AZ12))*AY12)</f>
        <v>90516.30279999999</v>
      </c>
      <c r="AJ12" s="473">
        <f t="shared" ref="AJ12:AJ24" si="1">IF(C12="BESD",((BC12*$AJ$6)+(BC12*BA12))*AY12,((BC12*$AJ$5)+(BC12*BA12))*AY12)</f>
        <v>0</v>
      </c>
      <c r="AK12" s="473">
        <f t="shared" ref="AK12:AK19" si="2">IF(C12="BESD",((BD12*$AK$6)+(BD12*AZ12))*AY12,((BD12*$AK$5)+(BD12*AZ12))*AY12)</f>
        <v>548659.24289999995</v>
      </c>
      <c r="AL12" s="473">
        <f t="shared" ref="AL12:AL24" si="3">IF(C12="BESD",((BE12*$AL$6)+(BE12*BA12))*AY12,((BE12*$AL$5)+(BE12*BA12))*AY12)</f>
        <v>0</v>
      </c>
      <c r="AM12" s="473">
        <f t="shared" ref="AM12:AM19" si="4">IF(C12="BESD",((BF12*$AM$6)+(BF12*AZ12))*AY12,((BF12*$AM$5)+(BF12*AZ12))*AY12)</f>
        <v>0</v>
      </c>
      <c r="AN12" s="473">
        <f t="shared" ref="AN12:AN24" si="5">IF(C12="BESD",((BG12*$AN$6)+(BG12*BA12))*AY12,((BG12*$AN$5)+(BG12*BA12))*AY12)</f>
        <v>0</v>
      </c>
      <c r="AO12" s="473">
        <f t="shared" ref="AO12:AO19" si="6">IF(C12="BESD",((BH12*$AO$6)+(BH12*AZ12))*AY12,((BH12*$AO$5)+(BH12*AZ12))*AY12)</f>
        <v>600508.94010000001</v>
      </c>
      <c r="AP12" s="473">
        <f t="shared" ref="AP12:AP24" si="7">IF(C12="BESD",((BI12*$AP$6)+(BI12*BA12))*AY12,((BI12*$AP$5)+(BI12*BA12))*AY12)</f>
        <v>0</v>
      </c>
      <c r="AQ12" s="473">
        <f t="shared" ref="AQ12:AQ19" si="8">IF(C12="BESD",((BJ12*$AQ$6)+(BJ12*AZ12))*AY12,((BJ12*$AQ$5)+(BJ12*AZ12))*AY12)</f>
        <v>101735.76049999999</v>
      </c>
      <c r="AR12" s="473">
        <f t="shared" ref="AR12:AR24" si="9">IF(C12="BESD",((BK12*$AR$6)+(BK12*BA12))*AY12,((BK12*$AR$5)+(BK12*BA12))*AY12)</f>
        <v>0</v>
      </c>
      <c r="AS12" s="473">
        <f>BL12*($AS$6*AY12)</f>
        <v>0</v>
      </c>
      <c r="AT12" s="465"/>
      <c r="AU12" s="465"/>
      <c r="AV12" s="465"/>
      <c r="AW12" s="465"/>
      <c r="AX12" s="465"/>
      <c r="AY12" s="469">
        <f>Rates!V10</f>
        <v>1.0168999999999999</v>
      </c>
      <c r="AZ12" s="472">
        <v>337</v>
      </c>
      <c r="BA12" s="472">
        <f>AZ12/2</f>
        <v>168.5</v>
      </c>
      <c r="BB12" s="430">
        <f>'14-15 Budget working'!AS9</f>
        <v>44</v>
      </c>
      <c r="BC12" s="431">
        <f>'14-15 Budget working'!AT9</f>
        <v>0</v>
      </c>
      <c r="BD12" s="431">
        <f>'14-15 Budget working'!AU9</f>
        <v>81</v>
      </c>
      <c r="BE12" s="431">
        <f>'14-15 Budget working'!AV9</f>
        <v>0</v>
      </c>
      <c r="BF12" s="431">
        <f>'14-15 Budget working'!AW9</f>
        <v>0</v>
      </c>
      <c r="BG12" s="431">
        <f>'14-15 Budget working'!AX9</f>
        <v>0</v>
      </c>
      <c r="BH12" s="431">
        <f>'14-15 Budget working'!AY9</f>
        <v>51</v>
      </c>
      <c r="BI12" s="431">
        <f>'14-15 Budget working'!AZ9</f>
        <v>0</v>
      </c>
      <c r="BJ12" s="431">
        <f>'14-15 Budget working'!BA9</f>
        <v>5</v>
      </c>
      <c r="BK12" s="431">
        <f>'14-15 Budget working'!BB9</f>
        <v>0</v>
      </c>
      <c r="BL12" s="451">
        <f>'14-15 Budget working'!BC9</f>
        <v>0</v>
      </c>
      <c r="BM12" s="456">
        <f>SUM(BB12:BL12)</f>
        <v>181</v>
      </c>
    </row>
    <row r="13" spans="1:65" s="413" customFormat="1" ht="21" x14ac:dyDescent="0.35">
      <c r="A13" s="78">
        <v>126</v>
      </c>
      <c r="B13" s="78">
        <v>7008</v>
      </c>
      <c r="C13" s="76" t="s">
        <v>7</v>
      </c>
      <c r="D13" s="76"/>
      <c r="E13" s="76" t="s">
        <v>13</v>
      </c>
      <c r="F13" s="436">
        <f>Sheet7!C7</f>
        <v>46828</v>
      </c>
      <c r="G13" s="437">
        <f>Sheet7!O7</f>
        <v>0</v>
      </c>
      <c r="H13" s="436">
        <f>Sheet7!D7</f>
        <v>129812</v>
      </c>
      <c r="I13" s="437">
        <f>Sheet7!P7</f>
        <v>0</v>
      </c>
      <c r="J13" s="436">
        <f>Sheet7!E7</f>
        <v>50908</v>
      </c>
      <c r="K13" s="437">
        <f>Sheet7!Q7</f>
        <v>0</v>
      </c>
      <c r="L13" s="436">
        <f>Sheet7!F7</f>
        <v>13575</v>
      </c>
      <c r="M13" s="437">
        <f>Sheet7!R7</f>
        <v>0</v>
      </c>
      <c r="N13" s="436">
        <f>Sheet7!G7</f>
        <v>23756</v>
      </c>
      <c r="O13" s="437">
        <f>Sheet7!S7</f>
        <v>0</v>
      </c>
      <c r="P13" s="436">
        <f>Sheet7!H7</f>
        <v>0</v>
      </c>
      <c r="Q13" s="436">
        <f>Sheet7!I7</f>
        <v>112315</v>
      </c>
      <c r="R13" s="437">
        <f>Sheet7!J7</f>
        <v>0</v>
      </c>
      <c r="S13" s="436">
        <f>Sheet7!K7</f>
        <v>6664</v>
      </c>
      <c r="T13" s="436">
        <f>Sheet7!L7</f>
        <v>0</v>
      </c>
      <c r="U13" s="436">
        <f t="shared" ref="U13:U24" si="10">SUM(F13:T13)</f>
        <v>383858</v>
      </c>
      <c r="V13" s="447">
        <f t="shared" ref="V13:V24" si="11">IF(C13="BESD",F13/$F$6,F13/$F$5)</f>
        <v>25.87182320441989</v>
      </c>
      <c r="W13" s="447">
        <f t="shared" ref="W13:W24" si="12">IF(C13="BESD",G13/$G$6,G13/$G$5)</f>
        <v>0</v>
      </c>
      <c r="X13" s="447">
        <f t="shared" ref="X13:X24" si="13">IF(C13="BESD",H13/$H$6,H13/$H$5)</f>
        <v>19.123747790218033</v>
      </c>
      <c r="Y13" s="447">
        <f t="shared" ref="Y13:Y24" si="14">IF(C13="BESD",I13/$I$6,I13/$I$5)</f>
        <v>0</v>
      </c>
      <c r="Z13" s="447">
        <f t="shared" ref="Z13:Z24" si="15">IF(C13="BESD",J13/$J$6,J13/$J$5)</f>
        <v>4.4999558030584286</v>
      </c>
      <c r="AA13" s="447">
        <f t="shared" ref="AA13:AA24" si="16">IF(C13="BESD",K13/$K$6,K13/$K$5)</f>
        <v>0</v>
      </c>
      <c r="AB13" s="447">
        <f t="shared" ref="AB13:AB24" si="17">IF(C13="BESD",L13/$L$6,L13/$L$5)</f>
        <v>1.1249689235104003</v>
      </c>
      <c r="AC13" s="447">
        <f t="shared" ref="AC13:AC24" si="18">IF(C13="BESD",M13/$M$6,M13/$M$5)</f>
        <v>0</v>
      </c>
      <c r="AD13" s="447">
        <f t="shared" ref="AD13:AD24" si="19">IF(C13="BESD",N13/$N$6,N13/$N$5)</f>
        <v>1.1249171323041955</v>
      </c>
      <c r="AE13" s="447">
        <f t="shared" ref="AE13:AE24" si="20">IF(C13="BESD",O13/$O$6,O13/$O$5)</f>
        <v>0</v>
      </c>
      <c r="AF13" s="448">
        <f t="shared" ref="AF13:AF24" si="21">P13/$P$6</f>
        <v>0</v>
      </c>
      <c r="AG13" s="449">
        <f t="shared" ref="AG13:AG25" si="22">SUM(V13:AF13)</f>
        <v>51.745412853510949</v>
      </c>
      <c r="AH13" s="460"/>
      <c r="AI13" s="473">
        <f t="shared" si="0"/>
        <v>0</v>
      </c>
      <c r="AJ13" s="473">
        <f t="shared" si="1"/>
        <v>0</v>
      </c>
      <c r="AK13" s="473">
        <f t="shared" si="2"/>
        <v>0</v>
      </c>
      <c r="AL13" s="473">
        <f t="shared" si="3"/>
        <v>0</v>
      </c>
      <c r="AM13" s="473">
        <f t="shared" si="4"/>
        <v>0</v>
      </c>
      <c r="AN13" s="473">
        <f t="shared" si="5"/>
        <v>0</v>
      </c>
      <c r="AO13" s="473">
        <f t="shared" si="6"/>
        <v>0</v>
      </c>
      <c r="AP13" s="473">
        <f t="shared" si="7"/>
        <v>0</v>
      </c>
      <c r="AQ13" s="473">
        <f t="shared" si="8"/>
        <v>0</v>
      </c>
      <c r="AR13" s="473">
        <f t="shared" si="9"/>
        <v>0</v>
      </c>
      <c r="AS13" s="473">
        <f t="shared" ref="AS13:AS24" si="23">BL13*($AS$6*AY13)</f>
        <v>0</v>
      </c>
      <c r="AT13" s="465"/>
      <c r="AU13" s="465"/>
      <c r="AV13" s="465"/>
      <c r="AW13" s="465"/>
      <c r="AX13" s="465"/>
      <c r="AY13" s="469">
        <f>Rates!V11</f>
        <v>0</v>
      </c>
      <c r="AZ13" s="472">
        <v>2379</v>
      </c>
      <c r="BA13" s="472">
        <f t="shared" ref="BA13:BA24" si="24">AZ13/2</f>
        <v>1189.5</v>
      </c>
      <c r="BB13" s="439">
        <f>'14-15 Budget working'!AS10</f>
        <v>2</v>
      </c>
      <c r="BC13" s="440">
        <f>'14-15 Budget working'!AT10</f>
        <v>0</v>
      </c>
      <c r="BD13" s="440">
        <f>'14-15 Budget working'!AU10</f>
        <v>6</v>
      </c>
      <c r="BE13" s="440">
        <f>'14-15 Budget working'!AV10</f>
        <v>0</v>
      </c>
      <c r="BF13" s="440">
        <f>'14-15 Budget working'!AW10</f>
        <v>0</v>
      </c>
      <c r="BG13" s="440">
        <f>'14-15 Budget working'!AX10</f>
        <v>0</v>
      </c>
      <c r="BH13" s="440">
        <f>'14-15 Budget working'!AY10</f>
        <v>42</v>
      </c>
      <c r="BI13" s="440">
        <f>'14-15 Budget working'!AZ10</f>
        <v>0</v>
      </c>
      <c r="BJ13" s="440">
        <f>'14-15 Budget working'!BA10</f>
        <v>9</v>
      </c>
      <c r="BK13" s="440">
        <f>'14-15 Budget working'!BB10</f>
        <v>0</v>
      </c>
      <c r="BL13" s="452">
        <f>'14-15 Budget working'!BC10</f>
        <v>0</v>
      </c>
      <c r="BM13" s="456">
        <f t="shared" ref="BM13:BM24" si="25">SUM(BB13:BL13)</f>
        <v>59</v>
      </c>
    </row>
    <row r="14" spans="1:65" ht="21" x14ac:dyDescent="0.35">
      <c r="A14" s="77">
        <v>127</v>
      </c>
      <c r="B14" s="77">
        <v>7015</v>
      </c>
      <c r="C14" s="72"/>
      <c r="D14" s="72" t="s">
        <v>132</v>
      </c>
      <c r="E14" s="72" t="s">
        <v>14</v>
      </c>
      <c r="F14" s="410">
        <f>Sheet7!C8</f>
        <v>11633</v>
      </c>
      <c r="G14" s="411">
        <f>Sheet7!O8</f>
        <v>0</v>
      </c>
      <c r="H14" s="410">
        <f>Sheet7!D8</f>
        <v>319994</v>
      </c>
      <c r="I14" s="411">
        <f>Sheet7!P8</f>
        <v>3636</v>
      </c>
      <c r="J14" s="410">
        <f>Sheet7!E8</f>
        <v>569687</v>
      </c>
      <c r="K14" s="411">
        <f>Sheet7!Q8</f>
        <v>6061</v>
      </c>
      <c r="L14" s="410">
        <f>Sheet7!F8</f>
        <v>517132</v>
      </c>
      <c r="M14" s="411">
        <f>Sheet7!R8</f>
        <v>0</v>
      </c>
      <c r="N14" s="410">
        <f>Sheet7!G8</f>
        <v>113126</v>
      </c>
      <c r="O14" s="411">
        <f>Sheet7!S8</f>
        <v>0</v>
      </c>
      <c r="P14" s="410">
        <f>Sheet7!H8</f>
        <v>0</v>
      </c>
      <c r="Q14" s="410">
        <f>Sheet7!I8</f>
        <v>41400</v>
      </c>
      <c r="R14" s="411">
        <f>Sheet7!J8</f>
        <v>254</v>
      </c>
      <c r="S14" s="410">
        <f>Sheet7!K8</f>
        <v>0</v>
      </c>
      <c r="T14" s="410">
        <f>Sheet7!L8</f>
        <v>-25601</v>
      </c>
      <c r="U14" s="441">
        <f t="shared" si="10"/>
        <v>1557322</v>
      </c>
      <c r="V14" s="442">
        <f t="shared" si="11"/>
        <v>7.3907242693773822</v>
      </c>
      <c r="W14" s="442">
        <f t="shared" si="12"/>
        <v>0</v>
      </c>
      <c r="X14" s="442">
        <f t="shared" si="13"/>
        <v>54.208707436896496</v>
      </c>
      <c r="Y14" s="442">
        <f t="shared" si="14"/>
        <v>1.2319159749280026</v>
      </c>
      <c r="Z14" s="442">
        <f t="shared" si="15"/>
        <v>57.906789997967067</v>
      </c>
      <c r="AA14" s="442">
        <f t="shared" si="16"/>
        <v>1.2321610083350274</v>
      </c>
      <c r="AB14" s="442">
        <f t="shared" si="17"/>
        <v>49.283522348232154</v>
      </c>
      <c r="AC14" s="442">
        <f t="shared" si="18"/>
        <v>0</v>
      </c>
      <c r="AD14" s="442">
        <f t="shared" si="19"/>
        <v>6.1605402167401841</v>
      </c>
      <c r="AE14" s="442">
        <f t="shared" si="20"/>
        <v>0</v>
      </c>
      <c r="AF14" s="443">
        <f t="shared" si="21"/>
        <v>0</v>
      </c>
      <c r="AG14" s="449">
        <f t="shared" si="22"/>
        <v>177.41436125247628</v>
      </c>
      <c r="AH14" s="460"/>
      <c r="AI14" s="473">
        <f t="shared" si="0"/>
        <v>0</v>
      </c>
      <c r="AJ14" s="473">
        <f t="shared" si="1"/>
        <v>0</v>
      </c>
      <c r="AK14" s="473">
        <f t="shared" si="2"/>
        <v>0</v>
      </c>
      <c r="AL14" s="473">
        <f t="shared" si="3"/>
        <v>0</v>
      </c>
      <c r="AM14" s="473">
        <f t="shared" si="4"/>
        <v>0</v>
      </c>
      <c r="AN14" s="473">
        <f t="shared" si="5"/>
        <v>0</v>
      </c>
      <c r="AO14" s="473">
        <f t="shared" si="6"/>
        <v>0</v>
      </c>
      <c r="AP14" s="473">
        <f t="shared" si="7"/>
        <v>0</v>
      </c>
      <c r="AQ14" s="473">
        <f t="shared" si="8"/>
        <v>0</v>
      </c>
      <c r="AR14" s="473">
        <f t="shared" si="9"/>
        <v>0</v>
      </c>
      <c r="AS14" s="473">
        <f t="shared" si="23"/>
        <v>0</v>
      </c>
      <c r="AT14" s="465"/>
      <c r="AU14" s="465"/>
      <c r="AV14" s="465"/>
      <c r="AW14" s="465"/>
      <c r="AX14" s="465"/>
      <c r="AY14" s="469">
        <f>Rates!V12</f>
        <v>0</v>
      </c>
      <c r="AZ14" s="472">
        <v>290</v>
      </c>
      <c r="BA14" s="472">
        <f t="shared" si="24"/>
        <v>145</v>
      </c>
      <c r="BB14" s="430">
        <f>'14-15 Budget working'!AS11</f>
        <v>5</v>
      </c>
      <c r="BC14" s="431">
        <f>'14-15 Budget working'!AT11</f>
        <v>0</v>
      </c>
      <c r="BD14" s="431">
        <f>'14-15 Budget working'!AU11</f>
        <v>32</v>
      </c>
      <c r="BE14" s="431">
        <f>'14-15 Budget working'!AV11</f>
        <v>0</v>
      </c>
      <c r="BF14" s="431">
        <f>'14-15 Budget working'!AW11</f>
        <v>0</v>
      </c>
      <c r="BG14" s="431">
        <f>'14-15 Budget working'!AX11</f>
        <v>0</v>
      </c>
      <c r="BH14" s="431">
        <f>'14-15 Budget working'!AY11</f>
        <v>111</v>
      </c>
      <c r="BI14" s="431">
        <f>'14-15 Budget working'!AZ11</f>
        <v>0</v>
      </c>
      <c r="BJ14" s="431">
        <f>'14-15 Budget working'!BA11</f>
        <v>14</v>
      </c>
      <c r="BK14" s="431">
        <f>'14-15 Budget working'!BB11</f>
        <v>0</v>
      </c>
      <c r="BL14" s="451">
        <f>'14-15 Budget working'!BC11</f>
        <v>0</v>
      </c>
      <c r="BM14" s="456">
        <f t="shared" si="25"/>
        <v>162</v>
      </c>
    </row>
    <row r="15" spans="1:65" s="413" customFormat="1" ht="21" x14ac:dyDescent="0.35">
      <c r="A15" s="78">
        <v>130</v>
      </c>
      <c r="B15" s="78">
        <v>7011</v>
      </c>
      <c r="C15" s="76" t="s">
        <v>7</v>
      </c>
      <c r="D15" s="76"/>
      <c r="E15" s="76" t="s">
        <v>15</v>
      </c>
      <c r="F15" s="436">
        <f>Sheet7!C9</f>
        <v>50900</v>
      </c>
      <c r="G15" s="437">
        <f>Sheet7!O9</f>
        <v>0</v>
      </c>
      <c r="H15" s="436">
        <f>Sheet7!D9</f>
        <v>160356</v>
      </c>
      <c r="I15" s="437">
        <f>Sheet7!P9</f>
        <v>0</v>
      </c>
      <c r="J15" s="436">
        <f>Sheet7!E9</f>
        <v>63635</v>
      </c>
      <c r="K15" s="437">
        <f>Sheet7!Q9</f>
        <v>0</v>
      </c>
      <c r="L15" s="436">
        <f>Sheet7!F9</f>
        <v>27150</v>
      </c>
      <c r="M15" s="437">
        <f>Sheet7!R9</f>
        <v>0</v>
      </c>
      <c r="N15" s="436">
        <f>Sheet7!G9</f>
        <v>23756</v>
      </c>
      <c r="O15" s="437">
        <f>Sheet7!S9</f>
        <v>0</v>
      </c>
      <c r="P15" s="436">
        <f>Sheet7!H9</f>
        <v>0</v>
      </c>
      <c r="Q15" s="436">
        <f>Sheet7!I9</f>
        <v>129111</v>
      </c>
      <c r="R15" s="437">
        <f>Sheet7!J9</f>
        <v>0</v>
      </c>
      <c r="S15" s="436">
        <f>Sheet7!K9</f>
        <v>44368</v>
      </c>
      <c r="T15" s="436">
        <f>Sheet7!L9</f>
        <v>0</v>
      </c>
      <c r="U15" s="436">
        <f t="shared" si="10"/>
        <v>499276</v>
      </c>
      <c r="V15" s="447">
        <f t="shared" si="11"/>
        <v>28.121546961325969</v>
      </c>
      <c r="W15" s="447">
        <f t="shared" si="12"/>
        <v>0</v>
      </c>
      <c r="X15" s="447">
        <f t="shared" si="13"/>
        <v>23.623453152622275</v>
      </c>
      <c r="Y15" s="447">
        <f t="shared" si="14"/>
        <v>0</v>
      </c>
      <c r="Z15" s="447">
        <f t="shared" si="15"/>
        <v>5.6249447538230353</v>
      </c>
      <c r="AA15" s="447">
        <f t="shared" si="16"/>
        <v>0</v>
      </c>
      <c r="AB15" s="447">
        <f t="shared" si="17"/>
        <v>2.2499378470208007</v>
      </c>
      <c r="AC15" s="447">
        <f t="shared" si="18"/>
        <v>0</v>
      </c>
      <c r="AD15" s="447">
        <f t="shared" si="19"/>
        <v>1.1249171323041955</v>
      </c>
      <c r="AE15" s="447">
        <f t="shared" si="20"/>
        <v>0</v>
      </c>
      <c r="AF15" s="448">
        <f t="shared" si="21"/>
        <v>0</v>
      </c>
      <c r="AG15" s="449">
        <f t="shared" si="22"/>
        <v>60.744799847096282</v>
      </c>
      <c r="AH15" s="460"/>
      <c r="AI15" s="473">
        <f t="shared" si="0"/>
        <v>62607.113799999999</v>
      </c>
      <c r="AJ15" s="473">
        <f t="shared" si="1"/>
        <v>0</v>
      </c>
      <c r="AK15" s="473">
        <f t="shared" si="2"/>
        <v>267168.32520000002</v>
      </c>
      <c r="AL15" s="473">
        <f t="shared" si="3"/>
        <v>0</v>
      </c>
      <c r="AM15" s="473">
        <f t="shared" si="4"/>
        <v>0</v>
      </c>
      <c r="AN15" s="473">
        <f t="shared" si="5"/>
        <v>0</v>
      </c>
      <c r="AO15" s="473">
        <f t="shared" si="6"/>
        <v>383346.97730000003</v>
      </c>
      <c r="AP15" s="473">
        <f t="shared" si="7"/>
        <v>0</v>
      </c>
      <c r="AQ15" s="473">
        <f t="shared" si="8"/>
        <v>131820.5448</v>
      </c>
      <c r="AR15" s="473">
        <f t="shared" si="9"/>
        <v>0</v>
      </c>
      <c r="AS15" s="473">
        <f t="shared" si="23"/>
        <v>0</v>
      </c>
      <c r="AT15" s="465"/>
      <c r="AU15" s="465"/>
      <c r="AV15" s="465"/>
      <c r="AW15" s="465"/>
      <c r="AX15" s="465"/>
      <c r="AY15" s="469">
        <f>Rates!V13</f>
        <v>1.3181</v>
      </c>
      <c r="AZ15" s="472">
        <v>2379</v>
      </c>
      <c r="BA15" s="472">
        <f t="shared" si="24"/>
        <v>1189.5</v>
      </c>
      <c r="BB15" s="439">
        <f>'14-15 Budget working'!AS12</f>
        <v>11</v>
      </c>
      <c r="BC15" s="440">
        <f>'14-15 Budget working'!AT12</f>
        <v>0</v>
      </c>
      <c r="BD15" s="440">
        <f>'14-15 Budget working'!AU12</f>
        <v>21</v>
      </c>
      <c r="BE15" s="440">
        <f>'14-15 Budget working'!AV12</f>
        <v>0</v>
      </c>
      <c r="BF15" s="440">
        <f>'14-15 Budget working'!AW12</f>
        <v>0</v>
      </c>
      <c r="BG15" s="440">
        <f>'14-15 Budget working'!AX12</f>
        <v>0</v>
      </c>
      <c r="BH15" s="440">
        <f>'14-15 Budget working'!AY12</f>
        <v>19</v>
      </c>
      <c r="BI15" s="440">
        <f>'14-15 Budget working'!AZ12</f>
        <v>0</v>
      </c>
      <c r="BJ15" s="440">
        <f>'14-15 Budget working'!BA12</f>
        <v>4</v>
      </c>
      <c r="BK15" s="440">
        <f>'14-15 Budget working'!BB12</f>
        <v>0</v>
      </c>
      <c r="BL15" s="452">
        <f>'14-15 Budget working'!BC12</f>
        <v>0</v>
      </c>
      <c r="BM15" s="456">
        <f t="shared" si="25"/>
        <v>55</v>
      </c>
    </row>
    <row r="16" spans="1:65" s="413" customFormat="1" ht="21" x14ac:dyDescent="0.35">
      <c r="A16" s="78">
        <v>132</v>
      </c>
      <c r="B16" s="78">
        <v>7005</v>
      </c>
      <c r="C16" s="76" t="s">
        <v>7</v>
      </c>
      <c r="D16" s="76" t="s">
        <v>30</v>
      </c>
      <c r="E16" s="76" t="s">
        <v>16</v>
      </c>
      <c r="F16" s="436">
        <f>Sheet7!C10</f>
        <v>0</v>
      </c>
      <c r="G16" s="437">
        <f>Sheet7!O10</f>
        <v>0</v>
      </c>
      <c r="H16" s="436">
        <f>Sheet7!D10</f>
        <v>0</v>
      </c>
      <c r="I16" s="437">
        <f>Sheet7!P10</f>
        <v>0</v>
      </c>
      <c r="J16" s="436">
        <f>Sheet7!E10</f>
        <v>0</v>
      </c>
      <c r="K16" s="437">
        <f>Sheet7!Q10</f>
        <v>0</v>
      </c>
      <c r="L16" s="436">
        <f>Sheet7!F10</f>
        <v>0</v>
      </c>
      <c r="M16" s="437">
        <f>Sheet7!R10</f>
        <v>0</v>
      </c>
      <c r="N16" s="436">
        <f>Sheet7!G10</f>
        <v>0</v>
      </c>
      <c r="O16" s="437">
        <f>Sheet7!S10</f>
        <v>0</v>
      </c>
      <c r="P16" s="436">
        <f>Sheet7!H10</f>
        <v>0</v>
      </c>
      <c r="Q16" s="436">
        <f>Sheet7!I10</f>
        <v>0</v>
      </c>
      <c r="R16" s="437">
        <f>Sheet7!J10</f>
        <v>0</v>
      </c>
      <c r="S16" s="436">
        <f>Sheet7!K10</f>
        <v>0</v>
      </c>
      <c r="T16" s="436">
        <f>Sheet7!L10</f>
        <v>0</v>
      </c>
      <c r="U16" s="436">
        <f t="shared" si="10"/>
        <v>0</v>
      </c>
      <c r="V16" s="447">
        <f t="shared" si="11"/>
        <v>0</v>
      </c>
      <c r="W16" s="447">
        <f t="shared" si="12"/>
        <v>0</v>
      </c>
      <c r="X16" s="447">
        <f t="shared" si="13"/>
        <v>0</v>
      </c>
      <c r="Y16" s="447">
        <f t="shared" si="14"/>
        <v>0</v>
      </c>
      <c r="Z16" s="447">
        <f t="shared" si="15"/>
        <v>0</v>
      </c>
      <c r="AA16" s="447">
        <f t="shared" si="16"/>
        <v>0</v>
      </c>
      <c r="AB16" s="447">
        <f t="shared" si="17"/>
        <v>0</v>
      </c>
      <c r="AC16" s="447">
        <f t="shared" si="18"/>
        <v>0</v>
      </c>
      <c r="AD16" s="447">
        <f t="shared" si="19"/>
        <v>0</v>
      </c>
      <c r="AE16" s="447">
        <f t="shared" si="20"/>
        <v>0</v>
      </c>
      <c r="AF16" s="448">
        <f t="shared" si="21"/>
        <v>0</v>
      </c>
      <c r="AG16" s="449">
        <f t="shared" si="22"/>
        <v>0</v>
      </c>
      <c r="AH16" s="460"/>
      <c r="AI16" s="473">
        <f t="shared" si="0"/>
        <v>0</v>
      </c>
      <c r="AJ16" s="473">
        <f t="shared" si="1"/>
        <v>0</v>
      </c>
      <c r="AK16" s="473">
        <f t="shared" si="2"/>
        <v>0</v>
      </c>
      <c r="AL16" s="473">
        <f t="shared" si="3"/>
        <v>0</v>
      </c>
      <c r="AM16" s="473">
        <f t="shared" si="4"/>
        <v>0</v>
      </c>
      <c r="AN16" s="473">
        <f t="shared" si="5"/>
        <v>0</v>
      </c>
      <c r="AO16" s="473">
        <f t="shared" si="6"/>
        <v>0</v>
      </c>
      <c r="AP16" s="473">
        <f t="shared" si="7"/>
        <v>0</v>
      </c>
      <c r="AQ16" s="473">
        <f t="shared" si="8"/>
        <v>0</v>
      </c>
      <c r="AR16" s="473">
        <f t="shared" si="9"/>
        <v>0</v>
      </c>
      <c r="AS16" s="473">
        <f t="shared" si="23"/>
        <v>0</v>
      </c>
      <c r="AT16" s="465"/>
      <c r="AU16" s="465"/>
      <c r="AV16" s="465"/>
      <c r="AW16" s="465"/>
      <c r="AX16" s="465"/>
      <c r="AY16" s="469">
        <f>Rates!V14</f>
        <v>0</v>
      </c>
      <c r="AZ16" s="472">
        <v>2869</v>
      </c>
      <c r="BA16" s="472">
        <f t="shared" si="24"/>
        <v>1434.5</v>
      </c>
      <c r="BB16" s="439">
        <f>'14-15 Budget working'!AS13</f>
        <v>0</v>
      </c>
      <c r="BC16" s="440">
        <f>'14-15 Budget working'!AT13</f>
        <v>0</v>
      </c>
      <c r="BD16" s="440">
        <f>'14-15 Budget working'!AU13</f>
        <v>0</v>
      </c>
      <c r="BE16" s="440">
        <f>'14-15 Budget working'!AV13</f>
        <v>0</v>
      </c>
      <c r="BF16" s="440">
        <f>'14-15 Budget working'!AW13</f>
        <v>0</v>
      </c>
      <c r="BG16" s="440">
        <f>'14-15 Budget working'!AX13</f>
        <v>0</v>
      </c>
      <c r="BH16" s="440">
        <f>'14-15 Budget working'!AY13</f>
        <v>0</v>
      </c>
      <c r="BI16" s="440">
        <f>'14-15 Budget working'!AZ13</f>
        <v>0</v>
      </c>
      <c r="BJ16" s="440">
        <f>'14-15 Budget working'!BA13</f>
        <v>0</v>
      </c>
      <c r="BK16" s="440">
        <f>'14-15 Budget working'!BB13</f>
        <v>0</v>
      </c>
      <c r="BL16" s="452">
        <f>'14-15 Budget working'!BC13</f>
        <v>30</v>
      </c>
      <c r="BM16" s="456">
        <f>SUM(BB16:BL16)-BL16</f>
        <v>0</v>
      </c>
    </row>
    <row r="17" spans="1:65" ht="21" x14ac:dyDescent="0.35">
      <c r="A17" s="77">
        <v>137</v>
      </c>
      <c r="B17" s="77">
        <v>7018</v>
      </c>
      <c r="C17" s="72"/>
      <c r="D17" s="72"/>
      <c r="E17" s="72" t="s">
        <v>17</v>
      </c>
      <c r="F17" s="410">
        <f>Sheet7!C11</f>
        <v>3878</v>
      </c>
      <c r="G17" s="411">
        <f>Sheet7!O11</f>
        <v>0</v>
      </c>
      <c r="H17" s="410">
        <f>Sheet7!D11</f>
        <v>87271</v>
      </c>
      <c r="I17" s="411">
        <f>Sheet7!P11</f>
        <v>0</v>
      </c>
      <c r="J17" s="410">
        <f>Sheet7!E11</f>
        <v>169694</v>
      </c>
      <c r="K17" s="411">
        <f>Sheet7!Q11</f>
        <v>0</v>
      </c>
      <c r="L17" s="410">
        <f>Sheet7!F11</f>
        <v>116355</v>
      </c>
      <c r="M17" s="411">
        <f>Sheet7!R11</f>
        <v>0</v>
      </c>
      <c r="N17" s="410">
        <f>Sheet7!G11</f>
        <v>0</v>
      </c>
      <c r="O17" s="411">
        <f>Sheet7!S11</f>
        <v>0</v>
      </c>
      <c r="P17" s="410">
        <f>Sheet7!H11</f>
        <v>0</v>
      </c>
      <c r="Q17" s="410">
        <f>Sheet7!I11</f>
        <v>63105</v>
      </c>
      <c r="R17" s="411">
        <f>Sheet7!J11</f>
        <v>0</v>
      </c>
      <c r="S17" s="410">
        <f>Sheet7!K11</f>
        <v>0</v>
      </c>
      <c r="T17" s="410">
        <f>Sheet7!L11</f>
        <v>-14990</v>
      </c>
      <c r="U17" s="410">
        <f t="shared" si="10"/>
        <v>425313</v>
      </c>
      <c r="V17" s="442">
        <f t="shared" si="11"/>
        <v>2.4637865311308769</v>
      </c>
      <c r="W17" s="442">
        <f t="shared" si="12"/>
        <v>0</v>
      </c>
      <c r="X17" s="442">
        <f t="shared" si="13"/>
        <v>14.784177536845672</v>
      </c>
      <c r="Y17" s="442">
        <f t="shared" si="14"/>
        <v>0</v>
      </c>
      <c r="Z17" s="442">
        <f t="shared" si="15"/>
        <v>17.248831063224234</v>
      </c>
      <c r="AA17" s="442">
        <f t="shared" si="16"/>
        <v>0</v>
      </c>
      <c r="AB17" s="442">
        <f t="shared" si="17"/>
        <v>11.088821118841132</v>
      </c>
      <c r="AC17" s="442">
        <f t="shared" si="18"/>
        <v>0</v>
      </c>
      <c r="AD17" s="442">
        <f t="shared" si="19"/>
        <v>0</v>
      </c>
      <c r="AE17" s="442">
        <f t="shared" si="20"/>
        <v>0</v>
      </c>
      <c r="AF17" s="443">
        <f t="shared" si="21"/>
        <v>0</v>
      </c>
      <c r="AG17" s="449">
        <f t="shared" si="22"/>
        <v>45.585616250041916</v>
      </c>
      <c r="AH17" s="460"/>
      <c r="AI17" s="473">
        <f t="shared" si="0"/>
        <v>65433.42</v>
      </c>
      <c r="AJ17" s="473">
        <f t="shared" si="1"/>
        <v>0</v>
      </c>
      <c r="AK17" s="473">
        <f t="shared" si="2"/>
        <v>103480.308</v>
      </c>
      <c r="AL17" s="473">
        <f t="shared" si="3"/>
        <v>0</v>
      </c>
      <c r="AM17" s="473">
        <f t="shared" si="4"/>
        <v>0</v>
      </c>
      <c r="AN17" s="473">
        <f t="shared" si="5"/>
        <v>0</v>
      </c>
      <c r="AO17" s="473">
        <f t="shared" si="6"/>
        <v>383989.63679999998</v>
      </c>
      <c r="AP17" s="473">
        <f t="shared" si="7"/>
        <v>0</v>
      </c>
      <c r="AQ17" s="473">
        <f t="shared" si="8"/>
        <v>82724.878799999991</v>
      </c>
      <c r="AR17" s="473">
        <f t="shared" si="9"/>
        <v>0</v>
      </c>
      <c r="AS17" s="473">
        <f t="shared" si="23"/>
        <v>0</v>
      </c>
      <c r="AT17" s="465"/>
      <c r="AU17" s="465"/>
      <c r="AV17" s="465"/>
      <c r="AW17" s="465"/>
      <c r="AX17" s="465"/>
      <c r="AY17" s="469">
        <f>Rates!V15</f>
        <v>1.2906</v>
      </c>
      <c r="AZ17" s="472">
        <v>1694</v>
      </c>
      <c r="BA17" s="472">
        <f t="shared" si="24"/>
        <v>847</v>
      </c>
      <c r="BB17" s="430">
        <f>'14-15 Budget working'!AS14</f>
        <v>15</v>
      </c>
      <c r="BC17" s="431">
        <f>'14-15 Budget working'!AT14</f>
        <v>0</v>
      </c>
      <c r="BD17" s="431">
        <f>'14-15 Budget working'!AU14</f>
        <v>10</v>
      </c>
      <c r="BE17" s="431">
        <f>'14-15 Budget working'!AV14</f>
        <v>0</v>
      </c>
      <c r="BF17" s="431">
        <f>'14-15 Budget working'!AW14</f>
        <v>0</v>
      </c>
      <c r="BG17" s="431">
        <f>'14-15 Budget working'!AX14</f>
        <v>0</v>
      </c>
      <c r="BH17" s="431">
        <f>'14-15 Budget working'!AY14</f>
        <v>23</v>
      </c>
      <c r="BI17" s="431">
        <f>'14-15 Budget working'!AZ14</f>
        <v>0</v>
      </c>
      <c r="BJ17" s="431">
        <f>'14-15 Budget working'!BA14</f>
        <v>3</v>
      </c>
      <c r="BK17" s="431">
        <f>'14-15 Budget working'!BB14</f>
        <v>0</v>
      </c>
      <c r="BL17" s="451">
        <f>'14-15 Budget working'!BC14</f>
        <v>0</v>
      </c>
      <c r="BM17" s="456">
        <f t="shared" si="25"/>
        <v>51</v>
      </c>
    </row>
    <row r="18" spans="1:65" s="413" customFormat="1" ht="21" x14ac:dyDescent="0.35">
      <c r="A18" s="78">
        <v>138</v>
      </c>
      <c r="B18" s="78">
        <v>7013</v>
      </c>
      <c r="C18" s="76" t="s">
        <v>7</v>
      </c>
      <c r="D18" s="76"/>
      <c r="E18" s="76" t="s">
        <v>18</v>
      </c>
      <c r="F18" s="436">
        <f>Sheet7!C12</f>
        <v>2036</v>
      </c>
      <c r="G18" s="437">
        <f>Sheet7!O12</f>
        <v>0</v>
      </c>
      <c r="H18" s="436">
        <f>Sheet7!D12</f>
        <v>22908</v>
      </c>
      <c r="I18" s="437">
        <f>Sheet7!P12</f>
        <v>0</v>
      </c>
      <c r="J18" s="436">
        <f>Sheet7!E12</f>
        <v>0</v>
      </c>
      <c r="K18" s="437">
        <f>Sheet7!Q12</f>
        <v>0</v>
      </c>
      <c r="L18" s="436">
        <f>Sheet7!F12</f>
        <v>13575</v>
      </c>
      <c r="M18" s="437">
        <f>Sheet7!R12</f>
        <v>0</v>
      </c>
      <c r="N18" s="436">
        <f>Sheet7!G12</f>
        <v>0</v>
      </c>
      <c r="O18" s="437">
        <f>Sheet7!S12</f>
        <v>0</v>
      </c>
      <c r="P18" s="436">
        <f>Sheet7!H12</f>
        <v>0</v>
      </c>
      <c r="Q18" s="436">
        <f>Sheet7!I12</f>
        <v>8489</v>
      </c>
      <c r="R18" s="437">
        <f>Sheet7!J12</f>
        <v>0</v>
      </c>
      <c r="S18" s="436">
        <f>Sheet7!K12</f>
        <v>0</v>
      </c>
      <c r="T18" s="436">
        <f>Sheet7!L12</f>
        <v>-764</v>
      </c>
      <c r="U18" s="436">
        <f t="shared" si="10"/>
        <v>46244</v>
      </c>
      <c r="V18" s="447">
        <f t="shared" si="11"/>
        <v>1.1248618784530386</v>
      </c>
      <c r="W18" s="447">
        <f t="shared" si="12"/>
        <v>0</v>
      </c>
      <c r="X18" s="447">
        <f t="shared" si="13"/>
        <v>3.3747790218031821</v>
      </c>
      <c r="Y18" s="447">
        <f t="shared" si="14"/>
        <v>0</v>
      </c>
      <c r="Z18" s="447">
        <f t="shared" si="15"/>
        <v>0</v>
      </c>
      <c r="AA18" s="447">
        <f t="shared" si="16"/>
        <v>0</v>
      </c>
      <c r="AB18" s="447">
        <f t="shared" si="17"/>
        <v>1.1249689235104003</v>
      </c>
      <c r="AC18" s="447">
        <f t="shared" si="18"/>
        <v>0</v>
      </c>
      <c r="AD18" s="447">
        <f t="shared" si="19"/>
        <v>0</v>
      </c>
      <c r="AE18" s="447">
        <f t="shared" si="20"/>
        <v>0</v>
      </c>
      <c r="AF18" s="448">
        <f t="shared" si="21"/>
        <v>0</v>
      </c>
      <c r="AG18" s="449">
        <f t="shared" si="22"/>
        <v>5.6246098237666216</v>
      </c>
      <c r="AH18" s="460"/>
      <c r="AI18" s="473">
        <f t="shared" si="0"/>
        <v>0</v>
      </c>
      <c r="AJ18" s="473">
        <f t="shared" si="1"/>
        <v>0</v>
      </c>
      <c r="AK18" s="473">
        <f t="shared" si="2"/>
        <v>0</v>
      </c>
      <c r="AL18" s="473">
        <f t="shared" si="3"/>
        <v>0</v>
      </c>
      <c r="AM18" s="473">
        <f t="shared" si="4"/>
        <v>0</v>
      </c>
      <c r="AN18" s="473">
        <f t="shared" si="5"/>
        <v>0</v>
      </c>
      <c r="AO18" s="473">
        <f t="shared" si="6"/>
        <v>0</v>
      </c>
      <c r="AP18" s="473">
        <f t="shared" si="7"/>
        <v>0</v>
      </c>
      <c r="AQ18" s="473">
        <f t="shared" si="8"/>
        <v>0</v>
      </c>
      <c r="AR18" s="473">
        <f t="shared" si="9"/>
        <v>0</v>
      </c>
      <c r="AS18" s="473">
        <f t="shared" si="23"/>
        <v>0</v>
      </c>
      <c r="AT18" s="465"/>
      <c r="AU18" s="465"/>
      <c r="AV18" s="465"/>
      <c r="AW18" s="465"/>
      <c r="AX18" s="465"/>
      <c r="AY18" s="469">
        <f>Rates!V16</f>
        <v>0</v>
      </c>
      <c r="AZ18" s="472">
        <v>1694</v>
      </c>
      <c r="BA18" s="472">
        <f t="shared" si="24"/>
        <v>847</v>
      </c>
      <c r="BB18" s="439">
        <f>'14-15 Budget working'!AS15</f>
        <v>0</v>
      </c>
      <c r="BC18" s="440">
        <f>'14-15 Budget working'!AT15</f>
        <v>0</v>
      </c>
      <c r="BD18" s="440">
        <f>'14-15 Budget working'!AU15</f>
        <v>0</v>
      </c>
      <c r="BE18" s="440">
        <f>'14-15 Budget working'!AV15</f>
        <v>0</v>
      </c>
      <c r="BF18" s="440">
        <f>'14-15 Budget working'!AW15</f>
        <v>0</v>
      </c>
      <c r="BG18" s="440">
        <f>'14-15 Budget working'!AX15</f>
        <v>0</v>
      </c>
      <c r="BH18" s="440">
        <f>'14-15 Budget working'!AY15</f>
        <v>0</v>
      </c>
      <c r="BI18" s="440">
        <f>'14-15 Budget working'!AZ15</f>
        <v>0</v>
      </c>
      <c r="BJ18" s="440">
        <f>'14-15 Budget working'!BA15</f>
        <v>0</v>
      </c>
      <c r="BK18" s="440">
        <f>'14-15 Budget working'!BB15</f>
        <v>0</v>
      </c>
      <c r="BL18" s="452">
        <f>'14-15 Budget working'!BC15</f>
        <v>0</v>
      </c>
      <c r="BM18" s="456">
        <f t="shared" si="25"/>
        <v>0</v>
      </c>
    </row>
    <row r="19" spans="1:65" ht="21" x14ac:dyDescent="0.35">
      <c r="A19" s="77">
        <v>139</v>
      </c>
      <c r="B19" s="77">
        <v>7017</v>
      </c>
      <c r="C19" s="72"/>
      <c r="D19" s="72"/>
      <c r="E19" s="72" t="s">
        <v>19</v>
      </c>
      <c r="F19" s="410">
        <f>Sheet7!C13</f>
        <v>34900</v>
      </c>
      <c r="G19" s="411">
        <f>Sheet7!O13</f>
        <v>359</v>
      </c>
      <c r="H19" s="410">
        <f>Sheet7!D13</f>
        <v>479992</v>
      </c>
      <c r="I19" s="411">
        <f>Sheet7!P13</f>
        <v>3636</v>
      </c>
      <c r="J19" s="410">
        <f>Sheet7!E13</f>
        <v>375751</v>
      </c>
      <c r="K19" s="411">
        <f>Sheet7!Q13</f>
        <v>6061</v>
      </c>
      <c r="L19" s="410">
        <f>Sheet7!F13</f>
        <v>38785</v>
      </c>
      <c r="M19" s="411">
        <f>Sheet7!R13</f>
        <v>0</v>
      </c>
      <c r="N19" s="410">
        <f>Sheet7!G13</f>
        <v>0</v>
      </c>
      <c r="O19" s="411">
        <f>Sheet7!S13</f>
        <v>0</v>
      </c>
      <c r="P19" s="410">
        <f>Sheet7!H13</f>
        <v>0</v>
      </c>
      <c r="Q19" s="410">
        <f>Sheet7!I13</f>
        <v>45866</v>
      </c>
      <c r="R19" s="411">
        <f>Sheet7!J13</f>
        <v>831</v>
      </c>
      <c r="S19" s="410">
        <f>Sheet7!K13</f>
        <v>0</v>
      </c>
      <c r="T19" s="410">
        <f>Sheet7!L13</f>
        <v>-64528</v>
      </c>
      <c r="U19" s="410">
        <f t="shared" si="10"/>
        <v>921653</v>
      </c>
      <c r="V19" s="442">
        <f t="shared" si="11"/>
        <v>22.172808132147395</v>
      </c>
      <c r="W19" s="442">
        <f t="shared" si="12"/>
        <v>0.45616264294790343</v>
      </c>
      <c r="X19" s="442">
        <f t="shared" si="13"/>
        <v>81.313230560731824</v>
      </c>
      <c r="Y19" s="442">
        <f t="shared" si="14"/>
        <v>1.2319159749280026</v>
      </c>
      <c r="Z19" s="442">
        <f t="shared" si="15"/>
        <v>38.193840211425083</v>
      </c>
      <c r="AA19" s="442">
        <f t="shared" si="16"/>
        <v>1.2321610083350274</v>
      </c>
      <c r="AB19" s="442">
        <f t="shared" si="17"/>
        <v>3.6962737062803774</v>
      </c>
      <c r="AC19" s="442">
        <f t="shared" si="18"/>
        <v>0</v>
      </c>
      <c r="AD19" s="442">
        <f t="shared" si="19"/>
        <v>0</v>
      </c>
      <c r="AE19" s="442">
        <f t="shared" si="20"/>
        <v>0</v>
      </c>
      <c r="AF19" s="443">
        <f t="shared" si="21"/>
        <v>0</v>
      </c>
      <c r="AG19" s="449">
        <f t="shared" si="22"/>
        <v>148.29639223679561</v>
      </c>
      <c r="AH19" s="460"/>
      <c r="AI19" s="473">
        <f t="shared" si="0"/>
        <v>0</v>
      </c>
      <c r="AJ19" s="473">
        <f t="shared" si="1"/>
        <v>0</v>
      </c>
      <c r="AK19" s="473">
        <f t="shared" si="2"/>
        <v>0</v>
      </c>
      <c r="AL19" s="473">
        <f t="shared" si="3"/>
        <v>0</v>
      </c>
      <c r="AM19" s="473">
        <f t="shared" si="4"/>
        <v>0</v>
      </c>
      <c r="AN19" s="473">
        <f t="shared" si="5"/>
        <v>0</v>
      </c>
      <c r="AO19" s="473">
        <f t="shared" si="6"/>
        <v>0</v>
      </c>
      <c r="AP19" s="473">
        <f t="shared" si="7"/>
        <v>0</v>
      </c>
      <c r="AQ19" s="473">
        <f t="shared" si="8"/>
        <v>0</v>
      </c>
      <c r="AR19" s="473">
        <f t="shared" si="9"/>
        <v>0</v>
      </c>
      <c r="AS19" s="473">
        <f t="shared" si="23"/>
        <v>0</v>
      </c>
      <c r="AT19" s="465"/>
      <c r="AU19" s="465"/>
      <c r="AV19" s="465"/>
      <c r="AW19" s="465"/>
      <c r="AX19" s="465"/>
      <c r="AY19" s="469">
        <f>Rates!V17</f>
        <v>0</v>
      </c>
      <c r="AZ19" s="472">
        <v>388</v>
      </c>
      <c r="BA19" s="472">
        <f t="shared" si="24"/>
        <v>194</v>
      </c>
      <c r="BB19" s="430">
        <f>'14-15 Budget working'!AS16</f>
        <v>13</v>
      </c>
      <c r="BC19" s="431">
        <f>'14-15 Budget working'!AT16</f>
        <v>0</v>
      </c>
      <c r="BD19" s="431">
        <f>'14-15 Budget working'!AU16</f>
        <v>71</v>
      </c>
      <c r="BE19" s="431">
        <f>'14-15 Budget working'!AV16</f>
        <v>0</v>
      </c>
      <c r="BF19" s="431">
        <f>'14-15 Budget working'!AW16</f>
        <v>0</v>
      </c>
      <c r="BG19" s="431">
        <f>'14-15 Budget working'!AX16</f>
        <v>0</v>
      </c>
      <c r="BH19" s="431">
        <f>'14-15 Budget working'!AY16</f>
        <v>47</v>
      </c>
      <c r="BI19" s="431">
        <f>'14-15 Budget working'!AZ16</f>
        <v>0</v>
      </c>
      <c r="BJ19" s="431">
        <f>'14-15 Budget working'!BA16</f>
        <v>0</v>
      </c>
      <c r="BK19" s="431">
        <f>'14-15 Budget working'!BB16</f>
        <v>0</v>
      </c>
      <c r="BL19" s="451">
        <f>'14-15 Budget working'!BC16</f>
        <v>0</v>
      </c>
      <c r="BM19" s="456">
        <f t="shared" si="25"/>
        <v>131</v>
      </c>
    </row>
    <row r="20" spans="1:65" s="413" customFormat="1" ht="21" x14ac:dyDescent="0.35">
      <c r="A20" s="78">
        <v>141</v>
      </c>
      <c r="B20" s="78">
        <v>7022</v>
      </c>
      <c r="C20" s="76" t="s">
        <v>7</v>
      </c>
      <c r="D20" s="76"/>
      <c r="E20" s="76" t="s">
        <v>20</v>
      </c>
      <c r="F20" s="436">
        <f>Sheet7!C14</f>
        <v>30540</v>
      </c>
      <c r="G20" s="437">
        <f>Sheet7!O14</f>
        <v>0</v>
      </c>
      <c r="H20" s="436">
        <f>Sheet7!D14</f>
        <v>76360</v>
      </c>
      <c r="I20" s="437">
        <f>Sheet7!P14</f>
        <v>0</v>
      </c>
      <c r="J20" s="436">
        <f>Sheet7!E14</f>
        <v>114543</v>
      </c>
      <c r="K20" s="437">
        <f>Sheet7!Q14</f>
        <v>0</v>
      </c>
      <c r="L20" s="436">
        <f>Sheet7!F14</f>
        <v>40725</v>
      </c>
      <c r="M20" s="437">
        <f>Sheet7!R14</f>
        <v>0</v>
      </c>
      <c r="N20" s="436">
        <f>Sheet7!G14</f>
        <v>0</v>
      </c>
      <c r="O20" s="437">
        <f>Sheet7!S14</f>
        <v>0</v>
      </c>
      <c r="P20" s="436">
        <f>Sheet7!H14</f>
        <v>0</v>
      </c>
      <c r="Q20" s="436">
        <f>Sheet7!I14</f>
        <v>63575</v>
      </c>
      <c r="R20" s="437">
        <f>Sheet7!J14</f>
        <v>13837</v>
      </c>
      <c r="S20" s="436">
        <f>Sheet7!K14</f>
        <v>31278</v>
      </c>
      <c r="T20" s="436">
        <f>Sheet7!L14</f>
        <v>0</v>
      </c>
      <c r="U20" s="436">
        <f t="shared" si="10"/>
        <v>370858</v>
      </c>
      <c r="V20" s="447">
        <f t="shared" si="11"/>
        <v>16.872928176795579</v>
      </c>
      <c r="W20" s="447">
        <f t="shared" si="12"/>
        <v>0</v>
      </c>
      <c r="X20" s="447">
        <f t="shared" si="13"/>
        <v>11.249263406010607</v>
      </c>
      <c r="Y20" s="447">
        <f t="shared" si="14"/>
        <v>0</v>
      </c>
      <c r="Z20" s="447">
        <f t="shared" si="15"/>
        <v>10.124900556881464</v>
      </c>
      <c r="AA20" s="447">
        <f t="shared" si="16"/>
        <v>0</v>
      </c>
      <c r="AB20" s="447">
        <f t="shared" si="17"/>
        <v>3.3749067705312008</v>
      </c>
      <c r="AC20" s="447">
        <f t="shared" si="18"/>
        <v>0</v>
      </c>
      <c r="AD20" s="447">
        <f t="shared" si="19"/>
        <v>0</v>
      </c>
      <c r="AE20" s="447">
        <f t="shared" si="20"/>
        <v>0</v>
      </c>
      <c r="AF20" s="448">
        <f t="shared" si="21"/>
        <v>0</v>
      </c>
      <c r="AG20" s="449">
        <f t="shared" si="22"/>
        <v>41.621998910218849</v>
      </c>
      <c r="AH20" s="460"/>
      <c r="AI20" s="473">
        <f>IF(C20="BESD",((BB20*$AI$6)+(BB20*BA20))*AY20,((BB20*$AI$5)+(BB20*BA20))*AY20)</f>
        <v>28261.304749999999</v>
      </c>
      <c r="AJ20" s="473">
        <f t="shared" si="1"/>
        <v>0</v>
      </c>
      <c r="AK20" s="473">
        <f>IF(C20="BESD",((BD20*$AK$6)+(BD20*BA20))*AY20,((BD20*$AK$5)+(BD20*BA20))*AY20)</f>
        <v>273021.40625</v>
      </c>
      <c r="AL20" s="473">
        <f t="shared" si="3"/>
        <v>6227.9529999999995</v>
      </c>
      <c r="AM20" s="473">
        <f>IF(C20="BESD",((BF20*$AM$6)+(BF20*BA20))*AY20,((BF20*$AM$5)+(BF20*BA20))*AY20)</f>
        <v>0</v>
      </c>
      <c r="AN20" s="473">
        <f t="shared" si="5"/>
        <v>0</v>
      </c>
      <c r="AO20" s="473">
        <f>IF(C20="BESD",((BH20*$AO$6)+(BH20*BA20))*AY20,((BH20*$AO$5)+(BH20*BA20))*AY20)</f>
        <v>546559.01249999995</v>
      </c>
      <c r="AP20" s="473">
        <f t="shared" si="7"/>
        <v>0</v>
      </c>
      <c r="AQ20" s="473">
        <f>IF(C20="BESD",((BJ20*$AQ$6)+(BJ20*BA20))*AY20,((BJ20*$AQ$5)+(BJ20*BA20))*AY20)</f>
        <v>92190.09375</v>
      </c>
      <c r="AR20" s="473">
        <f t="shared" si="9"/>
        <v>0</v>
      </c>
      <c r="AS20" s="473">
        <f t="shared" si="23"/>
        <v>0</v>
      </c>
      <c r="AT20" s="465"/>
      <c r="AU20" s="465"/>
      <c r="AV20" s="465"/>
      <c r="AW20" s="465"/>
      <c r="AX20" s="465"/>
      <c r="AY20" s="469">
        <f>Rates!V18</f>
        <v>1.2905</v>
      </c>
      <c r="AZ20" s="472">
        <v>2379</v>
      </c>
      <c r="BA20" s="472">
        <f t="shared" si="24"/>
        <v>1189.5</v>
      </c>
      <c r="BB20" s="439">
        <f>'14-15 Budget working'!AS17</f>
        <v>7</v>
      </c>
      <c r="BC20" s="440">
        <f>'14-15 Budget working'!AT17</f>
        <v>0</v>
      </c>
      <c r="BD20" s="440">
        <f>'14-15 Budget working'!AU17</f>
        <v>25</v>
      </c>
      <c r="BE20" s="440">
        <f>'14-15 Budget working'!AV17</f>
        <v>1</v>
      </c>
      <c r="BF20" s="440">
        <f>'14-15 Budget working'!AW17</f>
        <v>0</v>
      </c>
      <c r="BG20" s="440">
        <f>'14-15 Budget working'!AX17</f>
        <v>0</v>
      </c>
      <c r="BH20" s="440">
        <f>'14-15 Budget working'!AY17</f>
        <v>30</v>
      </c>
      <c r="BI20" s="440">
        <f>'14-15 Budget working'!AZ17</f>
        <v>0</v>
      </c>
      <c r="BJ20" s="440">
        <f>'14-15 Budget working'!BA17</f>
        <v>3</v>
      </c>
      <c r="BK20" s="440">
        <f>'14-15 Budget working'!BB17</f>
        <v>0</v>
      </c>
      <c r="BL20" s="452">
        <f>'14-15 Budget working'!BC17</f>
        <v>0</v>
      </c>
      <c r="BM20" s="456">
        <f t="shared" si="25"/>
        <v>66</v>
      </c>
    </row>
    <row r="21" spans="1:65" ht="21" x14ac:dyDescent="0.35">
      <c r="A21" s="77">
        <v>143</v>
      </c>
      <c r="B21" s="77">
        <v>7023</v>
      </c>
      <c r="C21" s="72"/>
      <c r="D21" s="72"/>
      <c r="E21" s="72" t="s">
        <v>21</v>
      </c>
      <c r="F21" s="410">
        <f>Sheet7!C15</f>
        <v>118273</v>
      </c>
      <c r="G21" s="411">
        <f>Sheet7!O15</f>
        <v>0</v>
      </c>
      <c r="H21" s="410">
        <f>Sheet7!D15</f>
        <v>261814</v>
      </c>
      <c r="I21" s="411">
        <f>Sheet7!P15</f>
        <v>0</v>
      </c>
      <c r="J21" s="410">
        <f>Sheet7!E15</f>
        <v>169694</v>
      </c>
      <c r="K21" s="411">
        <f>Sheet7!Q15</f>
        <v>0</v>
      </c>
      <c r="L21" s="410">
        <f>Sheet7!F15</f>
        <v>64642</v>
      </c>
      <c r="M21" s="411">
        <f>Sheet7!R15</f>
        <v>0</v>
      </c>
      <c r="N21" s="410">
        <f>Sheet7!G15</f>
        <v>0</v>
      </c>
      <c r="O21" s="411">
        <f>Sheet7!S15</f>
        <v>0</v>
      </c>
      <c r="P21" s="410">
        <f>Sheet7!H15</f>
        <v>0</v>
      </c>
      <c r="Q21" s="410">
        <f>Sheet7!I15</f>
        <v>52491</v>
      </c>
      <c r="R21" s="411">
        <f>Sheet7!J15</f>
        <v>0</v>
      </c>
      <c r="S21" s="410">
        <f>Sheet7!K15</f>
        <v>0</v>
      </c>
      <c r="T21" s="410">
        <f>Sheet7!L15</f>
        <v>0</v>
      </c>
      <c r="U21" s="410">
        <f t="shared" si="10"/>
        <v>666914</v>
      </c>
      <c r="V21" s="442">
        <f t="shared" si="11"/>
        <v>75.141677255400253</v>
      </c>
      <c r="W21" s="442">
        <f t="shared" si="12"/>
        <v>0</v>
      </c>
      <c r="X21" s="442">
        <f t="shared" si="13"/>
        <v>44.352702015924109</v>
      </c>
      <c r="Y21" s="442">
        <f t="shared" si="14"/>
        <v>0</v>
      </c>
      <c r="Z21" s="442">
        <f t="shared" si="15"/>
        <v>17.248831063224234</v>
      </c>
      <c r="AA21" s="442">
        <f t="shared" si="16"/>
        <v>0</v>
      </c>
      <c r="AB21" s="442">
        <f t="shared" si="17"/>
        <v>6.1604879443438483</v>
      </c>
      <c r="AC21" s="442">
        <f t="shared" si="18"/>
        <v>0</v>
      </c>
      <c r="AD21" s="442">
        <f t="shared" si="19"/>
        <v>0</v>
      </c>
      <c r="AE21" s="442">
        <f t="shared" si="20"/>
        <v>0</v>
      </c>
      <c r="AF21" s="443">
        <f t="shared" si="21"/>
        <v>0</v>
      </c>
      <c r="AG21" s="449">
        <f t="shared" si="22"/>
        <v>142.90369827889245</v>
      </c>
      <c r="AH21" s="460"/>
      <c r="AI21" s="473">
        <f>IF(C21="BESD",((BB21*$AI$6)+(BB21*AZ21))*AY21,((BB21*$AI$5)+(BB21*AZ21))*AY21)</f>
        <v>0</v>
      </c>
      <c r="AJ21" s="473">
        <f t="shared" si="1"/>
        <v>0</v>
      </c>
      <c r="AK21" s="473">
        <f>IF(C21="BESD",((BD21*$AK$6)+(BD21*AZ21))*AY21,((BD21*$AK$5)+(BD21*AZ21))*AY21)</f>
        <v>0</v>
      </c>
      <c r="AL21" s="473">
        <f t="shared" si="3"/>
        <v>0</v>
      </c>
      <c r="AM21" s="473">
        <f>IF(C21="BESD",((BF21*$AM$6)+(BF21*AZ21))*AY21,((BF21*$AM$5)+(BF21*AZ21))*AY21)</f>
        <v>0</v>
      </c>
      <c r="AN21" s="473">
        <f t="shared" si="5"/>
        <v>0</v>
      </c>
      <c r="AO21" s="473">
        <f>IF(C21="BESD",((BH21*$AO$6)+(BH21*AZ21))*AY21,((BH21*$AO$5)+(BH21*AZ21))*AY21)</f>
        <v>0</v>
      </c>
      <c r="AP21" s="473">
        <f t="shared" si="7"/>
        <v>0</v>
      </c>
      <c r="AQ21" s="473">
        <f>IF(C21="BESD",((BJ21*$AQ$6)+(BJ21*AZ21))*AY21,((BJ21*$AQ$5)+(BJ21*AZ21))*AY21)</f>
        <v>0</v>
      </c>
      <c r="AR21" s="473">
        <f t="shared" si="9"/>
        <v>0</v>
      </c>
      <c r="AS21" s="473">
        <f t="shared" si="23"/>
        <v>0</v>
      </c>
      <c r="AT21" s="465"/>
      <c r="AU21" s="465"/>
      <c r="AV21" s="465"/>
      <c r="AW21" s="465"/>
      <c r="AX21" s="465"/>
      <c r="AY21" s="469">
        <f>Rates!V19</f>
        <v>0</v>
      </c>
      <c r="AZ21" s="472">
        <v>456</v>
      </c>
      <c r="BA21" s="472">
        <f t="shared" si="24"/>
        <v>228</v>
      </c>
      <c r="BB21" s="430">
        <f>'14-15 Budget working'!AS18</f>
        <v>19</v>
      </c>
      <c r="BC21" s="431">
        <f>'14-15 Budget working'!AT18</f>
        <v>0</v>
      </c>
      <c r="BD21" s="431">
        <f>'14-15 Budget working'!AU18</f>
        <v>111</v>
      </c>
      <c r="BE21" s="431">
        <f>'14-15 Budget working'!AV18</f>
        <v>0</v>
      </c>
      <c r="BF21" s="431">
        <f>'14-15 Budget working'!AW18</f>
        <v>0</v>
      </c>
      <c r="BG21" s="431">
        <f>'14-15 Budget working'!AX18</f>
        <v>0</v>
      </c>
      <c r="BH21" s="431">
        <f>'14-15 Budget working'!AY18</f>
        <v>45</v>
      </c>
      <c r="BI21" s="431">
        <f>'14-15 Budget working'!AZ18</f>
        <v>0</v>
      </c>
      <c r="BJ21" s="431">
        <f>'14-15 Budget working'!BA18</f>
        <v>15</v>
      </c>
      <c r="BK21" s="431">
        <f>'14-15 Budget working'!BB18</f>
        <v>0</v>
      </c>
      <c r="BL21" s="451">
        <f>'14-15 Budget working'!BC18</f>
        <v>0</v>
      </c>
      <c r="BM21" s="456">
        <f t="shared" si="25"/>
        <v>190</v>
      </c>
    </row>
    <row r="22" spans="1:65" ht="21" x14ac:dyDescent="0.35">
      <c r="A22" s="77">
        <v>144</v>
      </c>
      <c r="B22" s="77">
        <v>7024</v>
      </c>
      <c r="C22" s="72"/>
      <c r="D22" s="72" t="s">
        <v>132</v>
      </c>
      <c r="E22" s="72" t="s">
        <v>22</v>
      </c>
      <c r="F22" s="410">
        <f>Sheet7!C16</f>
        <v>89189</v>
      </c>
      <c r="G22" s="411">
        <f>Sheet7!O16</f>
        <v>0</v>
      </c>
      <c r="H22" s="410">
        <f>Sheet7!D16</f>
        <v>814531</v>
      </c>
      <c r="I22" s="411">
        <f>Sheet7!P16</f>
        <v>0</v>
      </c>
      <c r="J22" s="410">
        <f>Sheet7!E16</f>
        <v>1078769</v>
      </c>
      <c r="K22" s="411">
        <f>Sheet7!Q16</f>
        <v>0</v>
      </c>
      <c r="L22" s="410">
        <f>Sheet7!F16</f>
        <v>723985</v>
      </c>
      <c r="M22" s="411">
        <f>Sheet7!R16</f>
        <v>0</v>
      </c>
      <c r="N22" s="410">
        <f>Sheet7!G16</f>
        <v>113126</v>
      </c>
      <c r="O22" s="411">
        <f>Sheet7!S16</f>
        <v>0</v>
      </c>
      <c r="P22" s="410">
        <f>Sheet7!H16</f>
        <v>0</v>
      </c>
      <c r="Q22" s="410">
        <f>Sheet7!I16</f>
        <v>0</v>
      </c>
      <c r="R22" s="411">
        <f>Sheet7!J16</f>
        <v>0</v>
      </c>
      <c r="S22" s="410">
        <f>Sheet7!K16</f>
        <v>0</v>
      </c>
      <c r="T22" s="410">
        <f>Sheet7!L16</f>
        <v>-198429</v>
      </c>
      <c r="U22" s="410">
        <f t="shared" si="10"/>
        <v>2621171</v>
      </c>
      <c r="V22" s="442">
        <f t="shared" si="11"/>
        <v>56.663913595933927</v>
      </c>
      <c r="W22" s="442">
        <f t="shared" si="12"/>
        <v>0</v>
      </c>
      <c r="X22" s="442">
        <f t="shared" si="13"/>
        <v>137.98593935287141</v>
      </c>
      <c r="Y22" s="442">
        <f t="shared" si="14"/>
        <v>0</v>
      </c>
      <c r="Z22" s="442">
        <f t="shared" si="15"/>
        <v>109.65328318763976</v>
      </c>
      <c r="AA22" s="442">
        <f t="shared" si="16"/>
        <v>0</v>
      </c>
      <c r="AB22" s="442">
        <f t="shared" si="17"/>
        <v>68.996950347850955</v>
      </c>
      <c r="AC22" s="442">
        <f t="shared" si="18"/>
        <v>0</v>
      </c>
      <c r="AD22" s="442">
        <f t="shared" si="19"/>
        <v>6.1605402167401841</v>
      </c>
      <c r="AE22" s="442">
        <f t="shared" si="20"/>
        <v>0</v>
      </c>
      <c r="AF22" s="443">
        <f t="shared" si="21"/>
        <v>0</v>
      </c>
      <c r="AG22" s="449">
        <f t="shared" si="22"/>
        <v>379.46062670103623</v>
      </c>
      <c r="AH22" s="460"/>
      <c r="AI22" s="473">
        <f>IF(C22="BESD",((BB22*$AI$6)+(BB22*AZ22))*AY22,((BB22*$AI$5)+(BB22*AZ22))*AY22)</f>
        <v>127992.69</v>
      </c>
      <c r="AJ22" s="473">
        <f t="shared" si="1"/>
        <v>3413.1383999999998</v>
      </c>
      <c r="AK22" s="473">
        <f>IF(C22="BESD",((BD22*$AK$6)+(BD22*AZ22))*AY22,((BD22*$AK$5)+(BD22*AZ22))*AY22)</f>
        <v>486487.6128</v>
      </c>
      <c r="AL22" s="473">
        <f t="shared" si="3"/>
        <v>0</v>
      </c>
      <c r="AM22" s="473">
        <f>IF(C22="BESD",((BF22*$AM$6)+(BF22*AZ22))*AY22,((BF22*$AM$5)+(BF22*AZ22))*AY22)</f>
        <v>0</v>
      </c>
      <c r="AN22" s="473">
        <f t="shared" si="5"/>
        <v>0</v>
      </c>
      <c r="AO22" s="473">
        <f>IF(C22="BESD",((BH22*$AO$6)+(BH22*AZ22))*AY22,((BH22*$AO$5)+(BH22*AZ22))*AY22)</f>
        <v>1729631.1647999999</v>
      </c>
      <c r="AP22" s="473">
        <f t="shared" si="7"/>
        <v>0</v>
      </c>
      <c r="AQ22" s="473">
        <f>IF(C22="BESD",((BJ22*$AQ$6)+(BJ22*AZ22))*AY22,((BJ22*$AQ$5)+(BJ22*AZ22))*AY22)</f>
        <v>278767.97759999998</v>
      </c>
      <c r="AR22" s="473">
        <f t="shared" si="9"/>
        <v>0</v>
      </c>
      <c r="AS22" s="473">
        <f t="shared" si="23"/>
        <v>0</v>
      </c>
      <c r="AT22" s="465"/>
      <c r="AU22" s="465"/>
      <c r="AV22" s="465"/>
      <c r="AW22" s="465"/>
      <c r="AX22" s="465"/>
      <c r="AY22" s="469">
        <f>Rates!V20</f>
        <v>1.0122</v>
      </c>
      <c r="AZ22" s="472">
        <v>0</v>
      </c>
      <c r="BA22" s="472">
        <f t="shared" si="24"/>
        <v>0</v>
      </c>
      <c r="BB22" s="430">
        <f>'14-15 Budget working'!AS19</f>
        <v>75</v>
      </c>
      <c r="BC22" s="431">
        <f>'14-15 Budget working'!AT19</f>
        <v>4</v>
      </c>
      <c r="BD22" s="431">
        <f>'14-15 Budget working'!AU19</f>
        <v>76</v>
      </c>
      <c r="BE22" s="431">
        <f>'14-15 Budget working'!AV19</f>
        <v>0</v>
      </c>
      <c r="BF22" s="431">
        <f>'14-15 Budget working'!AW19</f>
        <v>0</v>
      </c>
      <c r="BG22" s="431">
        <f>'14-15 Budget working'!AX19</f>
        <v>0</v>
      </c>
      <c r="BH22" s="431">
        <f>'14-15 Budget working'!AY19</f>
        <v>152</v>
      </c>
      <c r="BI22" s="431">
        <f>'14-15 Budget working'!AZ19</f>
        <v>0</v>
      </c>
      <c r="BJ22" s="431">
        <f>'14-15 Budget working'!BA19</f>
        <v>14</v>
      </c>
      <c r="BK22" s="431">
        <f>'14-15 Budget working'!BB19</f>
        <v>0</v>
      </c>
      <c r="BL22" s="451">
        <f>'14-15 Budget working'!BC19</f>
        <v>0</v>
      </c>
      <c r="BM22" s="456">
        <f t="shared" si="25"/>
        <v>321</v>
      </c>
    </row>
    <row r="23" spans="1:65" ht="21" x14ac:dyDescent="0.35">
      <c r="A23" s="77">
        <v>145</v>
      </c>
      <c r="B23" s="77">
        <v>7025</v>
      </c>
      <c r="C23" s="148"/>
      <c r="D23" s="148" t="s">
        <v>132</v>
      </c>
      <c r="E23" s="148" t="s">
        <v>23</v>
      </c>
      <c r="F23" s="410">
        <f>Sheet7!C17</f>
        <v>17450</v>
      </c>
      <c r="G23" s="411">
        <f>Sheet7!O17</f>
        <v>0</v>
      </c>
      <c r="H23" s="410">
        <f>Sheet7!D17</f>
        <v>319994</v>
      </c>
      <c r="I23" s="411">
        <f>Sheet7!P17</f>
        <v>0</v>
      </c>
      <c r="J23" s="410">
        <f>Sheet7!E17</f>
        <v>230299</v>
      </c>
      <c r="K23" s="411">
        <f>Sheet7!Q17</f>
        <v>0</v>
      </c>
      <c r="L23" s="410">
        <f>Sheet7!F17</f>
        <v>245638</v>
      </c>
      <c r="M23" s="411">
        <f>Sheet7!R17</f>
        <v>0</v>
      </c>
      <c r="N23" s="410">
        <f>Sheet7!G17</f>
        <v>45250</v>
      </c>
      <c r="O23" s="411">
        <f>Sheet7!S17</f>
        <v>0</v>
      </c>
      <c r="P23" s="410">
        <f>Sheet7!H17</f>
        <v>0</v>
      </c>
      <c r="Q23" s="410">
        <f>Sheet7!I17</f>
        <v>49275</v>
      </c>
      <c r="R23" s="411">
        <f>Sheet7!J17</f>
        <v>0</v>
      </c>
      <c r="S23" s="410">
        <f>Sheet7!K17</f>
        <v>0</v>
      </c>
      <c r="T23" s="410">
        <f>Sheet7!L17</f>
        <v>-4386</v>
      </c>
      <c r="U23" s="410">
        <f t="shared" si="10"/>
        <v>903520</v>
      </c>
      <c r="V23" s="442">
        <f t="shared" si="11"/>
        <v>11.086404066073698</v>
      </c>
      <c r="W23" s="442">
        <f t="shared" si="12"/>
        <v>0</v>
      </c>
      <c r="X23" s="442">
        <f t="shared" si="13"/>
        <v>54.208707436896496</v>
      </c>
      <c r="Y23" s="442">
        <f t="shared" si="14"/>
        <v>0</v>
      </c>
      <c r="Z23" s="442">
        <f t="shared" si="15"/>
        <v>23.409127871518603</v>
      </c>
      <c r="AA23" s="442">
        <f t="shared" si="16"/>
        <v>0</v>
      </c>
      <c r="AB23" s="442">
        <f t="shared" si="17"/>
        <v>23.40970170589917</v>
      </c>
      <c r="AC23" s="442">
        <f t="shared" si="18"/>
        <v>0</v>
      </c>
      <c r="AD23" s="442">
        <f t="shared" si="19"/>
        <v>2.4641943037630019</v>
      </c>
      <c r="AE23" s="442">
        <f t="shared" si="20"/>
        <v>0</v>
      </c>
      <c r="AF23" s="443">
        <f t="shared" si="21"/>
        <v>0</v>
      </c>
      <c r="AG23" s="449">
        <f t="shared" si="22"/>
        <v>114.57813538415098</v>
      </c>
      <c r="AH23" s="460"/>
      <c r="AI23" s="473">
        <f>IF(C23="BESD",((BB23*$AI$6)+(BB23*AZ23))*AY23,((BB23*$AI$5)+(BB23*AZ23))*AY23)</f>
        <v>0</v>
      </c>
      <c r="AJ23" s="473">
        <f t="shared" si="1"/>
        <v>0</v>
      </c>
      <c r="AK23" s="473">
        <f>IF(C23="BESD",((BD23*$AK$6)+(BD23*AZ23))*AY23,((BD23*$AK$5)+(BD23*AZ23))*AY23)</f>
        <v>0</v>
      </c>
      <c r="AL23" s="473">
        <f t="shared" si="3"/>
        <v>0</v>
      </c>
      <c r="AM23" s="473">
        <f>IF(C23="BESD",((BF23*$AM$6)+(BF23*AZ23))*AY23,((BF23*$AM$5)+(BF23*AZ23))*AY23)</f>
        <v>0</v>
      </c>
      <c r="AN23" s="473">
        <f t="shared" si="5"/>
        <v>0</v>
      </c>
      <c r="AO23" s="473">
        <f>IF(C23="BESD",((BH23*$AO$6)+(BH23*AZ23))*AY23,((BH23*$AO$5)+(BH23*AZ23))*AY23)</f>
        <v>0</v>
      </c>
      <c r="AP23" s="473">
        <f t="shared" si="7"/>
        <v>0</v>
      </c>
      <c r="AQ23" s="473">
        <f>IF(C23="BESD",((BJ23*$AQ$6)+(BJ23*AZ23))*AY23,((BJ23*$AQ$5)+(BJ23*AZ23))*AY23)</f>
        <v>0</v>
      </c>
      <c r="AR23" s="473">
        <f t="shared" si="9"/>
        <v>0</v>
      </c>
      <c r="AS23" s="473">
        <f t="shared" si="23"/>
        <v>0</v>
      </c>
      <c r="AT23" s="465"/>
      <c r="AU23" s="465"/>
      <c r="AV23" s="465"/>
      <c r="AW23" s="465"/>
      <c r="AX23" s="465"/>
      <c r="AY23" s="469">
        <f>Rates!V21</f>
        <v>0</v>
      </c>
      <c r="AZ23" s="472">
        <v>531</v>
      </c>
      <c r="BA23" s="472">
        <f t="shared" si="24"/>
        <v>265.5</v>
      </c>
      <c r="BB23" s="430">
        <f>'14-15 Budget working'!AS20</f>
        <v>9</v>
      </c>
      <c r="BC23" s="431">
        <f>'14-15 Budget working'!AT20</f>
        <v>0</v>
      </c>
      <c r="BD23" s="431">
        <f>'14-15 Budget working'!AU20</f>
        <v>53</v>
      </c>
      <c r="BE23" s="431">
        <f>'14-15 Budget working'!AV20</f>
        <v>0</v>
      </c>
      <c r="BF23" s="431">
        <f>'14-15 Budget working'!AW20</f>
        <v>0</v>
      </c>
      <c r="BG23" s="431">
        <f>'14-15 Budget working'!AX20</f>
        <v>0</v>
      </c>
      <c r="BH23" s="431">
        <f>'14-15 Budget working'!AY20</f>
        <v>44</v>
      </c>
      <c r="BI23" s="431">
        <f>'14-15 Budget working'!AZ20</f>
        <v>0</v>
      </c>
      <c r="BJ23" s="431">
        <f>'14-15 Budget working'!BA20</f>
        <v>4</v>
      </c>
      <c r="BK23" s="431">
        <f>'14-15 Budget working'!BB20</f>
        <v>0</v>
      </c>
      <c r="BL23" s="451">
        <f>'14-15 Budget working'!BC20</f>
        <v>0</v>
      </c>
      <c r="BM23" s="456">
        <f t="shared" si="25"/>
        <v>110</v>
      </c>
    </row>
    <row r="24" spans="1:65" ht="18.5" x14ac:dyDescent="0.35">
      <c r="A24" s="72" t="s">
        <v>24</v>
      </c>
      <c r="B24" s="72">
        <v>959</v>
      </c>
      <c r="C24" s="72"/>
      <c r="D24" s="72"/>
      <c r="E24" s="72" t="s">
        <v>24</v>
      </c>
      <c r="F24" s="410">
        <f>Sheet7!C18</f>
        <v>0</v>
      </c>
      <c r="G24" s="411">
        <f>Sheet7!O18</f>
        <v>0</v>
      </c>
      <c r="H24" s="410">
        <f>Sheet7!D18</f>
        <v>0</v>
      </c>
      <c r="I24" s="411">
        <f>Sheet7!P18</f>
        <v>0</v>
      </c>
      <c r="J24" s="410">
        <f>Sheet7!E18</f>
        <v>0</v>
      </c>
      <c r="K24" s="411">
        <f>Sheet7!Q18</f>
        <v>0</v>
      </c>
      <c r="L24" s="410">
        <f>Sheet7!F18</f>
        <v>0</v>
      </c>
      <c r="M24" s="411">
        <f>Sheet7!R18</f>
        <v>0</v>
      </c>
      <c r="N24" s="410">
        <f>Sheet7!G18</f>
        <v>126474</v>
      </c>
      <c r="O24" s="411">
        <f>Sheet7!S18</f>
        <v>0</v>
      </c>
      <c r="P24" s="410">
        <f>Sheet7!H18</f>
        <v>0</v>
      </c>
      <c r="Q24" s="410">
        <f>Sheet7!I18</f>
        <v>0</v>
      </c>
      <c r="R24" s="411">
        <f>Sheet7!J18</f>
        <v>0</v>
      </c>
      <c r="S24" s="410">
        <f>Sheet7!K18</f>
        <v>0</v>
      </c>
      <c r="T24" s="410">
        <f>Sheet7!L18</f>
        <v>-5783</v>
      </c>
      <c r="U24" s="410">
        <f t="shared" si="10"/>
        <v>120691</v>
      </c>
      <c r="V24" s="442">
        <f t="shared" si="11"/>
        <v>0</v>
      </c>
      <c r="W24" s="442">
        <f t="shared" si="12"/>
        <v>0</v>
      </c>
      <c r="X24" s="442">
        <f t="shared" si="13"/>
        <v>0</v>
      </c>
      <c r="Y24" s="442">
        <f t="shared" si="14"/>
        <v>0</v>
      </c>
      <c r="Z24" s="442">
        <f t="shared" si="15"/>
        <v>0</v>
      </c>
      <c r="AA24" s="442">
        <f t="shared" si="16"/>
        <v>0</v>
      </c>
      <c r="AB24" s="442">
        <f t="shared" si="17"/>
        <v>0</v>
      </c>
      <c r="AC24" s="442">
        <f t="shared" si="18"/>
        <v>0</v>
      </c>
      <c r="AD24" s="442">
        <f t="shared" si="19"/>
        <v>6.88743669335076</v>
      </c>
      <c r="AE24" s="442">
        <f t="shared" si="20"/>
        <v>0</v>
      </c>
      <c r="AF24" s="443">
        <f t="shared" si="21"/>
        <v>0</v>
      </c>
      <c r="AG24" s="449">
        <f t="shared" si="22"/>
        <v>6.88743669335076</v>
      </c>
      <c r="AH24" s="460"/>
      <c r="AI24" s="473">
        <f>IF(C24="BESD",((BB24*$AI$6)+(BB24*AZ24))*AY24,((BB24*$AI$5)+(BB24*AZ24))*AY24)</f>
        <v>0</v>
      </c>
      <c r="AJ24" s="473">
        <f t="shared" si="1"/>
        <v>0</v>
      </c>
      <c r="AK24" s="473">
        <f>IF(C24="BESD",((BD24*$AK$6)+(BD24*AZ24))*AY24,((BD24*$AK$5)+(BD24*AZ24))*AY24)</f>
        <v>0</v>
      </c>
      <c r="AL24" s="473">
        <f t="shared" si="3"/>
        <v>0</v>
      </c>
      <c r="AM24" s="473">
        <f>IF(C24="BESD",((BF24*$AM$6)+(BF24*AZ24))*AY24,((BF24*$AM$5)+(BF24*AZ24))*AY24)</f>
        <v>0</v>
      </c>
      <c r="AN24" s="473">
        <f t="shared" si="5"/>
        <v>0</v>
      </c>
      <c r="AO24" s="473">
        <f>IF(C24="BESD",((BH24*$AO$6)+(BH24*AZ24))*AY24,((BH24*$AO$5)+(BH24*AZ24))*AY24)</f>
        <v>0</v>
      </c>
      <c r="AP24" s="473">
        <f t="shared" si="7"/>
        <v>0</v>
      </c>
      <c r="AQ24" s="473">
        <f>IF(C24="BESD",((BJ24*$AQ$6)+(BJ24*AZ24))*AY24,((BJ24*$AQ$5)+(BJ24*AZ24))*AY24)</f>
        <v>0</v>
      </c>
      <c r="AR24" s="473">
        <f t="shared" si="9"/>
        <v>0</v>
      </c>
      <c r="AS24" s="473">
        <f t="shared" si="23"/>
        <v>0</v>
      </c>
      <c r="AT24" s="465"/>
      <c r="AU24" s="465"/>
      <c r="AV24" s="465"/>
      <c r="AW24" s="465"/>
      <c r="AX24" s="465"/>
      <c r="AY24" s="469">
        <f>Rates!V22</f>
        <v>0</v>
      </c>
      <c r="AZ24" s="472">
        <v>0</v>
      </c>
      <c r="BA24" s="472">
        <f t="shared" si="24"/>
        <v>0</v>
      </c>
      <c r="BB24" s="430">
        <f>'14-15 Budget working'!AS22</f>
        <v>0</v>
      </c>
      <c r="BC24" s="431">
        <f>'14-15 Budget working'!AT22</f>
        <v>0</v>
      </c>
      <c r="BD24" s="431">
        <f>'14-15 Budget working'!AU22</f>
        <v>0</v>
      </c>
      <c r="BE24" s="431">
        <f>'14-15 Budget working'!AV22</f>
        <v>0</v>
      </c>
      <c r="BF24" s="431">
        <f>'14-15 Budget working'!AW22</f>
        <v>0</v>
      </c>
      <c r="BG24" s="431">
        <f>'14-15 Budget working'!AX22</f>
        <v>0</v>
      </c>
      <c r="BH24" s="431">
        <f>'14-15 Budget working'!AY22</f>
        <v>0</v>
      </c>
      <c r="BI24" s="431">
        <f>'14-15 Budget working'!AZ22</f>
        <v>0</v>
      </c>
      <c r="BJ24" s="431">
        <f>'14-15 Budget working'!BA22</f>
        <v>7</v>
      </c>
      <c r="BK24" s="431">
        <f>'14-15 Budget working'!BB22</f>
        <v>0</v>
      </c>
      <c r="BL24" s="431">
        <f>'14-15 Budget working'!BC22</f>
        <v>0</v>
      </c>
      <c r="BM24" s="456">
        <f t="shared" si="25"/>
        <v>7</v>
      </c>
    </row>
    <row r="25" spans="1:65" x14ac:dyDescent="0.35">
      <c r="V25" s="423"/>
      <c r="W25" s="416"/>
      <c r="X25" s="416"/>
      <c r="Y25" s="416"/>
      <c r="Z25" s="416"/>
      <c r="AA25" s="416"/>
      <c r="AB25" s="416"/>
      <c r="AC25" s="416"/>
      <c r="AD25" s="416"/>
      <c r="AE25" s="416"/>
      <c r="AF25" s="424"/>
      <c r="AG25" s="449">
        <f t="shared" si="22"/>
        <v>0</v>
      </c>
      <c r="AH25" s="460"/>
      <c r="AI25" s="467"/>
      <c r="AJ25" s="468"/>
      <c r="AK25" s="467"/>
      <c r="AL25" s="468"/>
      <c r="AM25" s="465"/>
      <c r="AN25" s="465"/>
      <c r="AO25" s="465"/>
      <c r="AP25" s="465"/>
      <c r="AQ25" s="465"/>
      <c r="AR25" s="465"/>
      <c r="AS25" s="465"/>
      <c r="AT25" s="465"/>
      <c r="AU25" s="465"/>
      <c r="AV25" s="465"/>
      <c r="AW25" s="465"/>
      <c r="AX25" s="465"/>
      <c r="AY25" s="449"/>
      <c r="AZ25" s="472"/>
      <c r="BA25" s="472"/>
      <c r="BB25" s="432"/>
      <c r="BC25" s="433"/>
      <c r="BD25" s="433"/>
      <c r="BE25" s="433"/>
      <c r="BF25" s="433"/>
      <c r="BG25" s="433"/>
      <c r="BH25" s="433"/>
      <c r="BI25" s="433"/>
      <c r="BJ25" s="431"/>
      <c r="BK25" s="433"/>
      <c r="BL25" s="433"/>
      <c r="BM25" s="456"/>
    </row>
    <row r="26" spans="1:65" x14ac:dyDescent="0.35">
      <c r="U26" s="410">
        <f>SUM(U12:U25)</f>
        <v>9254783</v>
      </c>
      <c r="V26" s="426">
        <f>SUM(V12:V25)</f>
        <v>331.90666212696658</v>
      </c>
      <c r="W26" s="444">
        <f t="shared" ref="W26:AG26" si="26">SUM(W12:W25)</f>
        <v>0.45616264294790343</v>
      </c>
      <c r="X26" s="427">
        <f t="shared" si="26"/>
        <v>481.18523625562784</v>
      </c>
      <c r="Y26" s="444">
        <f t="shared" si="26"/>
        <v>2.4638319498560053</v>
      </c>
      <c r="Z26" s="427">
        <f t="shared" si="26"/>
        <v>306.08757301862164</v>
      </c>
      <c r="AA26" s="444">
        <f t="shared" si="26"/>
        <v>2.4643220166700548</v>
      </c>
      <c r="AB26" s="427">
        <f t="shared" si="26"/>
        <v>177.9030870485812</v>
      </c>
      <c r="AC26" s="444">
        <f t="shared" si="26"/>
        <v>0</v>
      </c>
      <c r="AD26" s="427">
        <f t="shared" si="26"/>
        <v>25.154642847084023</v>
      </c>
      <c r="AE26" s="444">
        <f t="shared" si="26"/>
        <v>0</v>
      </c>
      <c r="AF26" s="445">
        <f t="shared" si="26"/>
        <v>0</v>
      </c>
      <c r="AG26" s="445">
        <f t="shared" si="26"/>
        <v>1327.6215179063552</v>
      </c>
      <c r="AH26" s="461"/>
      <c r="AI26" s="474">
        <f>SUM(AI12:AI25)</f>
        <v>374810.83134999999</v>
      </c>
      <c r="AJ26" s="474">
        <f>SUM(AJ12:AJ25)</f>
        <v>3413.1383999999998</v>
      </c>
      <c r="AK26" s="474">
        <f t="shared" ref="AK26:AL26" si="27">SUM(AK12:AK25)</f>
        <v>1678816.89515</v>
      </c>
      <c r="AL26" s="474">
        <f t="shared" si="27"/>
        <v>6227.9529999999995</v>
      </c>
      <c r="AM26" s="474">
        <f t="shared" ref="AM26" si="28">SUM(AM12:AM25)</f>
        <v>0</v>
      </c>
      <c r="AN26" s="474">
        <f t="shared" ref="AN26" si="29">SUM(AN12:AN25)</f>
        <v>0</v>
      </c>
      <c r="AO26" s="474">
        <f t="shared" ref="AO26" si="30">SUM(AO12:AO25)</f>
        <v>3644035.7314999998</v>
      </c>
      <c r="AP26" s="474">
        <f t="shared" ref="AP26" si="31">SUM(AP12:AP25)</f>
        <v>0</v>
      </c>
      <c r="AQ26" s="474">
        <f t="shared" ref="AQ26" si="32">SUM(AQ12:AQ25)</f>
        <v>687239.25545000006</v>
      </c>
      <c r="AR26" s="474">
        <f t="shared" ref="AR26:AS26" si="33">SUM(AR12:AR25)</f>
        <v>0</v>
      </c>
      <c r="AS26" s="474">
        <f t="shared" si="33"/>
        <v>0</v>
      </c>
      <c r="AT26" s="466"/>
      <c r="AU26" s="466"/>
      <c r="AV26" s="466"/>
      <c r="AW26" s="466"/>
      <c r="AX26" s="466"/>
      <c r="AY26" s="458"/>
      <c r="AZ26" s="458"/>
      <c r="BA26" s="458"/>
      <c r="BB26" s="434">
        <f>SUM(BB12:BB25)</f>
        <v>200</v>
      </c>
      <c r="BC26" s="435">
        <f t="shared" ref="BC26:BM26" si="34">SUM(BC12:BC25)</f>
        <v>4</v>
      </c>
      <c r="BD26" s="435">
        <f t="shared" si="34"/>
        <v>486</v>
      </c>
      <c r="BE26" s="435">
        <f t="shared" si="34"/>
        <v>1</v>
      </c>
      <c r="BF26" s="435">
        <f t="shared" si="34"/>
        <v>0</v>
      </c>
      <c r="BG26" s="435">
        <f t="shared" si="34"/>
        <v>0</v>
      </c>
      <c r="BH26" s="435">
        <f t="shared" si="34"/>
        <v>564</v>
      </c>
      <c r="BI26" s="435">
        <f t="shared" si="34"/>
        <v>0</v>
      </c>
      <c r="BJ26" s="435">
        <f t="shared" si="34"/>
        <v>78</v>
      </c>
      <c r="BK26" s="435">
        <f t="shared" si="34"/>
        <v>0</v>
      </c>
      <c r="BL26" s="435">
        <f t="shared" si="34"/>
        <v>30</v>
      </c>
      <c r="BM26" s="453">
        <f t="shared" si="34"/>
        <v>1333</v>
      </c>
    </row>
    <row r="28" spans="1:65" x14ac:dyDescent="0.35">
      <c r="U28" s="410">
        <f>'14-15 Budget working'!AR24</f>
        <v>9117993.2112022527</v>
      </c>
      <c r="AI28" s="425">
        <f>'14-15 Budget working'!BG24</f>
        <v>346072.22320000001</v>
      </c>
      <c r="AJ28" s="425">
        <f>'14-15 Budget working'!BH24</f>
        <v>4283.6304</v>
      </c>
      <c r="AK28" s="425">
        <f>'14-15 Budget working'!BI24</f>
        <v>1842764.6286000002</v>
      </c>
      <c r="AL28" s="425">
        <f>'14-15 Budget working'!BJ24</f>
        <v>5121.9944999999998</v>
      </c>
      <c r="AM28" s="425">
        <f>'14-15 Budget working'!BK24</f>
        <v>0</v>
      </c>
      <c r="AN28" s="425">
        <f>'14-15 Budget working'!BL24</f>
        <v>0</v>
      </c>
      <c r="AO28" s="425">
        <f>'14-15 Budget working'!BM24</f>
        <v>4221133.49</v>
      </c>
      <c r="AP28" s="425">
        <f>'14-15 Budget working'!BN24</f>
        <v>0</v>
      </c>
      <c r="AQ28" s="425">
        <f>'14-15 Budget working'!BO24</f>
        <v>805580.973</v>
      </c>
      <c r="AR28" s="425">
        <f>'14-15 Budget working'!BP24</f>
        <v>0</v>
      </c>
      <c r="AS28" s="425">
        <f>'14-15 Budget working'!BQ24</f>
        <v>0</v>
      </c>
      <c r="BB28" s="421">
        <f>'14-15 Budget working'!AS24</f>
        <v>200</v>
      </c>
      <c r="BC28" s="421">
        <f>'14-15 Budget working'!AT24</f>
        <v>4</v>
      </c>
      <c r="BD28" s="421">
        <f>'14-15 Budget working'!AU24</f>
        <v>486</v>
      </c>
      <c r="BE28" s="421">
        <f>'14-15 Budget working'!AV24</f>
        <v>1</v>
      </c>
      <c r="BF28" s="421">
        <f>'14-15 Budget working'!AW24</f>
        <v>0</v>
      </c>
      <c r="BG28" s="421">
        <f>'14-15 Budget working'!AX24</f>
        <v>0</v>
      </c>
      <c r="BH28" s="421">
        <f>'14-15 Budget working'!AY24</f>
        <v>564</v>
      </c>
      <c r="BI28" s="421">
        <f>'14-15 Budget working'!AZ24</f>
        <v>0</v>
      </c>
      <c r="BJ28" s="421">
        <f>'14-15 Budget working'!BA24</f>
        <v>78</v>
      </c>
      <c r="BK28" s="421">
        <f>'14-15 Budget working'!BB24</f>
        <v>0</v>
      </c>
      <c r="BL28" s="421">
        <f>'14-15 Budget working'!BC24</f>
        <v>0</v>
      </c>
      <c r="BM28" s="421">
        <f>SUM(BB28:BL28)</f>
        <v>1333</v>
      </c>
    </row>
    <row r="29" spans="1:65" x14ac:dyDescent="0.35">
      <c r="U29" s="410">
        <f>U26-U28</f>
        <v>136789.78879774734</v>
      </c>
      <c r="AQ29" s="425"/>
    </row>
    <row r="30" spans="1:65" x14ac:dyDescent="0.35">
      <c r="BB30" s="421"/>
      <c r="BC30" s="421"/>
      <c r="BD30" s="421"/>
      <c r="BE30" s="421"/>
      <c r="BF30" s="421"/>
      <c r="BG30" s="421"/>
      <c r="BH30" s="421"/>
      <c r="BI30" s="421"/>
      <c r="BJ30" s="421"/>
      <c r="BK30" s="421"/>
      <c r="BL30" s="421"/>
    </row>
  </sheetData>
  <mergeCells count="36">
    <mergeCell ref="F4:P4"/>
    <mergeCell ref="BB10:BC10"/>
    <mergeCell ref="BD10:BE10"/>
    <mergeCell ref="BF10:BG10"/>
    <mergeCell ref="BH10:BI10"/>
    <mergeCell ref="V10:W10"/>
    <mergeCell ref="X10:Y10"/>
    <mergeCell ref="Z10:AA10"/>
    <mergeCell ref="AB10:AC10"/>
    <mergeCell ref="AD10:AE10"/>
    <mergeCell ref="U10:U11"/>
    <mergeCell ref="F10:G10"/>
    <mergeCell ref="H10:I10"/>
    <mergeCell ref="J10:K10"/>
    <mergeCell ref="L10:M10"/>
    <mergeCell ref="N10:O10"/>
    <mergeCell ref="F9:U9"/>
    <mergeCell ref="P10:P11"/>
    <mergeCell ref="Q10:R10"/>
    <mergeCell ref="S10:S11"/>
    <mergeCell ref="T10:T11"/>
    <mergeCell ref="V9:AF9"/>
    <mergeCell ref="BB9:BL9"/>
    <mergeCell ref="AI9:AX9"/>
    <mergeCell ref="AI10:AJ10"/>
    <mergeCell ref="AK10:AL10"/>
    <mergeCell ref="AM10:AN10"/>
    <mergeCell ref="AO10:AP10"/>
    <mergeCell ref="AQ10:AR10"/>
    <mergeCell ref="AS10:AS11"/>
    <mergeCell ref="AT10:AU10"/>
    <mergeCell ref="AV10:AV11"/>
    <mergeCell ref="AW10:AW11"/>
    <mergeCell ref="AX10:AX11"/>
    <mergeCell ref="AY10:AY11"/>
    <mergeCell ref="BJ10:BK10"/>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A29"/>
  <sheetViews>
    <sheetView showGridLines="0" zoomScale="80" zoomScaleNormal="80" workbookViewId="0">
      <pane xSplit="7" ySplit="11" topLeftCell="AP12" activePane="bottomRight" state="frozen"/>
      <selection pane="topRight" activeCell="H1" sqref="H1"/>
      <selection pane="bottomLeft" activeCell="A11" sqref="A11"/>
      <selection pane="bottomRight" activeCell="E11" sqref="E11"/>
    </sheetView>
  </sheetViews>
  <sheetFormatPr defaultRowHeight="14.5" x14ac:dyDescent="0.35"/>
  <cols>
    <col min="2" max="3" width="9.1796875" customWidth="1"/>
    <col min="5" max="5" width="36.54296875" customWidth="1"/>
    <col min="6" max="7" width="12.7265625" customWidth="1"/>
    <col min="8" max="39" width="9.1796875" customWidth="1"/>
    <col min="40" max="40" width="10.7265625" customWidth="1"/>
    <col min="42" max="51" width="12.7265625" customWidth="1"/>
    <col min="52" max="54" width="9.1796875" customWidth="1"/>
    <col min="55" max="64" width="12.7265625" customWidth="1"/>
    <col min="65" max="67" width="9.1796875" customWidth="1"/>
    <col min="68" max="77" width="12.7265625" customWidth="1"/>
    <col min="78" max="79" width="9.1796875" customWidth="1"/>
    <col min="81" max="90" width="12.7265625" customWidth="1"/>
    <col min="94" max="103" width="12.7265625" customWidth="1"/>
  </cols>
  <sheetData>
    <row r="1" spans="1:105" ht="15" thickBot="1" x14ac:dyDescent="0.4">
      <c r="AP1" s="517" t="s">
        <v>257</v>
      </c>
      <c r="AQ1" s="511"/>
      <c r="AR1" s="355"/>
      <c r="AS1" s="355"/>
      <c r="AT1" s="355"/>
      <c r="AU1" s="355"/>
      <c r="AV1" s="355"/>
      <c r="AW1" s="355"/>
      <c r="AX1" s="355"/>
      <c r="AY1" s="355"/>
      <c r="AZ1" s="355"/>
      <c r="BA1" s="518"/>
      <c r="BC1" s="517" t="s">
        <v>258</v>
      </c>
      <c r="BD1" s="511"/>
      <c r="BE1" s="355"/>
      <c r="BF1" s="355"/>
      <c r="BG1" s="355"/>
      <c r="BH1" s="355"/>
      <c r="BI1" s="355"/>
      <c r="BJ1" s="355"/>
      <c r="BK1" s="355"/>
      <c r="BL1" s="355"/>
      <c r="BM1" s="355"/>
      <c r="BN1" s="518"/>
      <c r="BP1" s="517" t="s">
        <v>259</v>
      </c>
      <c r="BQ1" s="511"/>
      <c r="BR1" s="355"/>
      <c r="BS1" s="355"/>
      <c r="BT1" s="355"/>
      <c r="BU1" s="355"/>
      <c r="BV1" s="355"/>
      <c r="BW1" s="355"/>
      <c r="BX1" s="355"/>
      <c r="BY1" s="355"/>
      <c r="BZ1" s="355"/>
      <c r="CA1" s="518"/>
      <c r="CC1" s="517" t="s">
        <v>260</v>
      </c>
      <c r="CD1" s="511"/>
      <c r="CE1" s="355"/>
      <c r="CF1" s="355"/>
      <c r="CG1" s="355"/>
      <c r="CH1" s="355"/>
      <c r="CI1" s="355"/>
      <c r="CJ1" s="355"/>
      <c r="CK1" s="355"/>
      <c r="CL1" s="355"/>
      <c r="CM1" s="355"/>
      <c r="CN1" s="518"/>
      <c r="CP1" s="517" t="s">
        <v>261</v>
      </c>
      <c r="CQ1" s="511"/>
      <c r="CR1" s="355"/>
      <c r="CS1" s="355"/>
      <c r="CT1" s="355"/>
      <c r="CU1" s="355"/>
      <c r="CV1" s="355"/>
      <c r="CW1" s="355"/>
      <c r="CX1" s="355"/>
      <c r="CY1" s="355"/>
      <c r="CZ1" s="355"/>
      <c r="DA1" s="518"/>
    </row>
    <row r="2" spans="1:105" ht="20" x14ac:dyDescent="0.4">
      <c r="B2" s="656" t="s">
        <v>264</v>
      </c>
      <c r="AP2" s="1251" t="s">
        <v>229</v>
      </c>
      <c r="AQ2" s="648">
        <v>1686</v>
      </c>
      <c r="AR2" s="356"/>
      <c r="AS2" s="356"/>
      <c r="AT2" s="356"/>
      <c r="AU2" s="356"/>
      <c r="AV2" s="356"/>
      <c r="AW2" s="356"/>
      <c r="AX2" s="356"/>
      <c r="AY2" s="356"/>
      <c r="AZ2" s="356"/>
      <c r="BA2" s="407"/>
      <c r="BC2" s="1251" t="s">
        <v>229</v>
      </c>
      <c r="BD2" s="540">
        <v>6324</v>
      </c>
      <c r="BE2" s="356"/>
      <c r="BF2" s="356"/>
      <c r="BG2" s="356"/>
      <c r="BH2" s="356"/>
      <c r="BI2" s="356"/>
      <c r="BJ2" s="356"/>
      <c r="BK2" s="356"/>
      <c r="BL2" s="356"/>
      <c r="BM2" s="356"/>
      <c r="BN2" s="407"/>
      <c r="BP2" s="1251" t="s">
        <v>229</v>
      </c>
      <c r="BQ2" s="540">
        <v>10540</v>
      </c>
      <c r="BR2" s="356"/>
      <c r="BS2" s="356"/>
      <c r="BT2" s="356"/>
      <c r="BU2" s="356"/>
      <c r="BV2" s="356"/>
      <c r="BW2" s="356"/>
      <c r="BX2" s="356"/>
      <c r="BY2" s="356"/>
      <c r="BZ2" s="356"/>
      <c r="CA2" s="407"/>
      <c r="CC2" s="1251" t="s">
        <v>229</v>
      </c>
      <c r="CD2" s="540">
        <v>11242</v>
      </c>
      <c r="CE2" s="356"/>
      <c r="CF2" s="356"/>
      <c r="CG2" s="356"/>
      <c r="CH2" s="356"/>
      <c r="CI2" s="356"/>
      <c r="CJ2" s="356"/>
      <c r="CK2" s="356"/>
      <c r="CL2" s="356"/>
      <c r="CM2" s="356"/>
      <c r="CN2" s="407"/>
      <c r="CP2" s="1251" t="s">
        <v>229</v>
      </c>
      <c r="CQ2" s="514">
        <v>19672</v>
      </c>
      <c r="CR2" s="509"/>
      <c r="CS2" s="509"/>
      <c r="CT2" s="509"/>
      <c r="CU2" s="509"/>
      <c r="CV2" s="509"/>
      <c r="CW2" s="356"/>
      <c r="CX2" s="356"/>
      <c r="CY2" s="356"/>
      <c r="CZ2" s="356"/>
      <c r="DA2" s="407"/>
    </row>
    <row r="3" spans="1:105" ht="15" thickBot="1" x14ac:dyDescent="0.4">
      <c r="AP3" s="1252"/>
      <c r="AQ3" s="541">
        <v>1939</v>
      </c>
      <c r="AR3" s="356"/>
      <c r="AS3" s="356"/>
      <c r="AT3" s="356"/>
      <c r="AU3" s="356"/>
      <c r="AV3" s="356"/>
      <c r="AW3" s="356"/>
      <c r="AX3" s="356"/>
      <c r="AY3" s="356"/>
      <c r="AZ3" s="356"/>
      <c r="BA3" s="407"/>
      <c r="BC3" s="1252"/>
      <c r="BD3" s="541">
        <v>7273</v>
      </c>
      <c r="BE3" s="356"/>
      <c r="BF3" s="356"/>
      <c r="BG3" s="356"/>
      <c r="BH3" s="356"/>
      <c r="BI3" s="356"/>
      <c r="BJ3" s="356"/>
      <c r="BK3" s="356"/>
      <c r="BL3" s="356"/>
      <c r="BM3" s="356"/>
      <c r="BN3" s="407"/>
      <c r="BP3" s="1252"/>
      <c r="BQ3" s="541">
        <v>12121</v>
      </c>
      <c r="BR3" s="356"/>
      <c r="BS3" s="356"/>
      <c r="BT3" s="356"/>
      <c r="BU3" s="356"/>
      <c r="BV3" s="356"/>
      <c r="BW3" s="356"/>
      <c r="BX3" s="356"/>
      <c r="BY3" s="356"/>
      <c r="BZ3" s="356"/>
      <c r="CA3" s="407"/>
      <c r="CC3" s="1252"/>
      <c r="CD3" s="541">
        <v>12928</v>
      </c>
      <c r="CE3" s="356"/>
      <c r="CF3" s="356"/>
      <c r="CG3" s="356"/>
      <c r="CH3" s="356"/>
      <c r="CI3" s="356"/>
      <c r="CJ3" s="356"/>
      <c r="CK3" s="356"/>
      <c r="CL3" s="356"/>
      <c r="CM3" s="356"/>
      <c r="CN3" s="407"/>
      <c r="CP3" s="1252"/>
      <c r="CQ3" s="513">
        <v>22623</v>
      </c>
      <c r="CR3" s="509"/>
      <c r="CS3" s="509"/>
      <c r="CT3" s="509"/>
      <c r="CU3" s="509"/>
      <c r="CV3" s="509"/>
      <c r="CW3" s="356"/>
      <c r="CX3" s="356"/>
      <c r="CY3" s="356"/>
      <c r="CZ3" s="356"/>
      <c r="DA3" s="407"/>
    </row>
    <row r="4" spans="1:105" s="489" customFormat="1" x14ac:dyDescent="0.35">
      <c r="G4" s="497"/>
      <c r="H4" s="497"/>
      <c r="I4" s="497"/>
      <c r="J4" s="497"/>
      <c r="K4" s="497"/>
      <c r="L4" s="497"/>
      <c r="M4" s="497"/>
      <c r="N4" s="497"/>
      <c r="O4" s="497"/>
      <c r="P4" s="497"/>
      <c r="Q4" s="497"/>
      <c r="AP4" s="1253" t="s">
        <v>230</v>
      </c>
      <c r="AQ4" s="542">
        <v>1574</v>
      </c>
      <c r="AR4" s="500"/>
      <c r="AS4" s="500"/>
      <c r="AT4" s="500"/>
      <c r="AU4" s="500"/>
      <c r="AV4" s="500"/>
      <c r="AW4" s="500"/>
      <c r="AX4" s="500"/>
      <c r="AY4" s="500"/>
      <c r="AZ4" s="500"/>
      <c r="BA4" s="519"/>
      <c r="BC4" s="1253" t="s">
        <v>230</v>
      </c>
      <c r="BD4" s="542">
        <v>5903</v>
      </c>
      <c r="BE4" s="500"/>
      <c r="BF4" s="500"/>
      <c r="BG4" s="500"/>
      <c r="BH4" s="500"/>
      <c r="BI4" s="500"/>
      <c r="BJ4" s="500"/>
      <c r="BK4" s="500"/>
      <c r="BL4" s="500"/>
      <c r="BM4" s="500"/>
      <c r="BN4" s="519"/>
      <c r="BP4" s="1253" t="s">
        <v>230</v>
      </c>
      <c r="BQ4" s="542">
        <v>9838</v>
      </c>
      <c r="BR4" s="500"/>
      <c r="BS4" s="500"/>
      <c r="BT4" s="500"/>
      <c r="BU4" s="500"/>
      <c r="BV4" s="500"/>
      <c r="BW4" s="500"/>
      <c r="BX4" s="500"/>
      <c r="BY4" s="500"/>
      <c r="BZ4" s="500"/>
      <c r="CA4" s="519"/>
      <c r="CC4" s="1253" t="s">
        <v>230</v>
      </c>
      <c r="CD4" s="542">
        <v>10493</v>
      </c>
      <c r="CE4" s="500"/>
      <c r="CF4" s="500"/>
      <c r="CG4" s="500"/>
      <c r="CH4" s="500"/>
      <c r="CI4" s="500"/>
      <c r="CJ4" s="500"/>
      <c r="CK4" s="500"/>
      <c r="CL4" s="500"/>
      <c r="CM4" s="500"/>
      <c r="CN4" s="519"/>
      <c r="CP4" s="1253" t="s">
        <v>230</v>
      </c>
      <c r="CQ4" s="512">
        <v>18363</v>
      </c>
      <c r="CR4" s="509"/>
      <c r="CS4" s="509"/>
      <c r="CT4" s="509"/>
      <c r="CU4" s="509"/>
      <c r="CV4" s="509"/>
      <c r="CW4" s="500"/>
      <c r="CX4" s="500"/>
      <c r="CY4" s="500"/>
      <c r="CZ4" s="500"/>
      <c r="DA4" s="519"/>
    </row>
    <row r="5" spans="1:105" s="489" customFormat="1" ht="15" thickBot="1" x14ac:dyDescent="0.4">
      <c r="G5" s="497"/>
      <c r="H5" s="497"/>
      <c r="I5" s="497"/>
      <c r="J5" s="497"/>
      <c r="K5" s="497"/>
      <c r="L5" s="497"/>
      <c r="M5" s="497"/>
      <c r="N5" s="497"/>
      <c r="O5" s="497"/>
      <c r="P5" s="497"/>
      <c r="Q5" s="497"/>
      <c r="AP5" s="1254"/>
      <c r="AQ5" s="541">
        <v>1810</v>
      </c>
      <c r="AR5" s="500"/>
      <c r="AS5" s="500"/>
      <c r="AT5" s="500"/>
      <c r="AU5" s="500"/>
      <c r="AV5" s="500"/>
      <c r="AW5" s="500"/>
      <c r="AX5" s="500"/>
      <c r="AY5" s="500"/>
      <c r="AZ5" s="500"/>
      <c r="BA5" s="519"/>
      <c r="BC5" s="1254"/>
      <c r="BD5" s="541">
        <v>6788</v>
      </c>
      <c r="BE5" s="500"/>
      <c r="BF5" s="500"/>
      <c r="BG5" s="500"/>
      <c r="BH5" s="500"/>
      <c r="BI5" s="500"/>
      <c r="BJ5" s="500"/>
      <c r="BK5" s="500"/>
      <c r="BL5" s="500"/>
      <c r="BM5" s="500"/>
      <c r="BN5" s="519"/>
      <c r="BP5" s="1254"/>
      <c r="BQ5" s="541">
        <v>11313</v>
      </c>
      <c r="BR5" s="500"/>
      <c r="BS5" s="500"/>
      <c r="BT5" s="500"/>
      <c r="BU5" s="500"/>
      <c r="BV5" s="500"/>
      <c r="BW5" s="500"/>
      <c r="BX5" s="500"/>
      <c r="BY5" s="500"/>
      <c r="BZ5" s="500"/>
      <c r="CA5" s="519"/>
      <c r="CC5" s="1254"/>
      <c r="CD5" s="541">
        <v>12067</v>
      </c>
      <c r="CE5" s="500"/>
      <c r="CF5" s="500"/>
      <c r="CG5" s="500"/>
      <c r="CH5" s="500"/>
      <c r="CI5" s="500"/>
      <c r="CJ5" s="500"/>
      <c r="CK5" s="500"/>
      <c r="CL5" s="500"/>
      <c r="CM5" s="500"/>
      <c r="CN5" s="519"/>
      <c r="CP5" s="1254"/>
      <c r="CQ5" s="513">
        <v>21118</v>
      </c>
      <c r="CR5" s="509"/>
      <c r="CS5" s="509"/>
      <c r="CT5" s="509"/>
      <c r="CU5" s="509"/>
      <c r="CV5" s="509"/>
      <c r="CW5" s="500"/>
      <c r="CX5" s="500"/>
      <c r="CY5" s="500"/>
      <c r="CZ5" s="500"/>
      <c r="DA5" s="519"/>
    </row>
    <row r="6" spans="1:105" s="498" customFormat="1" ht="29.5" thickTop="1" x14ac:dyDescent="0.35">
      <c r="H6" s="501" t="s">
        <v>227</v>
      </c>
      <c r="I6" s="502" t="s">
        <v>228</v>
      </c>
      <c r="J6" s="502" t="s">
        <v>227</v>
      </c>
      <c r="K6" s="503" t="s">
        <v>228</v>
      </c>
      <c r="L6" s="501" t="s">
        <v>227</v>
      </c>
      <c r="M6" s="502" t="s">
        <v>228</v>
      </c>
      <c r="N6" s="502" t="s">
        <v>227</v>
      </c>
      <c r="O6" s="503" t="s">
        <v>228</v>
      </c>
      <c r="P6" s="499" t="s">
        <v>227</v>
      </c>
      <c r="Q6" s="499" t="s">
        <v>228</v>
      </c>
      <c r="R6" s="499" t="s">
        <v>227</v>
      </c>
      <c r="S6" s="499" t="s">
        <v>228</v>
      </c>
      <c r="T6" s="499" t="s">
        <v>227</v>
      </c>
      <c r="U6" s="499" t="s">
        <v>228</v>
      </c>
      <c r="V6" s="499" t="s">
        <v>227</v>
      </c>
      <c r="W6" s="499" t="s">
        <v>228</v>
      </c>
      <c r="X6" s="499" t="s">
        <v>227</v>
      </c>
      <c r="Y6" s="499" t="s">
        <v>228</v>
      </c>
      <c r="Z6" s="499" t="s">
        <v>227</v>
      </c>
      <c r="AA6" s="499" t="s">
        <v>228</v>
      </c>
      <c r="AB6" s="499" t="s">
        <v>227</v>
      </c>
      <c r="AC6" s="499" t="s">
        <v>228</v>
      </c>
      <c r="AP6" s="1255" t="s">
        <v>231</v>
      </c>
      <c r="AQ6" s="515">
        <f>AQ2-AQ4</f>
        <v>112</v>
      </c>
      <c r="AR6" s="499"/>
      <c r="AS6" s="499"/>
      <c r="AT6" s="499"/>
      <c r="AU6" s="499"/>
      <c r="AV6" s="499"/>
      <c r="AW6" s="499"/>
      <c r="AX6" s="499"/>
      <c r="AY6" s="499"/>
      <c r="AZ6" s="499"/>
      <c r="BA6" s="520"/>
      <c r="BC6" s="1255" t="s">
        <v>231</v>
      </c>
      <c r="BD6" s="515">
        <f>BD2-BD4</f>
        <v>421</v>
      </c>
      <c r="BE6" s="499"/>
      <c r="BF6" s="499"/>
      <c r="BG6" s="499"/>
      <c r="BH6" s="499"/>
      <c r="BI6" s="499"/>
      <c r="BJ6" s="499"/>
      <c r="BK6" s="499"/>
      <c r="BL6" s="499"/>
      <c r="BM6" s="499"/>
      <c r="BN6" s="520"/>
      <c r="BP6" s="1255" t="s">
        <v>231</v>
      </c>
      <c r="BQ6" s="515">
        <f t="shared" ref="BQ6" si="0">BQ2-BQ4</f>
        <v>702</v>
      </c>
      <c r="BR6" s="499"/>
      <c r="BS6" s="499"/>
      <c r="BT6" s="499"/>
      <c r="BU6" s="499"/>
      <c r="BV6" s="499"/>
      <c r="BW6" s="499"/>
      <c r="BX6" s="499"/>
      <c r="BY6" s="499"/>
      <c r="BZ6" s="499"/>
      <c r="CA6" s="520"/>
      <c r="CC6" s="1255" t="s">
        <v>231</v>
      </c>
      <c r="CD6" s="515">
        <f t="shared" ref="CD6" si="1">CD2-CD4</f>
        <v>749</v>
      </c>
      <c r="CE6" s="499"/>
      <c r="CF6" s="499"/>
      <c r="CG6" s="499"/>
      <c r="CH6" s="499"/>
      <c r="CI6" s="499"/>
      <c r="CJ6" s="499"/>
      <c r="CK6" s="499"/>
      <c r="CL6" s="499"/>
      <c r="CM6" s="499"/>
      <c r="CN6" s="520"/>
      <c r="CP6" s="1255" t="s">
        <v>231</v>
      </c>
      <c r="CQ6" s="515">
        <f t="shared" ref="CQ6" si="2">CQ2-CQ4</f>
        <v>1309</v>
      </c>
      <c r="CR6" s="510"/>
      <c r="CS6" s="510"/>
      <c r="CT6" s="510"/>
      <c r="CU6" s="510"/>
      <c r="CV6" s="510"/>
      <c r="CW6" s="499"/>
      <c r="CX6" s="499"/>
      <c r="CY6" s="499"/>
      <c r="CZ6" s="499"/>
      <c r="DA6" s="520"/>
    </row>
    <row r="7" spans="1:105" s="489" customFormat="1" ht="15" thickBot="1" x14ac:dyDescent="0.4">
      <c r="G7" s="497" t="s">
        <v>185</v>
      </c>
      <c r="H7" s="504">
        <v>1574</v>
      </c>
      <c r="I7" s="433">
        <v>1686</v>
      </c>
      <c r="J7" s="416">
        <v>787</v>
      </c>
      <c r="K7" s="505">
        <v>843</v>
      </c>
      <c r="L7" s="504">
        <v>5903</v>
      </c>
      <c r="M7" s="433">
        <v>6324</v>
      </c>
      <c r="N7" s="416">
        <v>2951.5</v>
      </c>
      <c r="O7" s="505">
        <v>3162</v>
      </c>
      <c r="P7" s="416">
        <v>9838</v>
      </c>
      <c r="Q7" s="433">
        <v>10540</v>
      </c>
      <c r="R7" s="416">
        <v>4919</v>
      </c>
      <c r="S7" s="433">
        <v>5270</v>
      </c>
      <c r="T7" s="416">
        <v>10493</v>
      </c>
      <c r="U7" s="433">
        <v>11242</v>
      </c>
      <c r="V7" s="416">
        <v>5246.5</v>
      </c>
      <c r="W7" s="433">
        <v>5621</v>
      </c>
      <c r="X7" s="416">
        <v>18363</v>
      </c>
      <c r="Y7" s="433">
        <v>19672</v>
      </c>
      <c r="Z7" s="416">
        <v>9181.5</v>
      </c>
      <c r="AA7" s="433">
        <v>9837</v>
      </c>
      <c r="AB7" s="500"/>
      <c r="AC7" s="500"/>
      <c r="AP7" s="1256"/>
      <c r="AQ7" s="543">
        <f>AQ3-AQ5</f>
        <v>129</v>
      </c>
      <c r="AR7" s="500"/>
      <c r="AS7" s="500"/>
      <c r="AT7" s="500"/>
      <c r="AU7" s="500"/>
      <c r="AV7" s="500"/>
      <c r="AW7" s="500"/>
      <c r="AX7" s="500"/>
      <c r="AY7" s="500"/>
      <c r="AZ7" s="500"/>
      <c r="BA7" s="519"/>
      <c r="BC7" s="1256"/>
      <c r="BD7" s="543">
        <f>BD3-BD5</f>
        <v>485</v>
      </c>
      <c r="BE7" s="500"/>
      <c r="BF7" s="500"/>
      <c r="BG7" s="500"/>
      <c r="BH7" s="500"/>
      <c r="BI7" s="500"/>
      <c r="BJ7" s="500"/>
      <c r="BK7" s="500"/>
      <c r="BL7" s="500"/>
      <c r="BM7" s="500"/>
      <c r="BN7" s="519"/>
      <c r="BP7" s="1256"/>
      <c r="BQ7" s="543">
        <f t="shared" ref="BQ7" si="3">BQ3-BQ5</f>
        <v>808</v>
      </c>
      <c r="BR7" s="500"/>
      <c r="BS7" s="500"/>
      <c r="BT7" s="500"/>
      <c r="BU7" s="500"/>
      <c r="BV7" s="500"/>
      <c r="BW7" s="500"/>
      <c r="BX7" s="500"/>
      <c r="BY7" s="500"/>
      <c r="BZ7" s="500"/>
      <c r="CA7" s="519"/>
      <c r="CC7" s="1256"/>
      <c r="CD7" s="543">
        <f t="shared" ref="CD7" si="4">CD3-CD5</f>
        <v>861</v>
      </c>
      <c r="CE7" s="500"/>
      <c r="CF7" s="500"/>
      <c r="CG7" s="500"/>
      <c r="CH7" s="500"/>
      <c r="CI7" s="500"/>
      <c r="CJ7" s="500"/>
      <c r="CK7" s="500"/>
      <c r="CL7" s="500"/>
      <c r="CM7" s="500"/>
      <c r="CN7" s="519"/>
      <c r="CP7" s="1256"/>
      <c r="CQ7" s="516">
        <f t="shared" ref="CQ7" si="5">CQ3-CQ5</f>
        <v>1505</v>
      </c>
      <c r="CR7" s="500"/>
      <c r="CS7" s="500"/>
      <c r="CT7" s="500"/>
      <c r="CU7" s="500"/>
      <c r="CV7" s="500"/>
      <c r="CW7" s="500"/>
      <c r="CX7" s="500"/>
      <c r="CY7" s="500"/>
      <c r="CZ7" s="500"/>
      <c r="DA7" s="519"/>
    </row>
    <row r="8" spans="1:105" s="489" customFormat="1" ht="15" thickBot="1" x14ac:dyDescent="0.4">
      <c r="G8" s="497" t="s">
        <v>7</v>
      </c>
      <c r="H8" s="506">
        <v>1810</v>
      </c>
      <c r="I8" s="507">
        <v>1939</v>
      </c>
      <c r="J8" s="507">
        <v>905</v>
      </c>
      <c r="K8" s="508">
        <v>969.5</v>
      </c>
      <c r="L8" s="506">
        <v>6788</v>
      </c>
      <c r="M8" s="507">
        <v>7273</v>
      </c>
      <c r="N8" s="507">
        <v>3394</v>
      </c>
      <c r="O8" s="508">
        <v>3636.5</v>
      </c>
      <c r="P8" s="438">
        <v>11313</v>
      </c>
      <c r="Q8" s="438">
        <v>12121</v>
      </c>
      <c r="R8" s="438">
        <v>5656.5</v>
      </c>
      <c r="S8" s="438">
        <v>6060.5</v>
      </c>
      <c r="T8" s="438">
        <v>12067</v>
      </c>
      <c r="U8" s="438">
        <v>12928</v>
      </c>
      <c r="V8" s="438">
        <v>6033.5</v>
      </c>
      <c r="W8" s="438">
        <v>6464</v>
      </c>
      <c r="X8" s="438">
        <v>21118</v>
      </c>
      <c r="Y8" s="438">
        <v>22623</v>
      </c>
      <c r="Z8" s="438">
        <v>10559</v>
      </c>
      <c r="AA8" s="438">
        <v>11312.5</v>
      </c>
      <c r="AB8" s="438">
        <v>31700</v>
      </c>
      <c r="AC8" s="438">
        <v>33963</v>
      </c>
      <c r="AP8" s="521"/>
      <c r="AQ8" s="500"/>
      <c r="AR8" s="500"/>
      <c r="AS8" s="500"/>
      <c r="AT8" s="500"/>
      <c r="AU8" s="500"/>
      <c r="AV8" s="500"/>
      <c r="AW8" s="500"/>
      <c r="AX8" s="500"/>
      <c r="AY8" s="500"/>
      <c r="AZ8" s="500"/>
      <c r="BA8" s="519"/>
      <c r="BC8" s="521"/>
      <c r="BD8" s="500"/>
      <c r="BE8" s="500"/>
      <c r="BF8" s="500"/>
      <c r="BG8" s="500"/>
      <c r="BH8" s="500"/>
      <c r="BI8" s="500"/>
      <c r="BJ8" s="500"/>
      <c r="BK8" s="500"/>
      <c r="BL8" s="500"/>
      <c r="BM8" s="500"/>
      <c r="BN8" s="519"/>
      <c r="BP8" s="521"/>
      <c r="BQ8" s="500"/>
      <c r="BR8" s="500"/>
      <c r="BS8" s="500"/>
      <c r="BT8" s="500"/>
      <c r="BU8" s="500"/>
      <c r="BV8" s="500"/>
      <c r="BW8" s="500"/>
      <c r="BX8" s="500"/>
      <c r="BY8" s="500"/>
      <c r="BZ8" s="500"/>
      <c r="CA8" s="519"/>
      <c r="CC8" s="521"/>
      <c r="CD8" s="500"/>
      <c r="CE8" s="500"/>
      <c r="CF8" s="500"/>
      <c r="CG8" s="500"/>
      <c r="CH8" s="500"/>
      <c r="CI8" s="500"/>
      <c r="CJ8" s="500"/>
      <c r="CK8" s="500"/>
      <c r="CL8" s="500"/>
      <c r="CM8" s="500"/>
      <c r="CN8" s="519"/>
      <c r="CP8" s="521"/>
      <c r="CQ8" s="500"/>
      <c r="CR8" s="500"/>
      <c r="CS8" s="500"/>
      <c r="CT8" s="500"/>
      <c r="CU8" s="500"/>
      <c r="CV8" s="500"/>
      <c r="CW8" s="500"/>
      <c r="CX8" s="500"/>
      <c r="CY8" s="500"/>
      <c r="CZ8" s="500"/>
      <c r="DA8" s="519"/>
    </row>
    <row r="9" spans="1:105" ht="15.5" thickTop="1" thickBot="1" x14ac:dyDescent="0.4">
      <c r="AP9" s="393"/>
      <c r="AQ9" s="356"/>
      <c r="AR9" s="356"/>
      <c r="AS9" s="356"/>
      <c r="AT9" s="356"/>
      <c r="AU9" s="356"/>
      <c r="AV9" s="356"/>
      <c r="AW9" s="356"/>
      <c r="AX9" s="356"/>
      <c r="AY9" s="356"/>
      <c r="AZ9" s="356"/>
      <c r="BA9" s="407"/>
      <c r="BC9" s="393"/>
      <c r="BD9" s="356"/>
      <c r="BE9" s="356"/>
      <c r="BF9" s="356"/>
      <c r="BG9" s="356"/>
      <c r="BH9" s="356"/>
      <c r="BI9" s="356"/>
      <c r="BJ9" s="356"/>
      <c r="BK9" s="356"/>
      <c r="BL9" s="356"/>
      <c r="BM9" s="356"/>
      <c r="BN9" s="407"/>
      <c r="BP9" s="393"/>
      <c r="BQ9" s="356"/>
      <c r="BR9" s="356"/>
      <c r="BS9" s="356"/>
      <c r="BT9" s="356"/>
      <c r="BU9" s="356"/>
      <c r="BV9" s="356"/>
      <c r="BW9" s="356"/>
      <c r="BX9" s="356"/>
      <c r="BY9" s="356"/>
      <c r="BZ9" s="356"/>
      <c r="CA9" s="407"/>
      <c r="CC9" s="393"/>
      <c r="CD9" s="356"/>
      <c r="CE9" s="356"/>
      <c r="CF9" s="356"/>
      <c r="CG9" s="356"/>
      <c r="CH9" s="356"/>
      <c r="CI9" s="356"/>
      <c r="CJ9" s="356"/>
      <c r="CK9" s="356"/>
      <c r="CL9" s="356"/>
      <c r="CM9" s="356"/>
      <c r="CN9" s="407"/>
      <c r="CP9" s="393"/>
      <c r="CQ9" s="356"/>
      <c r="CR9" s="356"/>
      <c r="CS9" s="356"/>
      <c r="CT9" s="356"/>
      <c r="CU9" s="356"/>
      <c r="CV9" s="356"/>
      <c r="CW9" s="356"/>
      <c r="CX9" s="356"/>
      <c r="CY9" s="356"/>
      <c r="CZ9" s="356"/>
      <c r="DA9" s="407"/>
    </row>
    <row r="10" spans="1:105" ht="15.75" customHeight="1" thickTop="1" thickBot="1" x14ac:dyDescent="0.4">
      <c r="F10" s="490"/>
      <c r="G10" s="491"/>
      <c r="H10" s="1262" t="s">
        <v>118</v>
      </c>
      <c r="I10" s="1263"/>
      <c r="J10" s="1263"/>
      <c r="K10" s="1264"/>
      <c r="L10" s="1265" t="s">
        <v>181</v>
      </c>
      <c r="M10" s="1266"/>
      <c r="N10" s="1266"/>
      <c r="O10" s="1267"/>
      <c r="P10" s="1265" t="s">
        <v>182</v>
      </c>
      <c r="Q10" s="1266"/>
      <c r="R10" s="1266"/>
      <c r="S10" s="1267"/>
      <c r="T10" s="1265" t="s">
        <v>121</v>
      </c>
      <c r="U10" s="1266"/>
      <c r="V10" s="1266"/>
      <c r="W10" s="1267"/>
      <c r="X10" s="1262" t="s">
        <v>122</v>
      </c>
      <c r="Y10" s="1263"/>
      <c r="Z10" s="1263"/>
      <c r="AA10" s="1264"/>
      <c r="AB10" s="1262" t="s">
        <v>8</v>
      </c>
      <c r="AC10" s="1263"/>
      <c r="AD10" s="1270" t="s">
        <v>224</v>
      </c>
      <c r="AE10" s="1271"/>
      <c r="AF10" s="1271"/>
      <c r="AG10" s="1271"/>
      <c r="AH10" s="1271"/>
      <c r="AI10" s="1271"/>
      <c r="AJ10" s="1271"/>
      <c r="AK10" s="1271"/>
      <c r="AL10" s="1271"/>
      <c r="AM10" s="1271"/>
      <c r="AN10" s="1272"/>
      <c r="AP10" s="1259" t="s">
        <v>241</v>
      </c>
      <c r="AQ10" s="1260"/>
      <c r="AR10" s="1260"/>
      <c r="AS10" s="1260"/>
      <c r="AT10" s="1260"/>
      <c r="AU10" s="1260"/>
      <c r="AV10" s="1260"/>
      <c r="AW10" s="1260"/>
      <c r="AX10" s="1260"/>
      <c r="AY10" s="1260"/>
      <c r="AZ10" s="1260"/>
      <c r="BA10" s="1261"/>
      <c r="BC10" s="1259" t="s">
        <v>253</v>
      </c>
      <c r="BD10" s="1260"/>
      <c r="BE10" s="1260"/>
      <c r="BF10" s="1260"/>
      <c r="BG10" s="1260"/>
      <c r="BH10" s="1260"/>
      <c r="BI10" s="1260"/>
      <c r="BJ10" s="1260"/>
      <c r="BK10" s="1260"/>
      <c r="BL10" s="1260"/>
      <c r="BM10" s="1260"/>
      <c r="BN10" s="1261"/>
      <c r="BP10" s="1259" t="s">
        <v>255</v>
      </c>
      <c r="BQ10" s="1260"/>
      <c r="BR10" s="1260"/>
      <c r="BS10" s="1260"/>
      <c r="BT10" s="1260"/>
      <c r="BU10" s="1260"/>
      <c r="BV10" s="1260"/>
      <c r="BW10" s="1260"/>
      <c r="BX10" s="1260"/>
      <c r="BY10" s="1260"/>
      <c r="BZ10" s="1260"/>
      <c r="CA10" s="1261"/>
      <c r="CC10" s="1259" t="s">
        <v>254</v>
      </c>
      <c r="CD10" s="1260"/>
      <c r="CE10" s="1260"/>
      <c r="CF10" s="1260"/>
      <c r="CG10" s="1260"/>
      <c r="CH10" s="1260"/>
      <c r="CI10" s="1260"/>
      <c r="CJ10" s="1260"/>
      <c r="CK10" s="1260"/>
      <c r="CL10" s="1260"/>
      <c r="CM10" s="1260"/>
      <c r="CN10" s="1261"/>
      <c r="CP10" s="1259" t="s">
        <v>256</v>
      </c>
      <c r="CQ10" s="1260"/>
      <c r="CR10" s="1260"/>
      <c r="CS10" s="1260"/>
      <c r="CT10" s="1260"/>
      <c r="CU10" s="1260"/>
      <c r="CV10" s="1260"/>
      <c r="CW10" s="1260"/>
      <c r="CX10" s="1260"/>
      <c r="CY10" s="1260"/>
      <c r="CZ10" s="1260"/>
      <c r="DA10" s="1261"/>
    </row>
    <row r="11" spans="1:105" s="536" customFormat="1" ht="90.75" customHeight="1" thickBot="1" x14ac:dyDescent="0.35">
      <c r="F11" s="537" t="s">
        <v>225</v>
      </c>
      <c r="G11" s="538" t="s">
        <v>226</v>
      </c>
      <c r="H11" s="524" t="s">
        <v>220</v>
      </c>
      <c r="I11" s="525" t="s">
        <v>221</v>
      </c>
      <c r="J11" s="526" t="s">
        <v>222</v>
      </c>
      <c r="K11" s="527" t="s">
        <v>223</v>
      </c>
      <c r="L11" s="524" t="s">
        <v>220</v>
      </c>
      <c r="M11" s="525" t="s">
        <v>221</v>
      </c>
      <c r="N11" s="526" t="s">
        <v>222</v>
      </c>
      <c r="O11" s="527" t="s">
        <v>223</v>
      </c>
      <c r="P11" s="524" t="s">
        <v>220</v>
      </c>
      <c r="Q11" s="525" t="s">
        <v>221</v>
      </c>
      <c r="R11" s="526" t="s">
        <v>222</v>
      </c>
      <c r="S11" s="527" t="s">
        <v>223</v>
      </c>
      <c r="T11" s="524" t="s">
        <v>220</v>
      </c>
      <c r="U11" s="525" t="s">
        <v>221</v>
      </c>
      <c r="V11" s="526" t="s">
        <v>222</v>
      </c>
      <c r="W11" s="527" t="s">
        <v>223</v>
      </c>
      <c r="X11" s="524" t="s">
        <v>220</v>
      </c>
      <c r="Y11" s="525" t="s">
        <v>221</v>
      </c>
      <c r="Z11" s="526" t="s">
        <v>222</v>
      </c>
      <c r="AA11" s="527" t="s">
        <v>223</v>
      </c>
      <c r="AB11" s="524" t="s">
        <v>220</v>
      </c>
      <c r="AC11" s="528" t="s">
        <v>221</v>
      </c>
      <c r="AD11" s="1268" t="s">
        <v>118</v>
      </c>
      <c r="AE11" s="1269"/>
      <c r="AF11" s="1268" t="s">
        <v>119</v>
      </c>
      <c r="AG11" s="1269"/>
      <c r="AH11" s="1268" t="s">
        <v>120</v>
      </c>
      <c r="AI11" s="1269"/>
      <c r="AJ11" s="1268" t="s">
        <v>121</v>
      </c>
      <c r="AK11" s="1269"/>
      <c r="AL11" s="1268" t="s">
        <v>122</v>
      </c>
      <c r="AM11" s="1269"/>
      <c r="AN11" s="539" t="s">
        <v>8</v>
      </c>
      <c r="AP11" s="601" t="s">
        <v>236</v>
      </c>
      <c r="AQ11" s="602" t="s">
        <v>237</v>
      </c>
      <c r="AR11" s="603" t="s">
        <v>235</v>
      </c>
      <c r="AS11" s="604" t="s">
        <v>263</v>
      </c>
      <c r="AT11" s="604" t="s">
        <v>238</v>
      </c>
      <c r="AU11" s="604" t="s">
        <v>239</v>
      </c>
      <c r="AV11" s="604" t="s">
        <v>240</v>
      </c>
      <c r="AW11" s="604" t="s">
        <v>232</v>
      </c>
      <c r="AX11" s="604" t="s">
        <v>233</v>
      </c>
      <c r="AY11" s="612" t="s">
        <v>234</v>
      </c>
      <c r="AZ11" s="1257" t="s">
        <v>252</v>
      </c>
      <c r="BA11" s="1258"/>
      <c r="BC11" s="620" t="s">
        <v>236</v>
      </c>
      <c r="BD11" s="621" t="s">
        <v>237</v>
      </c>
      <c r="BE11" s="622" t="s">
        <v>235</v>
      </c>
      <c r="BF11" s="623" t="s">
        <v>263</v>
      </c>
      <c r="BG11" s="623" t="s">
        <v>238</v>
      </c>
      <c r="BH11" s="623" t="s">
        <v>239</v>
      </c>
      <c r="BI11" s="623" t="s">
        <v>240</v>
      </c>
      <c r="BJ11" s="623" t="s">
        <v>232</v>
      </c>
      <c r="BK11" s="623" t="s">
        <v>233</v>
      </c>
      <c r="BL11" s="624" t="s">
        <v>234</v>
      </c>
      <c r="BM11" s="1257" t="s">
        <v>252</v>
      </c>
      <c r="BN11" s="1258"/>
      <c r="BP11" s="620" t="s">
        <v>236</v>
      </c>
      <c r="BQ11" s="621" t="s">
        <v>237</v>
      </c>
      <c r="BR11" s="622" t="s">
        <v>235</v>
      </c>
      <c r="BS11" s="623" t="s">
        <v>263</v>
      </c>
      <c r="BT11" s="623" t="s">
        <v>238</v>
      </c>
      <c r="BU11" s="623" t="s">
        <v>239</v>
      </c>
      <c r="BV11" s="623" t="s">
        <v>240</v>
      </c>
      <c r="BW11" s="623" t="s">
        <v>232</v>
      </c>
      <c r="BX11" s="623" t="s">
        <v>233</v>
      </c>
      <c r="BY11" s="624" t="s">
        <v>234</v>
      </c>
      <c r="BZ11" s="1257" t="s">
        <v>252</v>
      </c>
      <c r="CA11" s="1258"/>
      <c r="CC11" s="620" t="s">
        <v>236</v>
      </c>
      <c r="CD11" s="621" t="s">
        <v>237</v>
      </c>
      <c r="CE11" s="622" t="s">
        <v>235</v>
      </c>
      <c r="CF11" s="623" t="s">
        <v>263</v>
      </c>
      <c r="CG11" s="623" t="s">
        <v>238</v>
      </c>
      <c r="CH11" s="623" t="s">
        <v>239</v>
      </c>
      <c r="CI11" s="623" t="s">
        <v>240</v>
      </c>
      <c r="CJ11" s="623" t="s">
        <v>232</v>
      </c>
      <c r="CK11" s="623" t="s">
        <v>233</v>
      </c>
      <c r="CL11" s="624" t="s">
        <v>234</v>
      </c>
      <c r="CM11" s="1257" t="s">
        <v>252</v>
      </c>
      <c r="CN11" s="1258"/>
      <c r="CP11" s="620" t="s">
        <v>236</v>
      </c>
      <c r="CQ11" s="621" t="s">
        <v>237</v>
      </c>
      <c r="CR11" s="622" t="s">
        <v>235</v>
      </c>
      <c r="CS11" s="623" t="s">
        <v>263</v>
      </c>
      <c r="CT11" s="623" t="s">
        <v>238</v>
      </c>
      <c r="CU11" s="623" t="s">
        <v>239</v>
      </c>
      <c r="CV11" s="623" t="s">
        <v>240</v>
      </c>
      <c r="CW11" s="623" t="s">
        <v>232</v>
      </c>
      <c r="CX11" s="623" t="s">
        <v>233</v>
      </c>
      <c r="CY11" s="624" t="s">
        <v>234</v>
      </c>
      <c r="CZ11" s="1257" t="s">
        <v>252</v>
      </c>
      <c r="DA11" s="1258"/>
    </row>
    <row r="12" spans="1:105" s="98" customFormat="1" ht="36.75" customHeight="1" x14ac:dyDescent="0.35">
      <c r="F12" s="575"/>
      <c r="G12" s="576"/>
      <c r="H12" s="577"/>
      <c r="I12" s="578"/>
      <c r="J12" s="579"/>
      <c r="K12" s="580"/>
      <c r="L12" s="577"/>
      <c r="M12" s="578"/>
      <c r="N12" s="579"/>
      <c r="O12" s="580"/>
      <c r="P12" s="577"/>
      <c r="Q12" s="578"/>
      <c r="R12" s="579"/>
      <c r="S12" s="580"/>
      <c r="T12" s="577"/>
      <c r="U12" s="578"/>
      <c r="V12" s="579"/>
      <c r="W12" s="580"/>
      <c r="X12" s="577"/>
      <c r="Y12" s="578"/>
      <c r="Z12" s="579"/>
      <c r="AA12" s="580"/>
      <c r="AB12" s="577"/>
      <c r="AC12" s="581"/>
      <c r="AD12" s="582"/>
      <c r="AE12" s="583"/>
      <c r="AF12" s="582"/>
      <c r="AG12" s="583"/>
      <c r="AH12" s="582"/>
      <c r="AI12" s="583"/>
      <c r="AJ12" s="582"/>
      <c r="AK12" s="583"/>
      <c r="AL12" s="582"/>
      <c r="AM12" s="583"/>
      <c r="AN12" s="584"/>
      <c r="AO12" s="394"/>
      <c r="AP12" s="605"/>
      <c r="AQ12" s="606"/>
      <c r="AR12" s="607" t="s">
        <v>245</v>
      </c>
      <c r="AS12" s="608"/>
      <c r="AT12" s="609" t="s">
        <v>262</v>
      </c>
      <c r="AU12" s="610"/>
      <c r="AV12" s="609" t="s">
        <v>248</v>
      </c>
      <c r="AW12" s="609" t="s">
        <v>249</v>
      </c>
      <c r="AX12" s="609" t="s">
        <v>250</v>
      </c>
      <c r="AY12" s="611" t="s">
        <v>251</v>
      </c>
      <c r="AZ12" s="637"/>
      <c r="BA12" s="638"/>
      <c r="BB12" s="639"/>
      <c r="BC12" s="640"/>
      <c r="BD12" s="641"/>
      <c r="BE12" s="642" t="s">
        <v>245</v>
      </c>
      <c r="BF12" s="643"/>
      <c r="BG12" s="644" t="s">
        <v>262</v>
      </c>
      <c r="BH12" s="645"/>
      <c r="BI12" s="644" t="s">
        <v>248</v>
      </c>
      <c r="BJ12" s="644" t="s">
        <v>249</v>
      </c>
      <c r="BK12" s="644" t="s">
        <v>250</v>
      </c>
      <c r="BL12" s="646" t="s">
        <v>251</v>
      </c>
      <c r="BM12" s="630"/>
      <c r="BN12" s="522"/>
      <c r="BO12" s="395"/>
      <c r="BP12" s="640"/>
      <c r="BQ12" s="641"/>
      <c r="BR12" s="642" t="s">
        <v>245</v>
      </c>
      <c r="BS12" s="643"/>
      <c r="BT12" s="644" t="s">
        <v>262</v>
      </c>
      <c r="BU12" s="645"/>
      <c r="BV12" s="644" t="s">
        <v>248</v>
      </c>
      <c r="BW12" s="644" t="s">
        <v>249</v>
      </c>
      <c r="BX12" s="644" t="s">
        <v>250</v>
      </c>
      <c r="BY12" s="646" t="s">
        <v>251</v>
      </c>
      <c r="BZ12" s="630"/>
      <c r="CA12" s="522"/>
      <c r="CB12" s="395"/>
      <c r="CC12" s="640"/>
      <c r="CD12" s="641"/>
      <c r="CE12" s="642" t="s">
        <v>245</v>
      </c>
      <c r="CF12" s="643"/>
      <c r="CG12" s="644" t="s">
        <v>262</v>
      </c>
      <c r="CH12" s="645"/>
      <c r="CI12" s="644" t="s">
        <v>248</v>
      </c>
      <c r="CJ12" s="644" t="s">
        <v>249</v>
      </c>
      <c r="CK12" s="644" t="s">
        <v>250</v>
      </c>
      <c r="CL12" s="646" t="s">
        <v>251</v>
      </c>
      <c r="CM12" s="637"/>
      <c r="CN12" s="638"/>
      <c r="CP12" s="640"/>
      <c r="CQ12" s="641"/>
      <c r="CR12" s="642" t="s">
        <v>245</v>
      </c>
      <c r="CS12" s="643"/>
      <c r="CT12" s="644" t="s">
        <v>262</v>
      </c>
      <c r="CU12" s="645"/>
      <c r="CV12" s="644" t="s">
        <v>248</v>
      </c>
      <c r="CW12" s="644" t="s">
        <v>249</v>
      </c>
      <c r="CX12" s="644" t="s">
        <v>250</v>
      </c>
      <c r="CY12" s="646" t="s">
        <v>251</v>
      </c>
      <c r="CZ12" s="617"/>
      <c r="DA12" s="544"/>
    </row>
    <row r="13" spans="1:105" x14ac:dyDescent="0.35">
      <c r="F13" s="585"/>
      <c r="G13" s="586"/>
      <c r="H13" s="587"/>
      <c r="I13" s="588"/>
      <c r="J13" s="589"/>
      <c r="K13" s="590"/>
      <c r="L13" s="587"/>
      <c r="M13" s="588"/>
      <c r="N13" s="589"/>
      <c r="O13" s="590"/>
      <c r="P13" s="587"/>
      <c r="Q13" s="588"/>
      <c r="R13" s="589"/>
      <c r="S13" s="590"/>
      <c r="T13" s="587"/>
      <c r="U13" s="588"/>
      <c r="V13" s="589"/>
      <c r="W13" s="590"/>
      <c r="X13" s="587"/>
      <c r="Y13" s="588"/>
      <c r="Z13" s="589"/>
      <c r="AA13" s="590"/>
      <c r="AB13" s="591"/>
      <c r="AC13" s="592"/>
      <c r="AD13" s="398"/>
      <c r="AE13" s="593"/>
      <c r="AF13" s="398"/>
      <c r="AG13" s="593"/>
      <c r="AH13" s="398"/>
      <c r="AI13" s="593"/>
      <c r="AJ13" s="398"/>
      <c r="AK13" s="593"/>
      <c r="AL13" s="398"/>
      <c r="AM13" s="593"/>
      <c r="AN13" s="594"/>
      <c r="AO13" s="533"/>
      <c r="AP13" s="595" t="s">
        <v>32</v>
      </c>
      <c r="AQ13" s="596" t="s">
        <v>33</v>
      </c>
      <c r="AR13" s="596" t="s">
        <v>34</v>
      </c>
      <c r="AS13" s="597" t="s">
        <v>35</v>
      </c>
      <c r="AT13" s="597" t="s">
        <v>36</v>
      </c>
      <c r="AU13" s="597" t="s">
        <v>242</v>
      </c>
      <c r="AV13" s="597" t="s">
        <v>243</v>
      </c>
      <c r="AW13" s="597" t="s">
        <v>244</v>
      </c>
      <c r="AX13" s="597" t="s">
        <v>246</v>
      </c>
      <c r="AY13" s="613" t="s">
        <v>247</v>
      </c>
      <c r="AZ13" s="631"/>
      <c r="BA13" s="632"/>
      <c r="BB13" s="533"/>
      <c r="BC13" s="595" t="s">
        <v>32</v>
      </c>
      <c r="BD13" s="596" t="s">
        <v>33</v>
      </c>
      <c r="BE13" s="596" t="s">
        <v>34</v>
      </c>
      <c r="BF13" s="597" t="s">
        <v>35</v>
      </c>
      <c r="BG13" s="597" t="s">
        <v>36</v>
      </c>
      <c r="BH13" s="597" t="s">
        <v>242</v>
      </c>
      <c r="BI13" s="597" t="s">
        <v>243</v>
      </c>
      <c r="BJ13" s="597" t="s">
        <v>244</v>
      </c>
      <c r="BK13" s="597" t="s">
        <v>246</v>
      </c>
      <c r="BL13" s="647" t="s">
        <v>247</v>
      </c>
      <c r="BM13" s="631"/>
      <c r="BN13" s="632"/>
      <c r="BO13" s="633"/>
      <c r="BP13" s="595" t="s">
        <v>32</v>
      </c>
      <c r="BQ13" s="596" t="s">
        <v>33</v>
      </c>
      <c r="BR13" s="596" t="s">
        <v>34</v>
      </c>
      <c r="BS13" s="597" t="s">
        <v>35</v>
      </c>
      <c r="BT13" s="597" t="s">
        <v>36</v>
      </c>
      <c r="BU13" s="597" t="s">
        <v>242</v>
      </c>
      <c r="BV13" s="597" t="s">
        <v>243</v>
      </c>
      <c r="BW13" s="597" t="s">
        <v>244</v>
      </c>
      <c r="BX13" s="597" t="s">
        <v>246</v>
      </c>
      <c r="BY13" s="647" t="s">
        <v>247</v>
      </c>
      <c r="BZ13" s="631"/>
      <c r="CA13" s="632"/>
      <c r="CB13" s="633"/>
      <c r="CC13" s="595" t="s">
        <v>32</v>
      </c>
      <c r="CD13" s="596" t="s">
        <v>33</v>
      </c>
      <c r="CE13" s="596" t="s">
        <v>34</v>
      </c>
      <c r="CF13" s="597" t="s">
        <v>35</v>
      </c>
      <c r="CG13" s="597" t="s">
        <v>36</v>
      </c>
      <c r="CH13" s="597" t="s">
        <v>242</v>
      </c>
      <c r="CI13" s="597" t="s">
        <v>243</v>
      </c>
      <c r="CJ13" s="597" t="s">
        <v>244</v>
      </c>
      <c r="CK13" s="597" t="s">
        <v>246</v>
      </c>
      <c r="CL13" s="647" t="s">
        <v>247</v>
      </c>
      <c r="CM13" s="631"/>
      <c r="CN13" s="632"/>
      <c r="CP13" s="595" t="s">
        <v>32</v>
      </c>
      <c r="CQ13" s="596" t="s">
        <v>33</v>
      </c>
      <c r="CR13" s="596" t="s">
        <v>34</v>
      </c>
      <c r="CS13" s="597" t="s">
        <v>35</v>
      </c>
      <c r="CT13" s="597" t="s">
        <v>36</v>
      </c>
      <c r="CU13" s="597" t="s">
        <v>242</v>
      </c>
      <c r="CV13" s="597" t="s">
        <v>243</v>
      </c>
      <c r="CW13" s="597" t="s">
        <v>244</v>
      </c>
      <c r="CX13" s="597" t="s">
        <v>246</v>
      </c>
      <c r="CY13" s="647" t="s">
        <v>247</v>
      </c>
      <c r="CZ13" s="627"/>
      <c r="DA13" s="545"/>
    </row>
    <row r="14" spans="1:105" ht="21" x14ac:dyDescent="0.35">
      <c r="A14" s="77">
        <v>125</v>
      </c>
      <c r="B14" s="77">
        <v>7019</v>
      </c>
      <c r="C14" s="72"/>
      <c r="D14" s="72"/>
      <c r="E14" s="475" t="s">
        <v>12</v>
      </c>
      <c r="F14" s="492">
        <f>'14-15 Budget working'!AA9</f>
        <v>1.1295999999999999</v>
      </c>
      <c r="G14" s="494">
        <f>'14-15 Budget working'!BF9</f>
        <v>1.0168999999999999</v>
      </c>
      <c r="H14" s="479">
        <f>Sheet5!V12</f>
        <v>84.996188055908519</v>
      </c>
      <c r="I14" s="485">
        <f>Sheet5!BB12</f>
        <v>44</v>
      </c>
      <c r="J14" s="478">
        <f>Sheet5!W12</f>
        <v>0</v>
      </c>
      <c r="K14" s="480">
        <f>Sheet5!BC12</f>
        <v>0</v>
      </c>
      <c r="L14" s="479">
        <f>Sheet5!X12</f>
        <v>36.960528544807723</v>
      </c>
      <c r="M14" s="485">
        <f>Sheet5!BD12</f>
        <v>81</v>
      </c>
      <c r="N14" s="478">
        <f>Sheet5!Y12</f>
        <v>0</v>
      </c>
      <c r="O14" s="480">
        <f>Sheet5!BE12</f>
        <v>0</v>
      </c>
      <c r="P14" s="479">
        <f>Sheet5!Z12</f>
        <v>22.177068509859726</v>
      </c>
      <c r="Q14" s="485">
        <f>Sheet5!BF12</f>
        <v>0</v>
      </c>
      <c r="R14" s="478">
        <f>Sheet5!AA12</f>
        <v>0</v>
      </c>
      <c r="S14" s="480">
        <f>Sheet5!BG12</f>
        <v>0</v>
      </c>
      <c r="T14" s="479">
        <f>Sheet5!AB12</f>
        <v>7.3925474125607549</v>
      </c>
      <c r="U14" s="485">
        <f>Sheet5!BH12</f>
        <v>51</v>
      </c>
      <c r="V14" s="478">
        <f>Sheet5!AC12</f>
        <v>0</v>
      </c>
      <c r="W14" s="480">
        <f>Sheet5!BI12</f>
        <v>0</v>
      </c>
      <c r="X14" s="479">
        <f>Sheet5!AD12</f>
        <v>1.2320971518815009</v>
      </c>
      <c r="Y14" s="485">
        <f>Sheet5!BJ12</f>
        <v>5</v>
      </c>
      <c r="Z14" s="478">
        <f>Sheet5!AE12</f>
        <v>0</v>
      </c>
      <c r="AA14" s="480">
        <f>Sheet5!BK12</f>
        <v>0</v>
      </c>
      <c r="AB14" s="479">
        <f>Sheet5!AF12</f>
        <v>0</v>
      </c>
      <c r="AC14" s="529">
        <f>Sheet5!BL12</f>
        <v>0</v>
      </c>
      <c r="AD14" s="531">
        <f>I14-H14</f>
        <v>-40.996188055908519</v>
      </c>
      <c r="AE14" s="532">
        <f t="shared" ref="AE14:AE25" si="6">AD14/H14</f>
        <v>-0.48232972552771636</v>
      </c>
      <c r="AF14" s="531">
        <f>M14-L14</f>
        <v>44.039471455192277</v>
      </c>
      <c r="AG14" s="532">
        <f t="shared" ref="AG14:AG25" si="7">AF14/L14</f>
        <v>1.1915271017242803</v>
      </c>
      <c r="AH14" s="531">
        <f>Q14-P14</f>
        <v>-22.177068509859726</v>
      </c>
      <c r="AI14" s="532">
        <f t="shared" ref="AI14:AI25" si="8">AH14/P14</f>
        <v>-1</v>
      </c>
      <c r="AJ14" s="531">
        <f>U14-T14</f>
        <v>43.607452587439248</v>
      </c>
      <c r="AK14" s="532">
        <f t="shared" ref="AK14:AK25" si="9">AJ14/T14</f>
        <v>5.8988397576382621</v>
      </c>
      <c r="AL14" s="531">
        <f>Y14-X14</f>
        <v>3.7679028481184993</v>
      </c>
      <c r="AM14" s="532">
        <f t="shared" ref="AM14:AM26" si="10">IF(AL14=0,"",AL14/X14)</f>
        <v>3.0581215469613259</v>
      </c>
      <c r="AN14" s="534">
        <f>AC14-AB14</f>
        <v>0</v>
      </c>
      <c r="AP14" s="567">
        <f>IF(C14="BESD",$AQ$5,$AQ$4)</f>
        <v>1574</v>
      </c>
      <c r="AQ14" s="568">
        <f t="shared" ref="AQ14:AQ26" si="11">AP14*F14</f>
        <v>1777.9903999999999</v>
      </c>
      <c r="AR14" s="568">
        <f>AQ14-AP14</f>
        <v>203.99039999999991</v>
      </c>
      <c r="AS14" s="569">
        <f>IF(C14="BESD",$AQ$7,$AQ$6)</f>
        <v>112</v>
      </c>
      <c r="AT14" s="569">
        <f>IF(C14="BESD",$AQ$3,$AQ$2)</f>
        <v>1686</v>
      </c>
      <c r="AU14" s="569">
        <f t="shared" ref="AU14:AU26" si="12">AT14*G14</f>
        <v>1714.4933999999998</v>
      </c>
      <c r="AV14" s="649">
        <f>AU14-AT14</f>
        <v>28.493399999999838</v>
      </c>
      <c r="AW14" s="649">
        <f t="shared" ref="AW14:AW26" si="13">AV14-AR14</f>
        <v>-175.49700000000007</v>
      </c>
      <c r="AX14" s="649">
        <f>AW14+AS14</f>
        <v>-63.497000000000071</v>
      </c>
      <c r="AY14" s="614">
        <f t="shared" ref="AY14:AY26" si="14">AX14/AQ14</f>
        <v>-3.571279125016652E-2</v>
      </c>
      <c r="AZ14" s="618">
        <f>AD14</f>
        <v>-40.996188055908519</v>
      </c>
      <c r="BA14" s="570">
        <f>AE14</f>
        <v>-0.48232972552771636</v>
      </c>
      <c r="BC14" s="571">
        <f>IF(C14="BESD",$BD$5,$BD$4)</f>
        <v>5903</v>
      </c>
      <c r="BD14" s="572">
        <f t="shared" ref="BD14:BD26" si="15">BC14*F14</f>
        <v>6668.0288</v>
      </c>
      <c r="BE14" s="572">
        <f>BD14-BC14</f>
        <v>765.02880000000005</v>
      </c>
      <c r="BF14" s="573">
        <f>IF(C14="BESD",$BD$7,$BD$6)</f>
        <v>421</v>
      </c>
      <c r="BG14" s="573">
        <f>IF(C14="BESD",$BD$3,$BD$2)</f>
        <v>6324</v>
      </c>
      <c r="BH14" s="573">
        <f t="shared" ref="BH14:BH26" si="16">BG14*G14</f>
        <v>6430.8755999999994</v>
      </c>
      <c r="BI14" s="651">
        <f>BH14-BG14</f>
        <v>106.87559999999939</v>
      </c>
      <c r="BJ14" s="651">
        <f>BI14-BE14</f>
        <v>-658.15320000000065</v>
      </c>
      <c r="BK14" s="651">
        <f>BJ14+BF14</f>
        <v>-237.15320000000065</v>
      </c>
      <c r="BL14" s="625">
        <f>BK14/BD14</f>
        <v>-3.5565713213476319E-2</v>
      </c>
      <c r="BM14" s="628">
        <f>AF14</f>
        <v>44.039471455192277</v>
      </c>
      <c r="BN14" s="574">
        <f>AG14</f>
        <v>1.1915271017242803</v>
      </c>
      <c r="BP14" s="557">
        <f>IF(C14="BESD",$BQ$5,$BQ$4)</f>
        <v>9838</v>
      </c>
      <c r="BQ14" s="558">
        <f t="shared" ref="BQ14:BQ26" si="17">BP14*F14</f>
        <v>11113.004799999999</v>
      </c>
      <c r="BR14" s="558">
        <f>BQ14-BP14</f>
        <v>1275.0047999999988</v>
      </c>
      <c r="BS14" s="559">
        <f>IF(C14="BESD",$BQ$7,$BQ$6)</f>
        <v>702</v>
      </c>
      <c r="BT14" s="559">
        <f>IF(C14="BESD",$BQ$3,$BQ$2)</f>
        <v>10540</v>
      </c>
      <c r="BU14" s="559">
        <f t="shared" ref="BU14:BU26" si="18">BT14*G14</f>
        <v>10718.125999999998</v>
      </c>
      <c r="BV14" s="653">
        <f>BU14-BT14</f>
        <v>178.12599999999838</v>
      </c>
      <c r="BW14" s="653">
        <f>BV14-BR14</f>
        <v>-1096.8788000000004</v>
      </c>
      <c r="BX14" s="653">
        <f>BW14+BS14</f>
        <v>-394.87880000000041</v>
      </c>
      <c r="BY14" s="634">
        <f>BX14/BQ14</f>
        <v>-3.5533036033602763E-2</v>
      </c>
      <c r="BZ14" s="636">
        <f>AH14</f>
        <v>-22.177068509859726</v>
      </c>
      <c r="CA14" s="560">
        <f>AI14</f>
        <v>-1</v>
      </c>
      <c r="CC14" s="571">
        <f>IF(C14="BESD",$CD$5,$CD$4)</f>
        <v>10493</v>
      </c>
      <c r="CD14" s="572">
        <f t="shared" ref="CD14:CD26" si="19">CC14*F14</f>
        <v>11852.8928</v>
      </c>
      <c r="CE14" s="572">
        <f>CD14-CC14</f>
        <v>1359.8927999999996</v>
      </c>
      <c r="CF14" s="573">
        <f>IF(C14="BESD",$CD$7,$CD$6)</f>
        <v>749</v>
      </c>
      <c r="CG14" s="573">
        <f>IF(C14="BESD",$CD$3,$CD$2)</f>
        <v>11242</v>
      </c>
      <c r="CH14" s="573">
        <f t="shared" ref="CH14:CH26" si="20">CG14*G14</f>
        <v>11431.989799999999</v>
      </c>
      <c r="CI14" s="651">
        <f>CH14-CG14</f>
        <v>189.98979999999938</v>
      </c>
      <c r="CJ14" s="651">
        <f>CI14-CE14</f>
        <v>-1169.9030000000002</v>
      </c>
      <c r="CK14" s="651">
        <f>CJ14+CF14</f>
        <v>-420.90300000000025</v>
      </c>
      <c r="CL14" s="625">
        <f>CK14/CD14</f>
        <v>-3.5510571731484843E-2</v>
      </c>
      <c r="CM14" s="628">
        <f>AJ14</f>
        <v>43.607452587439248</v>
      </c>
      <c r="CN14" s="574">
        <f>AK14</f>
        <v>5.8988397576382621</v>
      </c>
      <c r="CP14" s="563">
        <f>IF(C14="BESD",$CQ$5,$CQ$4)</f>
        <v>18363</v>
      </c>
      <c r="CQ14" s="598">
        <f t="shared" ref="CQ14:CQ26" si="21">CP14*F14</f>
        <v>20742.844799999999</v>
      </c>
      <c r="CR14" s="598">
        <f>CQ14-CP14</f>
        <v>2379.8447999999989</v>
      </c>
      <c r="CS14" s="599">
        <f>IF(C14="BESD",$CQ$7,$CQ$6)</f>
        <v>1309</v>
      </c>
      <c r="CT14" s="600">
        <f>IF(C14="BESD",$CQ$3,$CQ$2)</f>
        <v>19672</v>
      </c>
      <c r="CU14" s="599">
        <f t="shared" ref="CU14:CU26" si="22">CT14*G14</f>
        <v>20004.4568</v>
      </c>
      <c r="CV14" s="599">
        <f>CU14-CT14</f>
        <v>332.45679999999993</v>
      </c>
      <c r="CW14" s="599">
        <f>CV14-CR14</f>
        <v>-2047.387999999999</v>
      </c>
      <c r="CX14" s="599">
        <f>CW14+CS14</f>
        <v>-738.38799999999901</v>
      </c>
      <c r="CY14" s="625">
        <f>CX14/CQ14</f>
        <v>-3.5597238812682001E-2</v>
      </c>
      <c r="CZ14" s="628">
        <f>AL14</f>
        <v>3.7679028481184993</v>
      </c>
      <c r="DA14" s="574">
        <f>AM14</f>
        <v>3.0581215469613259</v>
      </c>
    </row>
    <row r="15" spans="1:105" ht="21" x14ac:dyDescent="0.35">
      <c r="A15" s="78">
        <v>126</v>
      </c>
      <c r="B15" s="78">
        <v>7008</v>
      </c>
      <c r="C15" s="76" t="s">
        <v>7</v>
      </c>
      <c r="D15" s="76"/>
      <c r="E15" s="476" t="s">
        <v>13</v>
      </c>
      <c r="F15" s="492">
        <f>'14-15 Budget working'!AA10</f>
        <v>1.1589</v>
      </c>
      <c r="G15" s="494">
        <f>'14-15 Budget working'!BF10</f>
        <v>0</v>
      </c>
      <c r="H15" s="479">
        <f>Sheet5!V13</f>
        <v>25.87182320441989</v>
      </c>
      <c r="I15" s="485">
        <f>Sheet5!BB13</f>
        <v>2</v>
      </c>
      <c r="J15" s="478">
        <f>Sheet5!W13</f>
        <v>0</v>
      </c>
      <c r="K15" s="480">
        <f>Sheet5!BC13</f>
        <v>0</v>
      </c>
      <c r="L15" s="479">
        <f>Sheet5!X13</f>
        <v>19.123747790218033</v>
      </c>
      <c r="M15" s="485">
        <f>Sheet5!BD13</f>
        <v>6</v>
      </c>
      <c r="N15" s="478">
        <f>Sheet5!Y13</f>
        <v>0</v>
      </c>
      <c r="O15" s="480">
        <f>Sheet5!BE13</f>
        <v>0</v>
      </c>
      <c r="P15" s="479">
        <f>Sheet5!Z13</f>
        <v>4.4999558030584286</v>
      </c>
      <c r="Q15" s="485">
        <f>Sheet5!BF13</f>
        <v>0</v>
      </c>
      <c r="R15" s="478">
        <f>Sheet5!AA13</f>
        <v>0</v>
      </c>
      <c r="S15" s="480">
        <f>Sheet5!BG13</f>
        <v>0</v>
      </c>
      <c r="T15" s="479">
        <f>Sheet5!AB13</f>
        <v>1.1249689235104003</v>
      </c>
      <c r="U15" s="485">
        <f>Sheet5!BH13</f>
        <v>42</v>
      </c>
      <c r="V15" s="478">
        <f>Sheet5!AC13</f>
        <v>0</v>
      </c>
      <c r="W15" s="480">
        <f>Sheet5!BI13</f>
        <v>0</v>
      </c>
      <c r="X15" s="479">
        <f>Sheet5!AD13</f>
        <v>1.1249171323041955</v>
      </c>
      <c r="Y15" s="485">
        <f>Sheet5!BJ13</f>
        <v>9</v>
      </c>
      <c r="Z15" s="478">
        <f>Sheet5!AE13</f>
        <v>0</v>
      </c>
      <c r="AA15" s="480">
        <f>Sheet5!BK13</f>
        <v>0</v>
      </c>
      <c r="AB15" s="479">
        <f>Sheet5!AF13</f>
        <v>0</v>
      </c>
      <c r="AC15" s="529">
        <f>Sheet5!BL13</f>
        <v>0</v>
      </c>
      <c r="AD15" s="531">
        <f t="shared" ref="AD15:AD26" si="23">I15-H15</f>
        <v>-23.87182320441989</v>
      </c>
      <c r="AE15" s="532">
        <f t="shared" si="6"/>
        <v>-0.92269582301187325</v>
      </c>
      <c r="AF15" s="531">
        <f t="shared" ref="AF15:AF26" si="24">M15-L15</f>
        <v>-13.123747790218033</v>
      </c>
      <c r="AG15" s="532">
        <f t="shared" si="7"/>
        <v>-0.68625396727575261</v>
      </c>
      <c r="AH15" s="531">
        <f t="shared" ref="AH15:AH26" si="25">Q15-P15</f>
        <v>-4.4999558030584286</v>
      </c>
      <c r="AI15" s="532">
        <f t="shared" si="8"/>
        <v>-1</v>
      </c>
      <c r="AJ15" s="531">
        <f t="shared" ref="AJ15:AJ26" si="26">U15-T15</f>
        <v>40.875031076489599</v>
      </c>
      <c r="AK15" s="532">
        <f t="shared" si="9"/>
        <v>36.334364640883976</v>
      </c>
      <c r="AL15" s="531">
        <f t="shared" ref="AL15:AL26" si="27">Y15-X15</f>
        <v>7.875082867695804</v>
      </c>
      <c r="AM15" s="532">
        <f t="shared" si="10"/>
        <v>7.0005893248021547</v>
      </c>
      <c r="AN15" s="534">
        <f t="shared" ref="AN15:AN26" si="28">AC15-AB15</f>
        <v>0</v>
      </c>
      <c r="AP15" s="546">
        <f t="shared" ref="AP15:AP26" si="29">IF(C15="BESD",$AQ$5,$AQ$4)</f>
        <v>1810</v>
      </c>
      <c r="AQ15" s="547">
        <f t="shared" si="11"/>
        <v>2097.6089999999999</v>
      </c>
      <c r="AR15" s="547">
        <f t="shared" ref="AR15:AR26" si="30">AQ15-AP15</f>
        <v>287.60899999999992</v>
      </c>
      <c r="AS15" s="548">
        <f t="shared" ref="AS15:AS26" si="31">IF(C15="BESD",$AQ$7,$AQ$6)</f>
        <v>129</v>
      </c>
      <c r="AT15" s="548">
        <f t="shared" ref="AT15:AT26" si="32">IF(C15="BESD",$AQ$3,$AQ$2)</f>
        <v>1939</v>
      </c>
      <c r="AU15" s="548">
        <f t="shared" si="12"/>
        <v>0</v>
      </c>
      <c r="AV15" s="650">
        <f t="shared" ref="AV15:AV26" si="33">AU15-AT15</f>
        <v>-1939</v>
      </c>
      <c r="AW15" s="650">
        <f t="shared" si="13"/>
        <v>-2226.6089999999999</v>
      </c>
      <c r="AX15" s="650">
        <f t="shared" ref="AX15:AX26" si="34">AW15+AS15</f>
        <v>-2097.6089999999999</v>
      </c>
      <c r="AY15" s="615">
        <f t="shared" si="14"/>
        <v>-1</v>
      </c>
      <c r="AZ15" s="619">
        <f t="shared" ref="AZ15:AZ26" si="35">AD15</f>
        <v>-23.87182320441989</v>
      </c>
      <c r="BA15" s="549">
        <f t="shared" ref="BA15:BA26" si="36">AE15</f>
        <v>-0.92269582301187325</v>
      </c>
      <c r="BC15" s="553">
        <f t="shared" ref="BC15:BC26" si="37">IF(C15="BESD",$BD$5,$BD$4)</f>
        <v>6788</v>
      </c>
      <c r="BD15" s="554">
        <f t="shared" si="15"/>
        <v>7866.6132000000007</v>
      </c>
      <c r="BE15" s="554">
        <f t="shared" ref="BE15:BE26" si="38">BD15-BC15</f>
        <v>1078.6132000000007</v>
      </c>
      <c r="BF15" s="555">
        <f t="shared" ref="BF15:BF26" si="39">IF(C15="BESD",$BD$7,$BD$6)</f>
        <v>485</v>
      </c>
      <c r="BG15" s="555">
        <f t="shared" ref="BG15:BG26" si="40">IF(C15="BESD",$BD$3,$BD$2)</f>
        <v>7273</v>
      </c>
      <c r="BH15" s="555">
        <f t="shared" si="16"/>
        <v>0</v>
      </c>
      <c r="BI15" s="652">
        <f t="shared" ref="BI15:BI26" si="41">BH15-BG15</f>
        <v>-7273</v>
      </c>
      <c r="BJ15" s="652">
        <f t="shared" ref="BJ15:BJ26" si="42">BI15-BE15</f>
        <v>-8351.6131999999998</v>
      </c>
      <c r="BK15" s="652">
        <f t="shared" ref="BK15:BK26" si="43">BJ15+BF15</f>
        <v>-7866.6131999999998</v>
      </c>
      <c r="BL15" s="626">
        <f t="shared" ref="BL15:BL26" si="44">BK15/BD15</f>
        <v>-0.99999999999999989</v>
      </c>
      <c r="BM15" s="629">
        <f t="shared" ref="BM15:BM26" si="45">AF15</f>
        <v>-13.123747790218033</v>
      </c>
      <c r="BN15" s="556">
        <f t="shared" ref="BN15:BN26" si="46">AG15</f>
        <v>-0.68625396727575261</v>
      </c>
      <c r="BP15" s="557">
        <f t="shared" ref="BP15:BP26" si="47">IF(C15="BESD",$BQ$5,$BQ$4)</f>
        <v>11313</v>
      </c>
      <c r="BQ15" s="558">
        <f t="shared" si="17"/>
        <v>13110.635700000001</v>
      </c>
      <c r="BR15" s="558">
        <f t="shared" ref="BR15:BR26" si="48">BQ15-BP15</f>
        <v>1797.6357000000007</v>
      </c>
      <c r="BS15" s="559">
        <f t="shared" ref="BS15:BS26" si="49">IF(C15="BESD",$BQ$7,$BQ$6)</f>
        <v>808</v>
      </c>
      <c r="BT15" s="559">
        <f t="shared" ref="BT15:BT26" si="50">IF(C15="BESD",$BQ$3,$BQ$2)</f>
        <v>12121</v>
      </c>
      <c r="BU15" s="559">
        <f t="shared" si="18"/>
        <v>0</v>
      </c>
      <c r="BV15" s="653">
        <f t="shared" ref="BV15:BV26" si="51">BU15-BT15</f>
        <v>-12121</v>
      </c>
      <c r="BW15" s="653">
        <f t="shared" ref="BW15:BW26" si="52">BV15-BR15</f>
        <v>-13918.635700000001</v>
      </c>
      <c r="BX15" s="653">
        <f t="shared" ref="BX15:BX26" si="53">BW15+BS15</f>
        <v>-13110.635700000001</v>
      </c>
      <c r="BY15" s="634">
        <f t="shared" ref="BY15:BY26" si="54">BX15/BQ15</f>
        <v>-1</v>
      </c>
      <c r="BZ15" s="636">
        <f t="shared" ref="BZ15:BZ26" si="55">AH15</f>
        <v>-4.4999558030584286</v>
      </c>
      <c r="CA15" s="560">
        <f t="shared" ref="CA15:CA26" si="56">AI15</f>
        <v>-1</v>
      </c>
      <c r="CC15" s="553">
        <f t="shared" ref="CC15:CC26" si="57">IF(C15="BESD",$CD$5,$CD$4)</f>
        <v>12067</v>
      </c>
      <c r="CD15" s="554">
        <f t="shared" si="19"/>
        <v>13984.4463</v>
      </c>
      <c r="CE15" s="554">
        <f t="shared" ref="CE15:CE26" si="58">CD15-CC15</f>
        <v>1917.4462999999996</v>
      </c>
      <c r="CF15" s="555">
        <f t="shared" ref="CF15:CF26" si="59">IF(C15="BESD",$CD$7,$CD$6)</f>
        <v>861</v>
      </c>
      <c r="CG15" s="555">
        <f t="shared" ref="CG15:CG26" si="60">IF(C15="BESD",$CD$3,$CD$2)</f>
        <v>12928</v>
      </c>
      <c r="CH15" s="555">
        <f t="shared" si="20"/>
        <v>0</v>
      </c>
      <c r="CI15" s="652">
        <f t="shared" ref="CI15:CI26" si="61">CH15-CG15</f>
        <v>-12928</v>
      </c>
      <c r="CJ15" s="652">
        <f t="shared" ref="CJ15:CJ26" si="62">CI15-CE15</f>
        <v>-14845.4463</v>
      </c>
      <c r="CK15" s="652">
        <f t="shared" ref="CK15:CK26" si="63">CJ15+CF15</f>
        <v>-13984.4463</v>
      </c>
      <c r="CL15" s="626">
        <f t="shared" ref="CL15:CL26" si="64">CK15/CD15</f>
        <v>-1</v>
      </c>
      <c r="CM15" s="629">
        <f t="shared" ref="CM15:CM26" si="65">AJ15</f>
        <v>40.875031076489599</v>
      </c>
      <c r="CN15" s="556">
        <f t="shared" ref="CN15:CN26" si="66">AK15</f>
        <v>36.334364640883976</v>
      </c>
      <c r="CP15" s="550">
        <f t="shared" ref="CP15:CP26" si="67">IF(C15="BESD",$CQ$5,$CQ$4)</f>
        <v>21118</v>
      </c>
      <c r="CQ15" s="564">
        <f t="shared" si="21"/>
        <v>24473.6502</v>
      </c>
      <c r="CR15" s="564">
        <f t="shared" ref="CR15:CR26" si="68">CQ15-CP15</f>
        <v>3355.6502</v>
      </c>
      <c r="CS15" s="565">
        <f t="shared" ref="CS15:CS26" si="69">IF(C15="BESD",$CQ$7,$CQ$6)</f>
        <v>1505</v>
      </c>
      <c r="CT15" s="566">
        <f>IF(C15="BESD",$CQ$3,$CQ$2)</f>
        <v>22623</v>
      </c>
      <c r="CU15" s="565">
        <f t="shared" si="22"/>
        <v>0</v>
      </c>
      <c r="CV15" s="565">
        <f t="shared" ref="CV15:CV26" si="70">CU15-CT15</f>
        <v>-22623</v>
      </c>
      <c r="CW15" s="565">
        <f t="shared" ref="CW15:CW26" si="71">CV15-CR15</f>
        <v>-25978.6502</v>
      </c>
      <c r="CX15" s="565">
        <f t="shared" ref="CX15:CX26" si="72">CW15+CS15</f>
        <v>-24473.6502</v>
      </c>
      <c r="CY15" s="626">
        <f t="shared" ref="CY15:CY26" si="73">CX15/CQ15</f>
        <v>-1</v>
      </c>
      <c r="CZ15" s="629">
        <f t="shared" ref="CZ15:CZ26" si="74">AL15</f>
        <v>7.875082867695804</v>
      </c>
      <c r="DA15" s="556">
        <f t="shared" ref="DA15:DA26" si="75">AM15</f>
        <v>7.0005893248021547</v>
      </c>
    </row>
    <row r="16" spans="1:105" ht="21" x14ac:dyDescent="0.35">
      <c r="A16" s="77">
        <v>127</v>
      </c>
      <c r="B16" s="77">
        <v>7015</v>
      </c>
      <c r="C16" s="72"/>
      <c r="D16" s="72" t="s">
        <v>132</v>
      </c>
      <c r="E16" s="477" t="s">
        <v>14</v>
      </c>
      <c r="F16" s="492">
        <f>'14-15 Budget working'!AA11</f>
        <v>1.032</v>
      </c>
      <c r="G16" s="494">
        <f>'14-15 Budget working'!BF11</f>
        <v>0</v>
      </c>
      <c r="H16" s="479">
        <f>Sheet5!V14</f>
        <v>7.3907242693773822</v>
      </c>
      <c r="I16" s="485">
        <f>Sheet5!BB14</f>
        <v>5</v>
      </c>
      <c r="J16" s="478">
        <f>Sheet5!W14</f>
        <v>0</v>
      </c>
      <c r="K16" s="480">
        <f>Sheet5!BC14</f>
        <v>0</v>
      </c>
      <c r="L16" s="479">
        <f>Sheet5!X14</f>
        <v>54.208707436896496</v>
      </c>
      <c r="M16" s="485">
        <f>Sheet5!BD14</f>
        <v>32</v>
      </c>
      <c r="N16" s="478">
        <f>Sheet5!Y14</f>
        <v>1.2319159749280026</v>
      </c>
      <c r="O16" s="480">
        <f>Sheet5!BE14</f>
        <v>0</v>
      </c>
      <c r="P16" s="479">
        <f>Sheet5!Z14</f>
        <v>57.906789997967067</v>
      </c>
      <c r="Q16" s="485">
        <f>Sheet5!BF14</f>
        <v>0</v>
      </c>
      <c r="R16" s="478">
        <f>Sheet5!AA14</f>
        <v>1.2321610083350274</v>
      </c>
      <c r="S16" s="480">
        <f>Sheet5!BG14</f>
        <v>0</v>
      </c>
      <c r="T16" s="479">
        <f>Sheet5!AB14</f>
        <v>49.283522348232154</v>
      </c>
      <c r="U16" s="485">
        <f>Sheet5!BH14</f>
        <v>111</v>
      </c>
      <c r="V16" s="478">
        <f>Sheet5!AC14</f>
        <v>0</v>
      </c>
      <c r="W16" s="480">
        <f>Sheet5!BI14</f>
        <v>0</v>
      </c>
      <c r="X16" s="479">
        <f>Sheet5!AD14</f>
        <v>6.1605402167401841</v>
      </c>
      <c r="Y16" s="485">
        <f>Sheet5!BJ14</f>
        <v>14</v>
      </c>
      <c r="Z16" s="478">
        <f>Sheet5!AE14</f>
        <v>0</v>
      </c>
      <c r="AA16" s="480">
        <f>Sheet5!BK14</f>
        <v>0</v>
      </c>
      <c r="AB16" s="479">
        <f>Sheet5!AF14</f>
        <v>0</v>
      </c>
      <c r="AC16" s="529">
        <f>Sheet5!BL14</f>
        <v>0</v>
      </c>
      <c r="AD16" s="531">
        <f t="shared" si="23"/>
        <v>-2.3907242693773822</v>
      </c>
      <c r="AE16" s="532">
        <f t="shared" si="6"/>
        <v>-0.3234763173729906</v>
      </c>
      <c r="AF16" s="531">
        <f t="shared" si="24"/>
        <v>-22.208707436896496</v>
      </c>
      <c r="AG16" s="532">
        <f t="shared" si="7"/>
        <v>-0.40968893166746878</v>
      </c>
      <c r="AH16" s="531">
        <f t="shared" si="25"/>
        <v>-57.906789997967067</v>
      </c>
      <c r="AI16" s="532">
        <f t="shared" si="8"/>
        <v>-1</v>
      </c>
      <c r="AJ16" s="531">
        <f t="shared" si="26"/>
        <v>61.716477651767846</v>
      </c>
      <c r="AK16" s="532">
        <f t="shared" si="9"/>
        <v>1.2522740808923061</v>
      </c>
      <c r="AL16" s="531">
        <f t="shared" si="27"/>
        <v>7.8394597832598159</v>
      </c>
      <c r="AM16" s="532">
        <f t="shared" si="10"/>
        <v>1.2725279776532361</v>
      </c>
      <c r="AN16" s="534">
        <f t="shared" si="28"/>
        <v>0</v>
      </c>
      <c r="AP16" s="546">
        <f t="shared" si="29"/>
        <v>1574</v>
      </c>
      <c r="AQ16" s="547">
        <f t="shared" si="11"/>
        <v>1624.3679999999999</v>
      </c>
      <c r="AR16" s="547">
        <f t="shared" si="30"/>
        <v>50.367999999999938</v>
      </c>
      <c r="AS16" s="548">
        <f t="shared" si="31"/>
        <v>112</v>
      </c>
      <c r="AT16" s="548">
        <f t="shared" si="32"/>
        <v>1686</v>
      </c>
      <c r="AU16" s="548">
        <f t="shared" si="12"/>
        <v>0</v>
      </c>
      <c r="AV16" s="650">
        <f t="shared" si="33"/>
        <v>-1686</v>
      </c>
      <c r="AW16" s="650">
        <f t="shared" si="13"/>
        <v>-1736.3679999999999</v>
      </c>
      <c r="AX16" s="650">
        <f t="shared" si="34"/>
        <v>-1624.3679999999999</v>
      </c>
      <c r="AY16" s="615">
        <f t="shared" si="14"/>
        <v>-1</v>
      </c>
      <c r="AZ16" s="619">
        <f t="shared" si="35"/>
        <v>-2.3907242693773822</v>
      </c>
      <c r="BA16" s="549">
        <f t="shared" si="36"/>
        <v>-0.3234763173729906</v>
      </c>
      <c r="BC16" s="553">
        <f t="shared" si="37"/>
        <v>5903</v>
      </c>
      <c r="BD16" s="554">
        <f t="shared" si="15"/>
        <v>6091.8959999999997</v>
      </c>
      <c r="BE16" s="554">
        <f t="shared" si="38"/>
        <v>188.89599999999973</v>
      </c>
      <c r="BF16" s="555">
        <f t="shared" si="39"/>
        <v>421</v>
      </c>
      <c r="BG16" s="555">
        <f t="shared" si="40"/>
        <v>6324</v>
      </c>
      <c r="BH16" s="555">
        <f t="shared" si="16"/>
        <v>0</v>
      </c>
      <c r="BI16" s="652">
        <f t="shared" si="41"/>
        <v>-6324</v>
      </c>
      <c r="BJ16" s="652">
        <f t="shared" si="42"/>
        <v>-6512.8959999999997</v>
      </c>
      <c r="BK16" s="652">
        <f t="shared" si="43"/>
        <v>-6091.8959999999997</v>
      </c>
      <c r="BL16" s="626">
        <f t="shared" si="44"/>
        <v>-1</v>
      </c>
      <c r="BM16" s="629">
        <f t="shared" si="45"/>
        <v>-22.208707436896496</v>
      </c>
      <c r="BN16" s="556">
        <f t="shared" si="46"/>
        <v>-0.40968893166746878</v>
      </c>
      <c r="BP16" s="557">
        <f t="shared" si="47"/>
        <v>9838</v>
      </c>
      <c r="BQ16" s="558">
        <f t="shared" si="17"/>
        <v>10152.816000000001</v>
      </c>
      <c r="BR16" s="558">
        <f t="shared" si="48"/>
        <v>314.81600000000071</v>
      </c>
      <c r="BS16" s="559">
        <f t="shared" si="49"/>
        <v>702</v>
      </c>
      <c r="BT16" s="559">
        <f t="shared" si="50"/>
        <v>10540</v>
      </c>
      <c r="BU16" s="559">
        <f t="shared" si="18"/>
        <v>0</v>
      </c>
      <c r="BV16" s="653">
        <f t="shared" si="51"/>
        <v>-10540</v>
      </c>
      <c r="BW16" s="653">
        <f t="shared" si="52"/>
        <v>-10854.816000000001</v>
      </c>
      <c r="BX16" s="653">
        <f t="shared" si="53"/>
        <v>-10152.816000000001</v>
      </c>
      <c r="BY16" s="634">
        <f t="shared" si="54"/>
        <v>-1</v>
      </c>
      <c r="BZ16" s="636">
        <f t="shared" si="55"/>
        <v>-57.906789997967067</v>
      </c>
      <c r="CA16" s="560">
        <f t="shared" si="56"/>
        <v>-1</v>
      </c>
      <c r="CC16" s="553">
        <f t="shared" si="57"/>
        <v>10493</v>
      </c>
      <c r="CD16" s="554">
        <f t="shared" si="19"/>
        <v>10828.776</v>
      </c>
      <c r="CE16" s="554">
        <f t="shared" si="58"/>
        <v>335.77599999999984</v>
      </c>
      <c r="CF16" s="555">
        <f t="shared" si="59"/>
        <v>749</v>
      </c>
      <c r="CG16" s="555">
        <f t="shared" si="60"/>
        <v>11242</v>
      </c>
      <c r="CH16" s="555">
        <f t="shared" si="20"/>
        <v>0</v>
      </c>
      <c r="CI16" s="652">
        <f t="shared" si="61"/>
        <v>-11242</v>
      </c>
      <c r="CJ16" s="652">
        <f t="shared" si="62"/>
        <v>-11577.776</v>
      </c>
      <c r="CK16" s="652">
        <f t="shared" si="63"/>
        <v>-10828.776</v>
      </c>
      <c r="CL16" s="626">
        <f t="shared" si="64"/>
        <v>-1</v>
      </c>
      <c r="CM16" s="629">
        <f t="shared" si="65"/>
        <v>61.716477651767846</v>
      </c>
      <c r="CN16" s="556">
        <f t="shared" si="66"/>
        <v>1.2522740808923061</v>
      </c>
      <c r="CP16" s="550">
        <f t="shared" si="67"/>
        <v>18363</v>
      </c>
      <c r="CQ16" s="564">
        <f t="shared" si="21"/>
        <v>18950.616000000002</v>
      </c>
      <c r="CR16" s="564">
        <f t="shared" si="68"/>
        <v>587.6160000000018</v>
      </c>
      <c r="CS16" s="565">
        <f t="shared" si="69"/>
        <v>1309</v>
      </c>
      <c r="CT16" s="566">
        <f>IF(C16="BESD",$CQ$3,$CQ$2)</f>
        <v>19672</v>
      </c>
      <c r="CU16" s="565">
        <f t="shared" si="22"/>
        <v>0</v>
      </c>
      <c r="CV16" s="565">
        <f t="shared" si="70"/>
        <v>-19672</v>
      </c>
      <c r="CW16" s="565">
        <f t="shared" si="71"/>
        <v>-20259.616000000002</v>
      </c>
      <c r="CX16" s="565">
        <f t="shared" si="72"/>
        <v>-18950.616000000002</v>
      </c>
      <c r="CY16" s="626">
        <f t="shared" si="73"/>
        <v>-1</v>
      </c>
      <c r="CZ16" s="629">
        <f t="shared" si="74"/>
        <v>7.8394597832598159</v>
      </c>
      <c r="DA16" s="556">
        <f t="shared" si="75"/>
        <v>1.2725279776532361</v>
      </c>
    </row>
    <row r="17" spans="1:105" ht="21" x14ac:dyDescent="0.35">
      <c r="A17" s="78">
        <v>130</v>
      </c>
      <c r="B17" s="78">
        <v>7011</v>
      </c>
      <c r="C17" s="76" t="s">
        <v>7</v>
      </c>
      <c r="D17" s="76"/>
      <c r="E17" s="476" t="s">
        <v>15</v>
      </c>
      <c r="F17" s="492">
        <f>'14-15 Budget working'!AA12</f>
        <v>1.0342</v>
      </c>
      <c r="G17" s="494">
        <f>'14-15 Budget working'!BF12</f>
        <v>1.3181</v>
      </c>
      <c r="H17" s="479">
        <f>Sheet5!V15</f>
        <v>28.121546961325969</v>
      </c>
      <c r="I17" s="485">
        <f>Sheet5!BB15</f>
        <v>11</v>
      </c>
      <c r="J17" s="478">
        <f>Sheet5!W15</f>
        <v>0</v>
      </c>
      <c r="K17" s="480">
        <f>Sheet5!BC15</f>
        <v>0</v>
      </c>
      <c r="L17" s="479">
        <f>Sheet5!X15</f>
        <v>23.623453152622275</v>
      </c>
      <c r="M17" s="485">
        <f>Sheet5!BD15</f>
        <v>21</v>
      </c>
      <c r="N17" s="478">
        <f>Sheet5!Y15</f>
        <v>0</v>
      </c>
      <c r="O17" s="480">
        <f>Sheet5!BE15</f>
        <v>0</v>
      </c>
      <c r="P17" s="479">
        <f>Sheet5!Z15</f>
        <v>5.6249447538230353</v>
      </c>
      <c r="Q17" s="485">
        <f>Sheet5!BF15</f>
        <v>0</v>
      </c>
      <c r="R17" s="478">
        <f>Sheet5!AA15</f>
        <v>0</v>
      </c>
      <c r="S17" s="480">
        <f>Sheet5!BG15</f>
        <v>0</v>
      </c>
      <c r="T17" s="479">
        <f>Sheet5!AB15</f>
        <v>2.2499378470208007</v>
      </c>
      <c r="U17" s="485">
        <f>Sheet5!BH15</f>
        <v>19</v>
      </c>
      <c r="V17" s="478">
        <f>Sheet5!AC15</f>
        <v>0</v>
      </c>
      <c r="W17" s="480">
        <f>Sheet5!BI15</f>
        <v>0</v>
      </c>
      <c r="X17" s="479">
        <f>Sheet5!AD15</f>
        <v>1.1249171323041955</v>
      </c>
      <c r="Y17" s="485">
        <f>Sheet5!BJ15</f>
        <v>4</v>
      </c>
      <c r="Z17" s="478">
        <f>Sheet5!AE15</f>
        <v>0</v>
      </c>
      <c r="AA17" s="480">
        <f>Sheet5!BK15</f>
        <v>0</v>
      </c>
      <c r="AB17" s="479">
        <f>Sheet5!AF15</f>
        <v>0</v>
      </c>
      <c r="AC17" s="529">
        <f>Sheet5!BL15</f>
        <v>0</v>
      </c>
      <c r="AD17" s="531">
        <f t="shared" si="23"/>
        <v>-17.121546961325969</v>
      </c>
      <c r="AE17" s="532">
        <f t="shared" si="6"/>
        <v>-0.60884086444007857</v>
      </c>
      <c r="AF17" s="531">
        <f t="shared" si="24"/>
        <v>-2.6234531526222753</v>
      </c>
      <c r="AG17" s="532">
        <f t="shared" si="7"/>
        <v>-0.11105290728129913</v>
      </c>
      <c r="AH17" s="531">
        <f t="shared" si="25"/>
        <v>-5.6249447538230353</v>
      </c>
      <c r="AI17" s="532">
        <f t="shared" si="8"/>
        <v>-1</v>
      </c>
      <c r="AJ17" s="531">
        <f t="shared" si="26"/>
        <v>16.750062152979201</v>
      </c>
      <c r="AK17" s="532">
        <f t="shared" si="9"/>
        <v>7.4446777163904239</v>
      </c>
      <c r="AL17" s="531">
        <f t="shared" si="27"/>
        <v>2.8750828676958045</v>
      </c>
      <c r="AM17" s="532">
        <f t="shared" si="10"/>
        <v>2.5558174776898466</v>
      </c>
      <c r="AN17" s="534">
        <f t="shared" si="28"/>
        <v>0</v>
      </c>
      <c r="AP17" s="546">
        <f t="shared" si="29"/>
        <v>1810</v>
      </c>
      <c r="AQ17" s="547">
        <f t="shared" si="11"/>
        <v>1871.902</v>
      </c>
      <c r="AR17" s="547">
        <f t="shared" si="30"/>
        <v>61.902000000000044</v>
      </c>
      <c r="AS17" s="548">
        <f t="shared" si="31"/>
        <v>129</v>
      </c>
      <c r="AT17" s="548">
        <f t="shared" si="32"/>
        <v>1939</v>
      </c>
      <c r="AU17" s="548">
        <f t="shared" si="12"/>
        <v>2555.7959000000001</v>
      </c>
      <c r="AV17" s="650">
        <f t="shared" si="33"/>
        <v>616.79590000000007</v>
      </c>
      <c r="AW17" s="650">
        <f t="shared" si="13"/>
        <v>554.89390000000003</v>
      </c>
      <c r="AX17" s="650">
        <f t="shared" si="34"/>
        <v>683.89390000000003</v>
      </c>
      <c r="AY17" s="615">
        <f t="shared" si="14"/>
        <v>0.36534706410912537</v>
      </c>
      <c r="AZ17" s="619">
        <f t="shared" si="35"/>
        <v>-17.121546961325969</v>
      </c>
      <c r="BA17" s="549">
        <f t="shared" si="36"/>
        <v>-0.60884086444007857</v>
      </c>
      <c r="BC17" s="553">
        <f t="shared" si="37"/>
        <v>6788</v>
      </c>
      <c r="BD17" s="554">
        <f t="shared" si="15"/>
        <v>7020.1495999999997</v>
      </c>
      <c r="BE17" s="554">
        <f t="shared" si="38"/>
        <v>232.14959999999974</v>
      </c>
      <c r="BF17" s="555">
        <f t="shared" si="39"/>
        <v>485</v>
      </c>
      <c r="BG17" s="555">
        <f t="shared" si="40"/>
        <v>7273</v>
      </c>
      <c r="BH17" s="555">
        <f t="shared" si="16"/>
        <v>9586.5413000000008</v>
      </c>
      <c r="BI17" s="652">
        <f t="shared" si="41"/>
        <v>2313.5413000000008</v>
      </c>
      <c r="BJ17" s="652">
        <f t="shared" si="42"/>
        <v>2081.391700000001</v>
      </c>
      <c r="BK17" s="652">
        <f t="shared" si="43"/>
        <v>2566.391700000001</v>
      </c>
      <c r="BL17" s="626">
        <f t="shared" si="44"/>
        <v>0.36557507264517569</v>
      </c>
      <c r="BM17" s="629">
        <f t="shared" si="45"/>
        <v>-2.6234531526222753</v>
      </c>
      <c r="BN17" s="556">
        <f t="shared" si="46"/>
        <v>-0.11105290728129913</v>
      </c>
      <c r="BP17" s="557">
        <f t="shared" si="47"/>
        <v>11313</v>
      </c>
      <c r="BQ17" s="558">
        <f t="shared" si="17"/>
        <v>11699.9046</v>
      </c>
      <c r="BR17" s="558">
        <f t="shared" si="48"/>
        <v>386.90459999999985</v>
      </c>
      <c r="BS17" s="559">
        <f t="shared" si="49"/>
        <v>808</v>
      </c>
      <c r="BT17" s="559">
        <f t="shared" si="50"/>
        <v>12121</v>
      </c>
      <c r="BU17" s="559">
        <f t="shared" si="18"/>
        <v>15976.6901</v>
      </c>
      <c r="BV17" s="653">
        <f t="shared" si="51"/>
        <v>3855.6900999999998</v>
      </c>
      <c r="BW17" s="653">
        <f t="shared" si="52"/>
        <v>3468.7855</v>
      </c>
      <c r="BX17" s="653">
        <f t="shared" si="53"/>
        <v>4276.7855</v>
      </c>
      <c r="BY17" s="634">
        <f t="shared" si="54"/>
        <v>0.36554020278079874</v>
      </c>
      <c r="BZ17" s="636">
        <f t="shared" si="55"/>
        <v>-5.6249447538230353</v>
      </c>
      <c r="CA17" s="560">
        <f t="shared" si="56"/>
        <v>-1</v>
      </c>
      <c r="CC17" s="553">
        <f t="shared" si="57"/>
        <v>12067</v>
      </c>
      <c r="CD17" s="554">
        <f t="shared" si="19"/>
        <v>12479.6914</v>
      </c>
      <c r="CE17" s="554">
        <f t="shared" si="58"/>
        <v>412.6913999999997</v>
      </c>
      <c r="CF17" s="555">
        <f t="shared" si="59"/>
        <v>861</v>
      </c>
      <c r="CG17" s="555">
        <f t="shared" si="60"/>
        <v>12928</v>
      </c>
      <c r="CH17" s="555">
        <f t="shared" si="20"/>
        <v>17040.396800000002</v>
      </c>
      <c r="CI17" s="652">
        <f t="shared" si="61"/>
        <v>4112.3968000000023</v>
      </c>
      <c r="CJ17" s="652">
        <f t="shared" si="62"/>
        <v>3699.7054000000026</v>
      </c>
      <c r="CK17" s="652">
        <f t="shared" si="63"/>
        <v>4560.7054000000026</v>
      </c>
      <c r="CL17" s="626">
        <f t="shared" si="64"/>
        <v>0.36545017451312961</v>
      </c>
      <c r="CM17" s="629">
        <f t="shared" si="65"/>
        <v>16.750062152979201</v>
      </c>
      <c r="CN17" s="556">
        <f t="shared" si="66"/>
        <v>7.4446777163904239</v>
      </c>
      <c r="CP17" s="550">
        <f t="shared" si="67"/>
        <v>21118</v>
      </c>
      <c r="CQ17" s="564">
        <f t="shared" si="21"/>
        <v>21840.2356</v>
      </c>
      <c r="CR17" s="564">
        <f t="shared" si="68"/>
        <v>722.23559999999998</v>
      </c>
      <c r="CS17" s="565">
        <f t="shared" si="69"/>
        <v>1505</v>
      </c>
      <c r="CT17" s="566">
        <f>IF(C17="BESD",$CQ$3,$CQ$2)</f>
        <v>22623</v>
      </c>
      <c r="CU17" s="565">
        <f t="shared" si="22"/>
        <v>29819.3763</v>
      </c>
      <c r="CV17" s="565">
        <f t="shared" si="70"/>
        <v>7196.3762999999999</v>
      </c>
      <c r="CW17" s="565">
        <f t="shared" si="71"/>
        <v>6474.1406999999999</v>
      </c>
      <c r="CX17" s="565">
        <f t="shared" si="72"/>
        <v>7979.1406999999999</v>
      </c>
      <c r="CY17" s="626">
        <f t="shared" si="73"/>
        <v>0.36534132901020538</v>
      </c>
      <c r="CZ17" s="629">
        <f t="shared" si="74"/>
        <v>2.8750828676958045</v>
      </c>
      <c r="DA17" s="556">
        <f t="shared" si="75"/>
        <v>2.5558174776898466</v>
      </c>
    </row>
    <row r="18" spans="1:105" ht="21" x14ac:dyDescent="0.35">
      <c r="A18" s="78">
        <v>132</v>
      </c>
      <c r="B18" s="78">
        <v>7005</v>
      </c>
      <c r="C18" s="76" t="s">
        <v>7</v>
      </c>
      <c r="D18" s="76" t="s">
        <v>30</v>
      </c>
      <c r="E18" s="476" t="s">
        <v>16</v>
      </c>
      <c r="F18" s="492">
        <f>'14-15 Budget working'!AA13</f>
        <v>1.0161</v>
      </c>
      <c r="G18" s="494">
        <f>'14-15 Budget working'!BF13</f>
        <v>0</v>
      </c>
      <c r="H18" s="479">
        <f>Sheet5!V16</f>
        <v>0</v>
      </c>
      <c r="I18" s="485">
        <f>Sheet5!BB16</f>
        <v>0</v>
      </c>
      <c r="J18" s="478">
        <f>Sheet5!W16</f>
        <v>0</v>
      </c>
      <c r="K18" s="480">
        <f>Sheet5!BC16</f>
        <v>0</v>
      </c>
      <c r="L18" s="479">
        <f>Sheet5!X16</f>
        <v>0</v>
      </c>
      <c r="M18" s="485">
        <f>Sheet5!BD16</f>
        <v>0</v>
      </c>
      <c r="N18" s="478">
        <f>Sheet5!Y16</f>
        <v>0</v>
      </c>
      <c r="O18" s="480">
        <f>Sheet5!BE16</f>
        <v>0</v>
      </c>
      <c r="P18" s="479">
        <f>Sheet5!Z16</f>
        <v>0</v>
      </c>
      <c r="Q18" s="485">
        <f>Sheet5!BF16</f>
        <v>0</v>
      </c>
      <c r="R18" s="478">
        <f>Sheet5!AA16</f>
        <v>0</v>
      </c>
      <c r="S18" s="480">
        <f>Sheet5!BG16</f>
        <v>0</v>
      </c>
      <c r="T18" s="479">
        <f>Sheet5!AB16</f>
        <v>0</v>
      </c>
      <c r="U18" s="485">
        <f>Sheet5!BH16</f>
        <v>0</v>
      </c>
      <c r="V18" s="478">
        <f>Sheet5!AC16</f>
        <v>0</v>
      </c>
      <c r="W18" s="480">
        <f>Sheet5!BI16</f>
        <v>0</v>
      </c>
      <c r="X18" s="479">
        <f>Sheet5!AD16</f>
        <v>0</v>
      </c>
      <c r="Y18" s="485">
        <f>Sheet5!BJ16</f>
        <v>0</v>
      </c>
      <c r="Z18" s="478">
        <f>Sheet5!AE16</f>
        <v>0</v>
      </c>
      <c r="AA18" s="480">
        <f>Sheet5!BK16</f>
        <v>0</v>
      </c>
      <c r="AB18" s="479">
        <f>Sheet5!AF16</f>
        <v>0</v>
      </c>
      <c r="AC18" s="529">
        <f>Sheet5!BL16</f>
        <v>30</v>
      </c>
      <c r="AD18" s="531">
        <f t="shared" si="23"/>
        <v>0</v>
      </c>
      <c r="AE18" s="532" t="e">
        <f t="shared" si="6"/>
        <v>#DIV/0!</v>
      </c>
      <c r="AF18" s="531">
        <f t="shared" si="24"/>
        <v>0</v>
      </c>
      <c r="AG18" s="532" t="e">
        <f t="shared" si="7"/>
        <v>#DIV/0!</v>
      </c>
      <c r="AH18" s="531">
        <f t="shared" si="25"/>
        <v>0</v>
      </c>
      <c r="AI18" s="532" t="e">
        <f t="shared" si="8"/>
        <v>#DIV/0!</v>
      </c>
      <c r="AJ18" s="531">
        <f t="shared" si="26"/>
        <v>0</v>
      </c>
      <c r="AK18" s="532" t="e">
        <f t="shared" si="9"/>
        <v>#DIV/0!</v>
      </c>
      <c r="AL18" s="531">
        <f t="shared" si="27"/>
        <v>0</v>
      </c>
      <c r="AM18" s="532" t="str">
        <f t="shared" si="10"/>
        <v/>
      </c>
      <c r="AN18" s="534">
        <f t="shared" si="28"/>
        <v>30</v>
      </c>
      <c r="AP18" s="546">
        <f t="shared" si="29"/>
        <v>1810</v>
      </c>
      <c r="AQ18" s="547">
        <f t="shared" si="11"/>
        <v>1839.1410000000001</v>
      </c>
      <c r="AR18" s="547">
        <f t="shared" si="30"/>
        <v>29.141000000000076</v>
      </c>
      <c r="AS18" s="548">
        <f t="shared" si="31"/>
        <v>129</v>
      </c>
      <c r="AT18" s="548">
        <f t="shared" si="32"/>
        <v>1939</v>
      </c>
      <c r="AU18" s="548">
        <f t="shared" si="12"/>
        <v>0</v>
      </c>
      <c r="AV18" s="650">
        <f t="shared" si="33"/>
        <v>-1939</v>
      </c>
      <c r="AW18" s="650">
        <f t="shared" si="13"/>
        <v>-1968.1410000000001</v>
      </c>
      <c r="AX18" s="650">
        <f t="shared" si="34"/>
        <v>-1839.1410000000001</v>
      </c>
      <c r="AY18" s="615">
        <f t="shared" si="14"/>
        <v>-1</v>
      </c>
      <c r="AZ18" s="619">
        <f t="shared" si="35"/>
        <v>0</v>
      </c>
      <c r="BA18" s="549" t="e">
        <f t="shared" si="36"/>
        <v>#DIV/0!</v>
      </c>
      <c r="BC18" s="553">
        <f t="shared" si="37"/>
        <v>6788</v>
      </c>
      <c r="BD18" s="554">
        <f t="shared" si="15"/>
        <v>6897.2867999999999</v>
      </c>
      <c r="BE18" s="554">
        <f t="shared" si="38"/>
        <v>109.28679999999986</v>
      </c>
      <c r="BF18" s="555">
        <f t="shared" si="39"/>
        <v>485</v>
      </c>
      <c r="BG18" s="555">
        <f t="shared" si="40"/>
        <v>7273</v>
      </c>
      <c r="BH18" s="555">
        <f t="shared" si="16"/>
        <v>0</v>
      </c>
      <c r="BI18" s="652">
        <f t="shared" si="41"/>
        <v>-7273</v>
      </c>
      <c r="BJ18" s="652">
        <f t="shared" si="42"/>
        <v>-7382.2867999999999</v>
      </c>
      <c r="BK18" s="652">
        <f t="shared" si="43"/>
        <v>-6897.2867999999999</v>
      </c>
      <c r="BL18" s="626">
        <f t="shared" si="44"/>
        <v>-1</v>
      </c>
      <c r="BM18" s="629">
        <f t="shared" si="45"/>
        <v>0</v>
      </c>
      <c r="BN18" s="556" t="e">
        <f t="shared" si="46"/>
        <v>#DIV/0!</v>
      </c>
      <c r="BP18" s="557">
        <f t="shared" si="47"/>
        <v>11313</v>
      </c>
      <c r="BQ18" s="558">
        <f t="shared" si="17"/>
        <v>11495.139300000001</v>
      </c>
      <c r="BR18" s="558">
        <f t="shared" si="48"/>
        <v>182.13930000000073</v>
      </c>
      <c r="BS18" s="559">
        <f t="shared" si="49"/>
        <v>808</v>
      </c>
      <c r="BT18" s="559">
        <f t="shared" si="50"/>
        <v>12121</v>
      </c>
      <c r="BU18" s="559">
        <f t="shared" si="18"/>
        <v>0</v>
      </c>
      <c r="BV18" s="653">
        <f t="shared" si="51"/>
        <v>-12121</v>
      </c>
      <c r="BW18" s="653">
        <f t="shared" si="52"/>
        <v>-12303.139300000001</v>
      </c>
      <c r="BX18" s="653">
        <f t="shared" si="53"/>
        <v>-11495.139300000001</v>
      </c>
      <c r="BY18" s="634">
        <f t="shared" si="54"/>
        <v>-1</v>
      </c>
      <c r="BZ18" s="636">
        <f t="shared" si="55"/>
        <v>0</v>
      </c>
      <c r="CA18" s="560" t="e">
        <f t="shared" si="56"/>
        <v>#DIV/0!</v>
      </c>
      <c r="CC18" s="553">
        <f t="shared" si="57"/>
        <v>12067</v>
      </c>
      <c r="CD18" s="554">
        <f t="shared" si="19"/>
        <v>12261.278700000001</v>
      </c>
      <c r="CE18" s="554">
        <f t="shared" si="58"/>
        <v>194.27870000000075</v>
      </c>
      <c r="CF18" s="555">
        <f t="shared" si="59"/>
        <v>861</v>
      </c>
      <c r="CG18" s="555">
        <f t="shared" si="60"/>
        <v>12928</v>
      </c>
      <c r="CH18" s="555">
        <f t="shared" si="20"/>
        <v>0</v>
      </c>
      <c r="CI18" s="652">
        <f t="shared" si="61"/>
        <v>-12928</v>
      </c>
      <c r="CJ18" s="652">
        <f t="shared" si="62"/>
        <v>-13122.278700000001</v>
      </c>
      <c r="CK18" s="652">
        <f t="shared" si="63"/>
        <v>-12261.278700000001</v>
      </c>
      <c r="CL18" s="626">
        <f t="shared" si="64"/>
        <v>-1</v>
      </c>
      <c r="CM18" s="629">
        <f t="shared" si="65"/>
        <v>0</v>
      </c>
      <c r="CN18" s="556" t="e">
        <f t="shared" si="66"/>
        <v>#DIV/0!</v>
      </c>
      <c r="CP18" s="550">
        <f t="shared" si="67"/>
        <v>21118</v>
      </c>
      <c r="CQ18" s="564">
        <f t="shared" si="21"/>
        <v>21457.999800000001</v>
      </c>
      <c r="CR18" s="564">
        <f t="shared" si="68"/>
        <v>339.99980000000141</v>
      </c>
      <c r="CS18" s="565">
        <f t="shared" si="69"/>
        <v>1505</v>
      </c>
      <c r="CT18" s="566">
        <f>IF(C18="BESD",$CQ$3,$CQ$2)</f>
        <v>22623</v>
      </c>
      <c r="CU18" s="565">
        <f t="shared" si="22"/>
        <v>0</v>
      </c>
      <c r="CV18" s="565">
        <f t="shared" si="70"/>
        <v>-22623</v>
      </c>
      <c r="CW18" s="565">
        <f t="shared" si="71"/>
        <v>-22962.999800000001</v>
      </c>
      <c r="CX18" s="565">
        <f t="shared" si="72"/>
        <v>-21457.999800000001</v>
      </c>
      <c r="CY18" s="626">
        <f t="shared" si="73"/>
        <v>-1</v>
      </c>
      <c r="CZ18" s="629">
        <f t="shared" si="74"/>
        <v>0</v>
      </c>
      <c r="DA18" s="556" t="str">
        <f t="shared" si="75"/>
        <v/>
      </c>
    </row>
    <row r="19" spans="1:105" ht="21" x14ac:dyDescent="0.35">
      <c r="A19" s="77">
        <v>137</v>
      </c>
      <c r="B19" s="77">
        <v>7018</v>
      </c>
      <c r="C19" s="72"/>
      <c r="D19" s="72"/>
      <c r="E19" s="477" t="s">
        <v>17</v>
      </c>
      <c r="F19" s="492">
        <f>'14-15 Budget working'!AA14</f>
        <v>0.96850000000000003</v>
      </c>
      <c r="G19" s="494">
        <f>'14-15 Budget working'!BF14</f>
        <v>1.2906</v>
      </c>
      <c r="H19" s="479">
        <f>Sheet5!V17</f>
        <v>2.4637865311308769</v>
      </c>
      <c r="I19" s="485">
        <f>Sheet5!BB17</f>
        <v>15</v>
      </c>
      <c r="J19" s="478">
        <f>Sheet5!W17</f>
        <v>0</v>
      </c>
      <c r="K19" s="480">
        <f>Sheet5!BC17</f>
        <v>0</v>
      </c>
      <c r="L19" s="479">
        <f>Sheet5!X17</f>
        <v>14.784177536845672</v>
      </c>
      <c r="M19" s="485">
        <f>Sheet5!BD17</f>
        <v>10</v>
      </c>
      <c r="N19" s="478">
        <f>Sheet5!Y17</f>
        <v>0</v>
      </c>
      <c r="O19" s="480">
        <f>Sheet5!BE17</f>
        <v>0</v>
      </c>
      <c r="P19" s="479">
        <f>Sheet5!Z17</f>
        <v>17.248831063224234</v>
      </c>
      <c r="Q19" s="485">
        <f>Sheet5!BF17</f>
        <v>0</v>
      </c>
      <c r="R19" s="478">
        <f>Sheet5!AA17</f>
        <v>0</v>
      </c>
      <c r="S19" s="480">
        <f>Sheet5!BG17</f>
        <v>0</v>
      </c>
      <c r="T19" s="479">
        <f>Sheet5!AB17</f>
        <v>11.088821118841132</v>
      </c>
      <c r="U19" s="485">
        <f>Sheet5!BH17</f>
        <v>23</v>
      </c>
      <c r="V19" s="478">
        <f>Sheet5!AC17</f>
        <v>0</v>
      </c>
      <c r="W19" s="480">
        <f>Sheet5!BI17</f>
        <v>0</v>
      </c>
      <c r="X19" s="479">
        <f>Sheet5!AD17</f>
        <v>0</v>
      </c>
      <c r="Y19" s="485">
        <f>Sheet5!BJ17</f>
        <v>3</v>
      </c>
      <c r="Z19" s="478">
        <f>Sheet5!AE17</f>
        <v>0</v>
      </c>
      <c r="AA19" s="480">
        <f>Sheet5!BK17</f>
        <v>0</v>
      </c>
      <c r="AB19" s="479">
        <f>Sheet5!AF17</f>
        <v>0</v>
      </c>
      <c r="AC19" s="529">
        <f>Sheet5!BL17</f>
        <v>0</v>
      </c>
      <c r="AD19" s="531">
        <f t="shared" si="23"/>
        <v>12.536213468869123</v>
      </c>
      <c r="AE19" s="532">
        <f t="shared" si="6"/>
        <v>5.0881897885507987</v>
      </c>
      <c r="AF19" s="531">
        <f t="shared" si="24"/>
        <v>-4.7841775368456716</v>
      </c>
      <c r="AG19" s="532">
        <f t="shared" si="7"/>
        <v>-0.32360119627367623</v>
      </c>
      <c r="AH19" s="531">
        <f t="shared" si="25"/>
        <v>-17.248831063224234</v>
      </c>
      <c r="AI19" s="532">
        <f t="shared" si="8"/>
        <v>-1</v>
      </c>
      <c r="AJ19" s="531">
        <f t="shared" si="26"/>
        <v>11.911178881158868</v>
      </c>
      <c r="AK19" s="532">
        <f t="shared" si="9"/>
        <v>1.0741609728847064</v>
      </c>
      <c r="AL19" s="531">
        <f t="shared" si="27"/>
        <v>3</v>
      </c>
      <c r="AM19" s="532" t="e">
        <f t="shared" si="10"/>
        <v>#DIV/0!</v>
      </c>
      <c r="AN19" s="534">
        <f t="shared" si="28"/>
        <v>0</v>
      </c>
      <c r="AP19" s="546">
        <f t="shared" si="29"/>
        <v>1574</v>
      </c>
      <c r="AQ19" s="547">
        <f t="shared" si="11"/>
        <v>1524.4190000000001</v>
      </c>
      <c r="AR19" s="547">
        <f t="shared" si="30"/>
        <v>-49.580999999999904</v>
      </c>
      <c r="AS19" s="548">
        <f t="shared" si="31"/>
        <v>112</v>
      </c>
      <c r="AT19" s="548">
        <f t="shared" si="32"/>
        <v>1686</v>
      </c>
      <c r="AU19" s="548">
        <f t="shared" si="12"/>
        <v>2175.9515999999999</v>
      </c>
      <c r="AV19" s="650">
        <f t="shared" si="33"/>
        <v>489.95159999999987</v>
      </c>
      <c r="AW19" s="650">
        <f t="shared" si="13"/>
        <v>539.53259999999977</v>
      </c>
      <c r="AX19" s="650">
        <f t="shared" si="34"/>
        <v>651.53259999999977</v>
      </c>
      <c r="AY19" s="615">
        <f t="shared" si="14"/>
        <v>0.42739732317689544</v>
      </c>
      <c r="AZ19" s="619">
        <f t="shared" si="35"/>
        <v>12.536213468869123</v>
      </c>
      <c r="BA19" s="549">
        <f t="shared" si="36"/>
        <v>5.0881897885507987</v>
      </c>
      <c r="BC19" s="553">
        <f t="shared" si="37"/>
        <v>5903</v>
      </c>
      <c r="BD19" s="554">
        <f t="shared" si="15"/>
        <v>5717.0555000000004</v>
      </c>
      <c r="BE19" s="554">
        <f t="shared" si="38"/>
        <v>-185.94449999999961</v>
      </c>
      <c r="BF19" s="555">
        <f t="shared" si="39"/>
        <v>421</v>
      </c>
      <c r="BG19" s="555">
        <f t="shared" si="40"/>
        <v>6324</v>
      </c>
      <c r="BH19" s="555">
        <f t="shared" si="16"/>
        <v>8161.7543999999998</v>
      </c>
      <c r="BI19" s="652">
        <f t="shared" si="41"/>
        <v>1837.7543999999998</v>
      </c>
      <c r="BJ19" s="652">
        <f t="shared" si="42"/>
        <v>2023.6988999999994</v>
      </c>
      <c r="BK19" s="652">
        <f t="shared" si="43"/>
        <v>2444.6988999999994</v>
      </c>
      <c r="BL19" s="626">
        <f t="shared" si="44"/>
        <v>0.42761503714630711</v>
      </c>
      <c r="BM19" s="629">
        <f t="shared" si="45"/>
        <v>-4.7841775368456716</v>
      </c>
      <c r="BN19" s="556">
        <f t="shared" si="46"/>
        <v>-0.32360119627367623</v>
      </c>
      <c r="BP19" s="557">
        <f t="shared" si="47"/>
        <v>9838</v>
      </c>
      <c r="BQ19" s="558">
        <f t="shared" si="17"/>
        <v>9528.103000000001</v>
      </c>
      <c r="BR19" s="558">
        <f t="shared" si="48"/>
        <v>-309.89699999999903</v>
      </c>
      <c r="BS19" s="559">
        <f t="shared" si="49"/>
        <v>702</v>
      </c>
      <c r="BT19" s="559">
        <f t="shared" si="50"/>
        <v>10540</v>
      </c>
      <c r="BU19" s="559">
        <f t="shared" si="18"/>
        <v>13602.923999999999</v>
      </c>
      <c r="BV19" s="653">
        <f t="shared" si="51"/>
        <v>3062.9239999999991</v>
      </c>
      <c r="BW19" s="653">
        <f t="shared" si="52"/>
        <v>3372.8209999999981</v>
      </c>
      <c r="BX19" s="653">
        <f t="shared" si="53"/>
        <v>4074.8209999999981</v>
      </c>
      <c r="BY19" s="634">
        <f t="shared" si="54"/>
        <v>0.42766340792075797</v>
      </c>
      <c r="BZ19" s="636">
        <f t="shared" si="55"/>
        <v>-17.248831063224234</v>
      </c>
      <c r="CA19" s="560">
        <f t="shared" si="56"/>
        <v>-1</v>
      </c>
      <c r="CC19" s="553">
        <f t="shared" si="57"/>
        <v>10493</v>
      </c>
      <c r="CD19" s="554">
        <f t="shared" si="19"/>
        <v>10162.470499999999</v>
      </c>
      <c r="CE19" s="554">
        <f t="shared" si="58"/>
        <v>-330.52950000000055</v>
      </c>
      <c r="CF19" s="555">
        <f t="shared" si="59"/>
        <v>749</v>
      </c>
      <c r="CG19" s="555">
        <f t="shared" si="60"/>
        <v>11242</v>
      </c>
      <c r="CH19" s="555">
        <f t="shared" si="20"/>
        <v>14508.9252</v>
      </c>
      <c r="CI19" s="652">
        <f t="shared" si="61"/>
        <v>3266.9251999999997</v>
      </c>
      <c r="CJ19" s="652">
        <f t="shared" si="62"/>
        <v>3597.4547000000002</v>
      </c>
      <c r="CK19" s="652">
        <f t="shared" si="63"/>
        <v>4346.4547000000002</v>
      </c>
      <c r="CL19" s="626">
        <f t="shared" si="64"/>
        <v>0.42769666096447712</v>
      </c>
      <c r="CM19" s="629">
        <f t="shared" si="65"/>
        <v>11.911178881158868</v>
      </c>
      <c r="CN19" s="556">
        <f t="shared" si="66"/>
        <v>1.0741609728847064</v>
      </c>
      <c r="CP19" s="550">
        <f t="shared" si="67"/>
        <v>18363</v>
      </c>
      <c r="CQ19" s="564">
        <f t="shared" si="21"/>
        <v>17784.565500000001</v>
      </c>
      <c r="CR19" s="564">
        <f t="shared" si="68"/>
        <v>-578.43449999999939</v>
      </c>
      <c r="CS19" s="565">
        <f t="shared" si="69"/>
        <v>1309</v>
      </c>
      <c r="CT19" s="566">
        <f t="shared" ref="CT19:CT26" si="76">IF(C19="BESD",$CQ$3,$CQ$2)</f>
        <v>19672</v>
      </c>
      <c r="CU19" s="565">
        <f t="shared" si="22"/>
        <v>25388.683199999999</v>
      </c>
      <c r="CV19" s="565">
        <f t="shared" si="70"/>
        <v>5716.6831999999995</v>
      </c>
      <c r="CW19" s="565">
        <f t="shared" si="71"/>
        <v>6295.1176999999989</v>
      </c>
      <c r="CX19" s="565">
        <f t="shared" si="72"/>
        <v>7604.1176999999989</v>
      </c>
      <c r="CY19" s="626">
        <f t="shared" si="73"/>
        <v>0.4275683710124939</v>
      </c>
      <c r="CZ19" s="629">
        <f t="shared" si="74"/>
        <v>3</v>
      </c>
      <c r="DA19" s="556" t="e">
        <f t="shared" si="75"/>
        <v>#DIV/0!</v>
      </c>
    </row>
    <row r="20" spans="1:105" ht="21" x14ac:dyDescent="0.35">
      <c r="A20" s="78">
        <v>138</v>
      </c>
      <c r="B20" s="78">
        <v>7013</v>
      </c>
      <c r="C20" s="76" t="s">
        <v>7</v>
      </c>
      <c r="D20" s="76"/>
      <c r="E20" s="476" t="s">
        <v>18</v>
      </c>
      <c r="F20" s="492">
        <f>'14-15 Budget working'!AA15</f>
        <v>1.0102</v>
      </c>
      <c r="G20" s="494">
        <f>'14-15 Budget working'!BF15</f>
        <v>0</v>
      </c>
      <c r="H20" s="479">
        <f>Sheet5!V18</f>
        <v>1.1248618784530386</v>
      </c>
      <c r="I20" s="485">
        <f>Sheet5!BB18</f>
        <v>0</v>
      </c>
      <c r="J20" s="478">
        <f>Sheet5!W18</f>
        <v>0</v>
      </c>
      <c r="K20" s="480">
        <f>Sheet5!BC18</f>
        <v>0</v>
      </c>
      <c r="L20" s="479">
        <f>Sheet5!X18</f>
        <v>3.3747790218031821</v>
      </c>
      <c r="M20" s="485">
        <f>Sheet5!BD18</f>
        <v>0</v>
      </c>
      <c r="N20" s="478">
        <f>Sheet5!Y18</f>
        <v>0</v>
      </c>
      <c r="O20" s="480">
        <f>Sheet5!BE18</f>
        <v>0</v>
      </c>
      <c r="P20" s="479">
        <f>Sheet5!Z18</f>
        <v>0</v>
      </c>
      <c r="Q20" s="485">
        <f>Sheet5!BF18</f>
        <v>0</v>
      </c>
      <c r="R20" s="478">
        <f>Sheet5!AA18</f>
        <v>0</v>
      </c>
      <c r="S20" s="480">
        <f>Sheet5!BG18</f>
        <v>0</v>
      </c>
      <c r="T20" s="479">
        <f>Sheet5!AB18</f>
        <v>1.1249689235104003</v>
      </c>
      <c r="U20" s="485">
        <f>Sheet5!BH18</f>
        <v>0</v>
      </c>
      <c r="V20" s="478">
        <f>Sheet5!AC18</f>
        <v>0</v>
      </c>
      <c r="W20" s="480">
        <f>Sheet5!BI18</f>
        <v>0</v>
      </c>
      <c r="X20" s="479">
        <f>Sheet5!AD18</f>
        <v>0</v>
      </c>
      <c r="Y20" s="485">
        <f>Sheet5!BJ18</f>
        <v>0</v>
      </c>
      <c r="Z20" s="478">
        <f>Sheet5!AE18</f>
        <v>0</v>
      </c>
      <c r="AA20" s="480">
        <f>Sheet5!BK18</f>
        <v>0</v>
      </c>
      <c r="AB20" s="479">
        <f>Sheet5!AF18</f>
        <v>0</v>
      </c>
      <c r="AC20" s="529">
        <f>Sheet5!BL18</f>
        <v>0</v>
      </c>
      <c r="AD20" s="531">
        <f t="shared" si="23"/>
        <v>-1.1248618784530386</v>
      </c>
      <c r="AE20" s="532">
        <f t="shared" si="6"/>
        <v>-1</v>
      </c>
      <c r="AF20" s="531">
        <f t="shared" si="24"/>
        <v>-3.3747790218031821</v>
      </c>
      <c r="AG20" s="532">
        <f t="shared" si="7"/>
        <v>-1</v>
      </c>
      <c r="AH20" s="531">
        <f t="shared" si="25"/>
        <v>0</v>
      </c>
      <c r="AI20" s="532" t="e">
        <f t="shared" si="8"/>
        <v>#DIV/0!</v>
      </c>
      <c r="AJ20" s="531">
        <f t="shared" si="26"/>
        <v>-1.1249689235104003</v>
      </c>
      <c r="AK20" s="532">
        <f t="shared" si="9"/>
        <v>-1</v>
      </c>
      <c r="AL20" s="531">
        <f t="shared" si="27"/>
        <v>0</v>
      </c>
      <c r="AM20" s="532" t="str">
        <f t="shared" si="10"/>
        <v/>
      </c>
      <c r="AN20" s="534">
        <f t="shared" si="28"/>
        <v>0</v>
      </c>
      <c r="AP20" s="546">
        <f t="shared" si="29"/>
        <v>1810</v>
      </c>
      <c r="AQ20" s="547">
        <f t="shared" si="11"/>
        <v>1828.462</v>
      </c>
      <c r="AR20" s="547">
        <f t="shared" si="30"/>
        <v>18.461999999999989</v>
      </c>
      <c r="AS20" s="548">
        <f t="shared" si="31"/>
        <v>129</v>
      </c>
      <c r="AT20" s="548">
        <f t="shared" si="32"/>
        <v>1939</v>
      </c>
      <c r="AU20" s="548">
        <f t="shared" si="12"/>
        <v>0</v>
      </c>
      <c r="AV20" s="650">
        <f t="shared" si="33"/>
        <v>-1939</v>
      </c>
      <c r="AW20" s="650">
        <f t="shared" si="13"/>
        <v>-1957.462</v>
      </c>
      <c r="AX20" s="650">
        <f t="shared" si="34"/>
        <v>-1828.462</v>
      </c>
      <c r="AY20" s="615">
        <f t="shared" si="14"/>
        <v>-1</v>
      </c>
      <c r="AZ20" s="619">
        <f t="shared" si="35"/>
        <v>-1.1248618784530386</v>
      </c>
      <c r="BA20" s="549">
        <f t="shared" si="36"/>
        <v>-1</v>
      </c>
      <c r="BC20" s="553">
        <f t="shared" si="37"/>
        <v>6788</v>
      </c>
      <c r="BD20" s="554">
        <f t="shared" si="15"/>
        <v>6857.2375999999995</v>
      </c>
      <c r="BE20" s="554">
        <f t="shared" si="38"/>
        <v>69.237599999999475</v>
      </c>
      <c r="BF20" s="555">
        <f t="shared" si="39"/>
        <v>485</v>
      </c>
      <c r="BG20" s="555">
        <f t="shared" si="40"/>
        <v>7273</v>
      </c>
      <c r="BH20" s="555">
        <f t="shared" si="16"/>
        <v>0</v>
      </c>
      <c r="BI20" s="652">
        <f t="shared" si="41"/>
        <v>-7273</v>
      </c>
      <c r="BJ20" s="652">
        <f t="shared" si="42"/>
        <v>-7342.2375999999995</v>
      </c>
      <c r="BK20" s="652">
        <f t="shared" si="43"/>
        <v>-6857.2375999999995</v>
      </c>
      <c r="BL20" s="626">
        <f t="shared" si="44"/>
        <v>-1</v>
      </c>
      <c r="BM20" s="629">
        <f t="shared" si="45"/>
        <v>-3.3747790218031821</v>
      </c>
      <c r="BN20" s="556">
        <f t="shared" si="46"/>
        <v>-1</v>
      </c>
      <c r="BP20" s="557">
        <f t="shared" si="47"/>
        <v>11313</v>
      </c>
      <c r="BQ20" s="558">
        <f t="shared" si="17"/>
        <v>11428.392599999999</v>
      </c>
      <c r="BR20" s="558">
        <f t="shared" si="48"/>
        <v>115.39259999999922</v>
      </c>
      <c r="BS20" s="559">
        <f t="shared" si="49"/>
        <v>808</v>
      </c>
      <c r="BT20" s="559">
        <f t="shared" si="50"/>
        <v>12121</v>
      </c>
      <c r="BU20" s="559">
        <f t="shared" si="18"/>
        <v>0</v>
      </c>
      <c r="BV20" s="653">
        <f t="shared" si="51"/>
        <v>-12121</v>
      </c>
      <c r="BW20" s="653">
        <f t="shared" si="52"/>
        <v>-12236.392599999999</v>
      </c>
      <c r="BX20" s="653">
        <f t="shared" si="53"/>
        <v>-11428.392599999999</v>
      </c>
      <c r="BY20" s="634">
        <f t="shared" si="54"/>
        <v>-1</v>
      </c>
      <c r="BZ20" s="636">
        <f t="shared" si="55"/>
        <v>0</v>
      </c>
      <c r="CA20" s="560" t="e">
        <f t="shared" si="56"/>
        <v>#DIV/0!</v>
      </c>
      <c r="CC20" s="553">
        <f t="shared" si="57"/>
        <v>12067</v>
      </c>
      <c r="CD20" s="554">
        <f t="shared" si="19"/>
        <v>12190.0834</v>
      </c>
      <c r="CE20" s="554">
        <f t="shared" si="58"/>
        <v>123.08339999999953</v>
      </c>
      <c r="CF20" s="555">
        <f t="shared" si="59"/>
        <v>861</v>
      </c>
      <c r="CG20" s="555">
        <f t="shared" si="60"/>
        <v>12928</v>
      </c>
      <c r="CH20" s="555">
        <f t="shared" si="20"/>
        <v>0</v>
      </c>
      <c r="CI20" s="652">
        <f t="shared" si="61"/>
        <v>-12928</v>
      </c>
      <c r="CJ20" s="652">
        <f t="shared" si="62"/>
        <v>-13051.0834</v>
      </c>
      <c r="CK20" s="652">
        <f t="shared" si="63"/>
        <v>-12190.0834</v>
      </c>
      <c r="CL20" s="626">
        <f t="shared" si="64"/>
        <v>-1</v>
      </c>
      <c r="CM20" s="629">
        <f t="shared" si="65"/>
        <v>-1.1249689235104003</v>
      </c>
      <c r="CN20" s="556">
        <f t="shared" si="66"/>
        <v>-1</v>
      </c>
      <c r="CP20" s="550">
        <f t="shared" si="67"/>
        <v>21118</v>
      </c>
      <c r="CQ20" s="564">
        <f t="shared" si="21"/>
        <v>21333.403600000001</v>
      </c>
      <c r="CR20" s="564">
        <f t="shared" si="68"/>
        <v>215.40360000000146</v>
      </c>
      <c r="CS20" s="565">
        <f t="shared" si="69"/>
        <v>1505</v>
      </c>
      <c r="CT20" s="566">
        <f t="shared" si="76"/>
        <v>22623</v>
      </c>
      <c r="CU20" s="565">
        <f t="shared" si="22"/>
        <v>0</v>
      </c>
      <c r="CV20" s="565">
        <f t="shared" si="70"/>
        <v>-22623</v>
      </c>
      <c r="CW20" s="565">
        <f t="shared" si="71"/>
        <v>-22838.403600000001</v>
      </c>
      <c r="CX20" s="565">
        <f t="shared" si="72"/>
        <v>-21333.403600000001</v>
      </c>
      <c r="CY20" s="626">
        <f t="shared" si="73"/>
        <v>-1</v>
      </c>
      <c r="CZ20" s="629">
        <f t="shared" si="74"/>
        <v>0</v>
      </c>
      <c r="DA20" s="556" t="str">
        <f t="shared" si="75"/>
        <v/>
      </c>
    </row>
    <row r="21" spans="1:105" ht="21" x14ac:dyDescent="0.35">
      <c r="A21" s="77">
        <v>139</v>
      </c>
      <c r="B21" s="77">
        <v>7017</v>
      </c>
      <c r="C21" s="72"/>
      <c r="D21" s="72"/>
      <c r="E21" s="477" t="s">
        <v>19</v>
      </c>
      <c r="F21" s="492">
        <f>'14-15 Budget working'!AA16</f>
        <v>1.0979000000000001</v>
      </c>
      <c r="G21" s="494">
        <f>'14-15 Budget working'!BF16</f>
        <v>0</v>
      </c>
      <c r="H21" s="479">
        <f>Sheet5!V19</f>
        <v>22.172808132147395</v>
      </c>
      <c r="I21" s="485">
        <f>Sheet5!BB19</f>
        <v>13</v>
      </c>
      <c r="J21" s="478">
        <f>Sheet5!W19</f>
        <v>0.45616264294790343</v>
      </c>
      <c r="K21" s="480">
        <f>Sheet5!BC19</f>
        <v>0</v>
      </c>
      <c r="L21" s="479">
        <f>Sheet5!X19</f>
        <v>81.313230560731824</v>
      </c>
      <c r="M21" s="485">
        <f>Sheet5!BD19</f>
        <v>71</v>
      </c>
      <c r="N21" s="478">
        <f>Sheet5!Y19</f>
        <v>1.2319159749280026</v>
      </c>
      <c r="O21" s="480">
        <f>Sheet5!BE19</f>
        <v>0</v>
      </c>
      <c r="P21" s="479">
        <f>Sheet5!Z19</f>
        <v>38.193840211425083</v>
      </c>
      <c r="Q21" s="485">
        <f>Sheet5!BF19</f>
        <v>0</v>
      </c>
      <c r="R21" s="478">
        <f>Sheet5!AA19</f>
        <v>1.2321610083350274</v>
      </c>
      <c r="S21" s="480">
        <f>Sheet5!BG19</f>
        <v>0</v>
      </c>
      <c r="T21" s="479">
        <f>Sheet5!AB19</f>
        <v>3.6962737062803774</v>
      </c>
      <c r="U21" s="485">
        <f>Sheet5!BH19</f>
        <v>47</v>
      </c>
      <c r="V21" s="478">
        <f>Sheet5!AC19</f>
        <v>0</v>
      </c>
      <c r="W21" s="480">
        <f>Sheet5!BI19</f>
        <v>0</v>
      </c>
      <c r="X21" s="479">
        <f>Sheet5!AD19</f>
        <v>0</v>
      </c>
      <c r="Y21" s="485">
        <f>Sheet5!BJ19</f>
        <v>0</v>
      </c>
      <c r="Z21" s="478">
        <f>Sheet5!AE19</f>
        <v>0</v>
      </c>
      <c r="AA21" s="480">
        <f>Sheet5!BK19</f>
        <v>0</v>
      </c>
      <c r="AB21" s="479">
        <f>Sheet5!AF19</f>
        <v>0</v>
      </c>
      <c r="AC21" s="529">
        <f>Sheet5!BL19</f>
        <v>0</v>
      </c>
      <c r="AD21" s="531">
        <f t="shared" si="23"/>
        <v>-9.1728081321473951</v>
      </c>
      <c r="AE21" s="532">
        <f t="shared" si="6"/>
        <v>-0.41369627507163326</v>
      </c>
      <c r="AF21" s="531">
        <f t="shared" si="24"/>
        <v>-10.313230560731824</v>
      </c>
      <c r="AG21" s="532">
        <f t="shared" si="7"/>
        <v>-0.12683336388939809</v>
      </c>
      <c r="AH21" s="531">
        <f t="shared" si="25"/>
        <v>-38.193840211425083</v>
      </c>
      <c r="AI21" s="532">
        <f t="shared" si="8"/>
        <v>-1</v>
      </c>
      <c r="AJ21" s="531">
        <f t="shared" si="26"/>
        <v>43.30372629371962</v>
      </c>
      <c r="AK21" s="532">
        <f t="shared" si="9"/>
        <v>11.715508572901895</v>
      </c>
      <c r="AL21" s="531">
        <f t="shared" si="27"/>
        <v>0</v>
      </c>
      <c r="AM21" s="532" t="str">
        <f t="shared" si="10"/>
        <v/>
      </c>
      <c r="AN21" s="534">
        <f t="shared" si="28"/>
        <v>0</v>
      </c>
      <c r="AP21" s="546">
        <f t="shared" si="29"/>
        <v>1574</v>
      </c>
      <c r="AQ21" s="547">
        <f t="shared" si="11"/>
        <v>1728.0946000000001</v>
      </c>
      <c r="AR21" s="547">
        <f t="shared" si="30"/>
        <v>154.09460000000013</v>
      </c>
      <c r="AS21" s="548">
        <f t="shared" si="31"/>
        <v>112</v>
      </c>
      <c r="AT21" s="548">
        <f t="shared" si="32"/>
        <v>1686</v>
      </c>
      <c r="AU21" s="548">
        <f t="shared" si="12"/>
        <v>0</v>
      </c>
      <c r="AV21" s="650">
        <f t="shared" si="33"/>
        <v>-1686</v>
      </c>
      <c r="AW21" s="650">
        <f t="shared" si="13"/>
        <v>-1840.0946000000001</v>
      </c>
      <c r="AX21" s="650">
        <f t="shared" si="34"/>
        <v>-1728.0946000000001</v>
      </c>
      <c r="AY21" s="615">
        <f t="shared" si="14"/>
        <v>-1</v>
      </c>
      <c r="AZ21" s="619">
        <f t="shared" si="35"/>
        <v>-9.1728081321473951</v>
      </c>
      <c r="BA21" s="549">
        <f t="shared" si="36"/>
        <v>-0.41369627507163326</v>
      </c>
      <c r="BC21" s="553">
        <f t="shared" si="37"/>
        <v>5903</v>
      </c>
      <c r="BD21" s="554">
        <f t="shared" si="15"/>
        <v>6480.9037000000008</v>
      </c>
      <c r="BE21" s="554">
        <f t="shared" si="38"/>
        <v>577.90370000000075</v>
      </c>
      <c r="BF21" s="555">
        <f t="shared" si="39"/>
        <v>421</v>
      </c>
      <c r="BG21" s="555">
        <f t="shared" si="40"/>
        <v>6324</v>
      </c>
      <c r="BH21" s="555">
        <f t="shared" si="16"/>
        <v>0</v>
      </c>
      <c r="BI21" s="652">
        <f t="shared" si="41"/>
        <v>-6324</v>
      </c>
      <c r="BJ21" s="652">
        <f t="shared" si="42"/>
        <v>-6901.9037000000008</v>
      </c>
      <c r="BK21" s="652">
        <f t="shared" si="43"/>
        <v>-6480.9037000000008</v>
      </c>
      <c r="BL21" s="626">
        <f t="shared" si="44"/>
        <v>-1</v>
      </c>
      <c r="BM21" s="629">
        <f t="shared" si="45"/>
        <v>-10.313230560731824</v>
      </c>
      <c r="BN21" s="556">
        <f t="shared" si="46"/>
        <v>-0.12683336388939809</v>
      </c>
      <c r="BP21" s="557">
        <f t="shared" si="47"/>
        <v>9838</v>
      </c>
      <c r="BQ21" s="558">
        <f t="shared" si="17"/>
        <v>10801.140200000002</v>
      </c>
      <c r="BR21" s="558">
        <f t="shared" si="48"/>
        <v>963.14020000000164</v>
      </c>
      <c r="BS21" s="559">
        <f t="shared" si="49"/>
        <v>702</v>
      </c>
      <c r="BT21" s="559">
        <f t="shared" si="50"/>
        <v>10540</v>
      </c>
      <c r="BU21" s="559">
        <f t="shared" si="18"/>
        <v>0</v>
      </c>
      <c r="BV21" s="653">
        <f t="shared" si="51"/>
        <v>-10540</v>
      </c>
      <c r="BW21" s="653">
        <f t="shared" si="52"/>
        <v>-11503.140200000002</v>
      </c>
      <c r="BX21" s="653">
        <f t="shared" si="53"/>
        <v>-10801.140200000002</v>
      </c>
      <c r="BY21" s="634">
        <f t="shared" si="54"/>
        <v>-1</v>
      </c>
      <c r="BZ21" s="636">
        <f t="shared" si="55"/>
        <v>-38.193840211425083</v>
      </c>
      <c r="CA21" s="560">
        <f t="shared" si="56"/>
        <v>-1</v>
      </c>
      <c r="CC21" s="553">
        <f t="shared" si="57"/>
        <v>10493</v>
      </c>
      <c r="CD21" s="554">
        <f t="shared" si="19"/>
        <v>11520.264700000002</v>
      </c>
      <c r="CE21" s="554">
        <f t="shared" si="58"/>
        <v>1027.2647000000015</v>
      </c>
      <c r="CF21" s="555">
        <f t="shared" si="59"/>
        <v>749</v>
      </c>
      <c r="CG21" s="555">
        <f t="shared" si="60"/>
        <v>11242</v>
      </c>
      <c r="CH21" s="555">
        <f t="shared" si="20"/>
        <v>0</v>
      </c>
      <c r="CI21" s="652">
        <f t="shared" si="61"/>
        <v>-11242</v>
      </c>
      <c r="CJ21" s="652">
        <f t="shared" si="62"/>
        <v>-12269.264700000002</v>
      </c>
      <c r="CK21" s="652">
        <f t="shared" si="63"/>
        <v>-11520.264700000002</v>
      </c>
      <c r="CL21" s="626">
        <f t="shared" si="64"/>
        <v>-1</v>
      </c>
      <c r="CM21" s="629">
        <f t="shared" si="65"/>
        <v>43.30372629371962</v>
      </c>
      <c r="CN21" s="556">
        <f t="shared" si="66"/>
        <v>11.715508572901895</v>
      </c>
      <c r="CP21" s="550">
        <f t="shared" si="67"/>
        <v>18363</v>
      </c>
      <c r="CQ21" s="564">
        <f t="shared" si="21"/>
        <v>20160.737700000001</v>
      </c>
      <c r="CR21" s="564">
        <f t="shared" si="68"/>
        <v>1797.7377000000015</v>
      </c>
      <c r="CS21" s="565">
        <f t="shared" si="69"/>
        <v>1309</v>
      </c>
      <c r="CT21" s="566">
        <f t="shared" si="76"/>
        <v>19672</v>
      </c>
      <c r="CU21" s="565">
        <f t="shared" si="22"/>
        <v>0</v>
      </c>
      <c r="CV21" s="565">
        <f t="shared" si="70"/>
        <v>-19672</v>
      </c>
      <c r="CW21" s="565">
        <f t="shared" si="71"/>
        <v>-21469.737700000001</v>
      </c>
      <c r="CX21" s="565">
        <f t="shared" si="72"/>
        <v>-20160.737700000001</v>
      </c>
      <c r="CY21" s="626">
        <f t="shared" si="73"/>
        <v>-1</v>
      </c>
      <c r="CZ21" s="629">
        <f t="shared" si="74"/>
        <v>0</v>
      </c>
      <c r="DA21" s="556" t="str">
        <f t="shared" si="75"/>
        <v/>
      </c>
    </row>
    <row r="22" spans="1:105" ht="21" x14ac:dyDescent="0.35">
      <c r="A22" s="78">
        <v>141</v>
      </c>
      <c r="B22" s="78">
        <v>7022</v>
      </c>
      <c r="C22" s="76" t="s">
        <v>7</v>
      </c>
      <c r="D22" s="76"/>
      <c r="E22" s="476" t="s">
        <v>20</v>
      </c>
      <c r="F22" s="492">
        <f>'14-15 Budget working'!AA17</f>
        <v>0.9667</v>
      </c>
      <c r="G22" s="494">
        <f>'14-15 Budget working'!BF17</f>
        <v>1.2905</v>
      </c>
      <c r="H22" s="479">
        <f>Sheet5!V20</f>
        <v>16.872928176795579</v>
      </c>
      <c r="I22" s="485">
        <f>Sheet5!BB20</f>
        <v>7</v>
      </c>
      <c r="J22" s="478">
        <f>Sheet5!W20</f>
        <v>0</v>
      </c>
      <c r="K22" s="480">
        <f>Sheet5!BC20</f>
        <v>0</v>
      </c>
      <c r="L22" s="479">
        <f>Sheet5!X20</f>
        <v>11.249263406010607</v>
      </c>
      <c r="M22" s="485">
        <f>Sheet5!BD20</f>
        <v>25</v>
      </c>
      <c r="N22" s="478">
        <f>Sheet5!Y20</f>
        <v>0</v>
      </c>
      <c r="O22" s="480">
        <f>Sheet5!BE20</f>
        <v>1</v>
      </c>
      <c r="P22" s="479">
        <f>Sheet5!Z20</f>
        <v>10.124900556881464</v>
      </c>
      <c r="Q22" s="485">
        <f>Sheet5!BF20</f>
        <v>0</v>
      </c>
      <c r="R22" s="478">
        <f>Sheet5!AA20</f>
        <v>0</v>
      </c>
      <c r="S22" s="480">
        <f>Sheet5!BG20</f>
        <v>0</v>
      </c>
      <c r="T22" s="479">
        <f>Sheet5!AB20</f>
        <v>3.3749067705312008</v>
      </c>
      <c r="U22" s="485">
        <f>Sheet5!BH20</f>
        <v>30</v>
      </c>
      <c r="V22" s="478">
        <f>Sheet5!AC20</f>
        <v>0</v>
      </c>
      <c r="W22" s="480">
        <f>Sheet5!BI20</f>
        <v>0</v>
      </c>
      <c r="X22" s="479">
        <f>Sheet5!AD20</f>
        <v>0</v>
      </c>
      <c r="Y22" s="485">
        <f>Sheet5!BJ20</f>
        <v>3</v>
      </c>
      <c r="Z22" s="478">
        <f>Sheet5!AE20</f>
        <v>0</v>
      </c>
      <c r="AA22" s="480">
        <f>Sheet5!BK20</f>
        <v>0</v>
      </c>
      <c r="AB22" s="479">
        <f>Sheet5!AF20</f>
        <v>0</v>
      </c>
      <c r="AC22" s="529">
        <f>Sheet5!BL20</f>
        <v>0</v>
      </c>
      <c r="AD22" s="531">
        <f t="shared" si="23"/>
        <v>-9.872928176795579</v>
      </c>
      <c r="AE22" s="532">
        <f t="shared" si="6"/>
        <v>-0.58513425016371967</v>
      </c>
      <c r="AF22" s="531">
        <f t="shared" si="24"/>
        <v>13.750736593989393</v>
      </c>
      <c r="AG22" s="532">
        <f t="shared" si="7"/>
        <v>1.2223677317967521</v>
      </c>
      <c r="AH22" s="531">
        <f t="shared" si="25"/>
        <v>-10.124900556881464</v>
      </c>
      <c r="AI22" s="532">
        <f t="shared" si="8"/>
        <v>-1</v>
      </c>
      <c r="AJ22" s="531">
        <f t="shared" si="26"/>
        <v>26.625093229468799</v>
      </c>
      <c r="AK22" s="532">
        <f t="shared" si="9"/>
        <v>7.8891344383057094</v>
      </c>
      <c r="AL22" s="531">
        <f t="shared" si="27"/>
        <v>3</v>
      </c>
      <c r="AM22" s="532" t="e">
        <f t="shared" si="10"/>
        <v>#DIV/0!</v>
      </c>
      <c r="AN22" s="534">
        <f t="shared" si="28"/>
        <v>0</v>
      </c>
      <c r="AP22" s="546">
        <f t="shared" si="29"/>
        <v>1810</v>
      </c>
      <c r="AQ22" s="547">
        <f t="shared" si="11"/>
        <v>1749.7270000000001</v>
      </c>
      <c r="AR22" s="547">
        <f t="shared" si="30"/>
        <v>-60.272999999999911</v>
      </c>
      <c r="AS22" s="548">
        <f t="shared" si="31"/>
        <v>129</v>
      </c>
      <c r="AT22" s="548">
        <f t="shared" si="32"/>
        <v>1939</v>
      </c>
      <c r="AU22" s="548">
        <f t="shared" si="12"/>
        <v>2502.2795000000001</v>
      </c>
      <c r="AV22" s="650">
        <f t="shared" si="33"/>
        <v>563.2795000000001</v>
      </c>
      <c r="AW22" s="650">
        <f t="shared" si="13"/>
        <v>623.55250000000001</v>
      </c>
      <c r="AX22" s="650">
        <f t="shared" si="34"/>
        <v>752.55250000000001</v>
      </c>
      <c r="AY22" s="615">
        <f t="shared" si="14"/>
        <v>0.43009709514684291</v>
      </c>
      <c r="AZ22" s="619">
        <f t="shared" si="35"/>
        <v>-9.872928176795579</v>
      </c>
      <c r="BA22" s="549">
        <f t="shared" si="36"/>
        <v>-0.58513425016371967</v>
      </c>
      <c r="BC22" s="553">
        <f t="shared" si="37"/>
        <v>6788</v>
      </c>
      <c r="BD22" s="554">
        <f t="shared" si="15"/>
        <v>6561.9596000000001</v>
      </c>
      <c r="BE22" s="554">
        <f t="shared" si="38"/>
        <v>-226.04039999999986</v>
      </c>
      <c r="BF22" s="555">
        <f t="shared" si="39"/>
        <v>485</v>
      </c>
      <c r="BG22" s="555">
        <f t="shared" si="40"/>
        <v>7273</v>
      </c>
      <c r="BH22" s="555">
        <f t="shared" si="16"/>
        <v>9385.8065000000006</v>
      </c>
      <c r="BI22" s="652">
        <f t="shared" si="41"/>
        <v>2112.8065000000006</v>
      </c>
      <c r="BJ22" s="652">
        <f t="shared" si="42"/>
        <v>2338.8469000000005</v>
      </c>
      <c r="BK22" s="652">
        <f t="shared" si="43"/>
        <v>2823.8469000000005</v>
      </c>
      <c r="BL22" s="626">
        <f t="shared" si="44"/>
        <v>0.43033591672828958</v>
      </c>
      <c r="BM22" s="629">
        <f t="shared" si="45"/>
        <v>13.750736593989393</v>
      </c>
      <c r="BN22" s="556">
        <f t="shared" si="46"/>
        <v>1.2223677317967521</v>
      </c>
      <c r="BP22" s="557">
        <f t="shared" si="47"/>
        <v>11313</v>
      </c>
      <c r="BQ22" s="558">
        <f t="shared" si="17"/>
        <v>10936.277099999999</v>
      </c>
      <c r="BR22" s="558">
        <f t="shared" si="48"/>
        <v>-376.72290000000066</v>
      </c>
      <c r="BS22" s="559">
        <f t="shared" si="49"/>
        <v>808</v>
      </c>
      <c r="BT22" s="559">
        <f t="shared" si="50"/>
        <v>12121</v>
      </c>
      <c r="BU22" s="559">
        <f t="shared" si="18"/>
        <v>15642.1505</v>
      </c>
      <c r="BV22" s="653">
        <f t="shared" si="51"/>
        <v>3521.1504999999997</v>
      </c>
      <c r="BW22" s="653">
        <f t="shared" si="52"/>
        <v>3897.8734000000004</v>
      </c>
      <c r="BX22" s="653">
        <f t="shared" si="53"/>
        <v>4705.8734000000004</v>
      </c>
      <c r="BY22" s="634">
        <f t="shared" si="54"/>
        <v>0.43029939320026928</v>
      </c>
      <c r="BZ22" s="636">
        <f t="shared" si="55"/>
        <v>-10.124900556881464</v>
      </c>
      <c r="CA22" s="560">
        <f t="shared" si="56"/>
        <v>-1</v>
      </c>
      <c r="CC22" s="553">
        <f t="shared" si="57"/>
        <v>12067</v>
      </c>
      <c r="CD22" s="554">
        <f t="shared" si="19"/>
        <v>11665.168900000001</v>
      </c>
      <c r="CE22" s="554">
        <f t="shared" si="58"/>
        <v>-401.83109999999942</v>
      </c>
      <c r="CF22" s="555">
        <f t="shared" si="59"/>
        <v>861</v>
      </c>
      <c r="CG22" s="555">
        <f t="shared" si="60"/>
        <v>12928</v>
      </c>
      <c r="CH22" s="555">
        <f t="shared" si="20"/>
        <v>16683.583999999999</v>
      </c>
      <c r="CI22" s="652">
        <f t="shared" si="61"/>
        <v>3755.5839999999989</v>
      </c>
      <c r="CJ22" s="652">
        <f t="shared" si="62"/>
        <v>4157.4150999999983</v>
      </c>
      <c r="CK22" s="652">
        <f t="shared" si="63"/>
        <v>5018.4150999999983</v>
      </c>
      <c r="CL22" s="626">
        <f t="shared" si="64"/>
        <v>0.43020509544443869</v>
      </c>
      <c r="CM22" s="629">
        <f t="shared" si="65"/>
        <v>26.625093229468799</v>
      </c>
      <c r="CN22" s="556">
        <f t="shared" si="66"/>
        <v>7.8891344383057094</v>
      </c>
      <c r="CP22" s="550">
        <f t="shared" si="67"/>
        <v>21118</v>
      </c>
      <c r="CQ22" s="564">
        <f t="shared" si="21"/>
        <v>20414.7706</v>
      </c>
      <c r="CR22" s="564">
        <f t="shared" si="68"/>
        <v>-703.22940000000017</v>
      </c>
      <c r="CS22" s="565">
        <f t="shared" si="69"/>
        <v>1505</v>
      </c>
      <c r="CT22" s="566">
        <f t="shared" si="76"/>
        <v>22623</v>
      </c>
      <c r="CU22" s="565">
        <f t="shared" si="22"/>
        <v>29194.981499999998</v>
      </c>
      <c r="CV22" s="565">
        <f t="shared" si="70"/>
        <v>6571.9814999999981</v>
      </c>
      <c r="CW22" s="565">
        <f t="shared" si="71"/>
        <v>7275.2108999999982</v>
      </c>
      <c r="CX22" s="565">
        <f t="shared" si="72"/>
        <v>8780.2108999999982</v>
      </c>
      <c r="CY22" s="626">
        <f t="shared" si="73"/>
        <v>0.43009108806738189</v>
      </c>
      <c r="CZ22" s="629">
        <f t="shared" si="74"/>
        <v>3</v>
      </c>
      <c r="DA22" s="556" t="e">
        <f t="shared" si="75"/>
        <v>#DIV/0!</v>
      </c>
    </row>
    <row r="23" spans="1:105" ht="21" x14ac:dyDescent="0.35">
      <c r="A23" s="77">
        <v>143</v>
      </c>
      <c r="B23" s="77">
        <v>7023</v>
      </c>
      <c r="C23" s="72"/>
      <c r="D23" s="72"/>
      <c r="E23" s="477" t="s">
        <v>21</v>
      </c>
      <c r="F23" s="492">
        <f>'14-15 Budget working'!AA18</f>
        <v>1.1908000000000001</v>
      </c>
      <c r="G23" s="494">
        <f>'14-15 Budget working'!BF18</f>
        <v>0</v>
      </c>
      <c r="H23" s="479">
        <f>Sheet5!V21</f>
        <v>75.141677255400253</v>
      </c>
      <c r="I23" s="485">
        <f>Sheet5!BB21</f>
        <v>19</v>
      </c>
      <c r="J23" s="478">
        <f>Sheet5!W21</f>
        <v>0</v>
      </c>
      <c r="K23" s="480">
        <f>Sheet5!BC21</f>
        <v>0</v>
      </c>
      <c r="L23" s="479">
        <f>Sheet5!X21</f>
        <v>44.352702015924109</v>
      </c>
      <c r="M23" s="485">
        <f>Sheet5!BD21</f>
        <v>111</v>
      </c>
      <c r="N23" s="478">
        <f>Sheet5!Y21</f>
        <v>0</v>
      </c>
      <c r="O23" s="480">
        <f>Sheet5!BE21</f>
        <v>0</v>
      </c>
      <c r="P23" s="479">
        <f>Sheet5!Z21</f>
        <v>17.248831063224234</v>
      </c>
      <c r="Q23" s="485">
        <f>Sheet5!BF21</f>
        <v>0</v>
      </c>
      <c r="R23" s="478">
        <f>Sheet5!AA21</f>
        <v>0</v>
      </c>
      <c r="S23" s="480">
        <f>Sheet5!BG21</f>
        <v>0</v>
      </c>
      <c r="T23" s="479">
        <f>Sheet5!AB21</f>
        <v>6.1604879443438483</v>
      </c>
      <c r="U23" s="485">
        <f>Sheet5!BH21</f>
        <v>45</v>
      </c>
      <c r="V23" s="478">
        <f>Sheet5!AC21</f>
        <v>0</v>
      </c>
      <c r="W23" s="480">
        <f>Sheet5!BI21</f>
        <v>0</v>
      </c>
      <c r="X23" s="479">
        <f>Sheet5!AD21</f>
        <v>0</v>
      </c>
      <c r="Y23" s="485">
        <f>Sheet5!BJ21</f>
        <v>15</v>
      </c>
      <c r="Z23" s="478">
        <f>Sheet5!AE21</f>
        <v>0</v>
      </c>
      <c r="AA23" s="480">
        <f>Sheet5!BK21</f>
        <v>0</v>
      </c>
      <c r="AB23" s="479">
        <f>Sheet5!AF21</f>
        <v>0</v>
      </c>
      <c r="AC23" s="529">
        <f>Sheet5!BL21</f>
        <v>0</v>
      </c>
      <c r="AD23" s="531">
        <f t="shared" si="23"/>
        <v>-56.141677255400253</v>
      </c>
      <c r="AE23" s="532">
        <f t="shared" si="6"/>
        <v>-0.74714431865260877</v>
      </c>
      <c r="AF23" s="531">
        <f t="shared" si="24"/>
        <v>66.647297984075891</v>
      </c>
      <c r="AG23" s="532">
        <f t="shared" si="7"/>
        <v>1.5026660148044029</v>
      </c>
      <c r="AH23" s="531">
        <f t="shared" si="25"/>
        <v>-17.248831063224234</v>
      </c>
      <c r="AI23" s="532">
        <f t="shared" si="8"/>
        <v>-1</v>
      </c>
      <c r="AJ23" s="531">
        <f t="shared" si="26"/>
        <v>38.839512055656151</v>
      </c>
      <c r="AK23" s="532">
        <f t="shared" si="9"/>
        <v>6.3046161938058844</v>
      </c>
      <c r="AL23" s="531">
        <f t="shared" si="27"/>
        <v>15</v>
      </c>
      <c r="AM23" s="532" t="e">
        <f t="shared" si="10"/>
        <v>#DIV/0!</v>
      </c>
      <c r="AN23" s="534">
        <f t="shared" si="28"/>
        <v>0</v>
      </c>
      <c r="AP23" s="546">
        <f t="shared" si="29"/>
        <v>1574</v>
      </c>
      <c r="AQ23" s="547">
        <f t="shared" si="11"/>
        <v>1874.3192000000001</v>
      </c>
      <c r="AR23" s="547">
        <f t="shared" si="30"/>
        <v>300.31920000000014</v>
      </c>
      <c r="AS23" s="548">
        <f t="shared" si="31"/>
        <v>112</v>
      </c>
      <c r="AT23" s="548">
        <f t="shared" si="32"/>
        <v>1686</v>
      </c>
      <c r="AU23" s="548">
        <f t="shared" si="12"/>
        <v>0</v>
      </c>
      <c r="AV23" s="650">
        <f t="shared" si="33"/>
        <v>-1686</v>
      </c>
      <c r="AW23" s="650">
        <f t="shared" si="13"/>
        <v>-1986.3192000000001</v>
      </c>
      <c r="AX23" s="650">
        <f t="shared" si="34"/>
        <v>-1874.3192000000001</v>
      </c>
      <c r="AY23" s="615">
        <f t="shared" si="14"/>
        <v>-1</v>
      </c>
      <c r="AZ23" s="619">
        <f t="shared" si="35"/>
        <v>-56.141677255400253</v>
      </c>
      <c r="BA23" s="549">
        <f t="shared" si="36"/>
        <v>-0.74714431865260877</v>
      </c>
      <c r="BC23" s="553">
        <f t="shared" si="37"/>
        <v>5903</v>
      </c>
      <c r="BD23" s="554">
        <f t="shared" si="15"/>
        <v>7029.2924000000003</v>
      </c>
      <c r="BE23" s="554">
        <f t="shared" si="38"/>
        <v>1126.2924000000003</v>
      </c>
      <c r="BF23" s="555">
        <f t="shared" si="39"/>
        <v>421</v>
      </c>
      <c r="BG23" s="555">
        <f t="shared" si="40"/>
        <v>6324</v>
      </c>
      <c r="BH23" s="555">
        <f t="shared" si="16"/>
        <v>0</v>
      </c>
      <c r="BI23" s="652">
        <f t="shared" si="41"/>
        <v>-6324</v>
      </c>
      <c r="BJ23" s="652">
        <f t="shared" si="42"/>
        <v>-7450.2924000000003</v>
      </c>
      <c r="BK23" s="652">
        <f t="shared" si="43"/>
        <v>-7029.2924000000003</v>
      </c>
      <c r="BL23" s="626">
        <f t="shared" si="44"/>
        <v>-1</v>
      </c>
      <c r="BM23" s="629">
        <f t="shared" si="45"/>
        <v>66.647297984075891</v>
      </c>
      <c r="BN23" s="556">
        <f t="shared" si="46"/>
        <v>1.5026660148044029</v>
      </c>
      <c r="BP23" s="557">
        <f t="shared" si="47"/>
        <v>9838</v>
      </c>
      <c r="BQ23" s="558">
        <f t="shared" si="17"/>
        <v>11715.090400000001</v>
      </c>
      <c r="BR23" s="558">
        <f t="shared" si="48"/>
        <v>1877.090400000001</v>
      </c>
      <c r="BS23" s="559">
        <f t="shared" si="49"/>
        <v>702</v>
      </c>
      <c r="BT23" s="559">
        <f t="shared" si="50"/>
        <v>10540</v>
      </c>
      <c r="BU23" s="559">
        <f t="shared" si="18"/>
        <v>0</v>
      </c>
      <c r="BV23" s="653">
        <f t="shared" si="51"/>
        <v>-10540</v>
      </c>
      <c r="BW23" s="653">
        <f t="shared" si="52"/>
        <v>-12417.090400000001</v>
      </c>
      <c r="BX23" s="653">
        <f t="shared" si="53"/>
        <v>-11715.090400000001</v>
      </c>
      <c r="BY23" s="634">
        <f t="shared" si="54"/>
        <v>-1</v>
      </c>
      <c r="BZ23" s="636">
        <f t="shared" si="55"/>
        <v>-17.248831063224234</v>
      </c>
      <c r="CA23" s="560">
        <f t="shared" si="56"/>
        <v>-1</v>
      </c>
      <c r="CC23" s="553">
        <f t="shared" si="57"/>
        <v>10493</v>
      </c>
      <c r="CD23" s="554">
        <f t="shared" si="19"/>
        <v>12495.064400000001</v>
      </c>
      <c r="CE23" s="554">
        <f t="shared" si="58"/>
        <v>2002.0644000000011</v>
      </c>
      <c r="CF23" s="555">
        <f t="shared" si="59"/>
        <v>749</v>
      </c>
      <c r="CG23" s="555">
        <f t="shared" si="60"/>
        <v>11242</v>
      </c>
      <c r="CH23" s="555">
        <f t="shared" si="20"/>
        <v>0</v>
      </c>
      <c r="CI23" s="652">
        <f t="shared" si="61"/>
        <v>-11242</v>
      </c>
      <c r="CJ23" s="652">
        <f t="shared" si="62"/>
        <v>-13244.064400000001</v>
      </c>
      <c r="CK23" s="652">
        <f t="shared" si="63"/>
        <v>-12495.064400000001</v>
      </c>
      <c r="CL23" s="626">
        <f t="shared" si="64"/>
        <v>-1</v>
      </c>
      <c r="CM23" s="629">
        <f t="shared" si="65"/>
        <v>38.839512055656151</v>
      </c>
      <c r="CN23" s="556">
        <f t="shared" si="66"/>
        <v>6.3046161938058844</v>
      </c>
      <c r="CP23" s="550">
        <f t="shared" si="67"/>
        <v>18363</v>
      </c>
      <c r="CQ23" s="564">
        <f t="shared" si="21"/>
        <v>21866.660400000001</v>
      </c>
      <c r="CR23" s="564">
        <f t="shared" si="68"/>
        <v>3503.6604000000007</v>
      </c>
      <c r="CS23" s="565">
        <f t="shared" si="69"/>
        <v>1309</v>
      </c>
      <c r="CT23" s="566">
        <f t="shared" si="76"/>
        <v>19672</v>
      </c>
      <c r="CU23" s="565">
        <f t="shared" si="22"/>
        <v>0</v>
      </c>
      <c r="CV23" s="565">
        <f t="shared" si="70"/>
        <v>-19672</v>
      </c>
      <c r="CW23" s="565">
        <f t="shared" si="71"/>
        <v>-23175.660400000001</v>
      </c>
      <c r="CX23" s="565">
        <f t="shared" si="72"/>
        <v>-21866.660400000001</v>
      </c>
      <c r="CY23" s="626">
        <f t="shared" si="73"/>
        <v>-1</v>
      </c>
      <c r="CZ23" s="629">
        <f t="shared" si="74"/>
        <v>15</v>
      </c>
      <c r="DA23" s="556" t="e">
        <f t="shared" si="75"/>
        <v>#DIV/0!</v>
      </c>
    </row>
    <row r="24" spans="1:105" ht="21" x14ac:dyDescent="0.35">
      <c r="A24" s="77">
        <v>144</v>
      </c>
      <c r="B24" s="77">
        <v>7024</v>
      </c>
      <c r="C24" s="72"/>
      <c r="D24" s="72" t="s">
        <v>132</v>
      </c>
      <c r="E24" s="477" t="s">
        <v>22</v>
      </c>
      <c r="F24" s="492">
        <f>'14-15 Budget working'!AA19</f>
        <v>0.89229999999999998</v>
      </c>
      <c r="G24" s="494">
        <f>'14-15 Budget working'!BF19</f>
        <v>1.0122</v>
      </c>
      <c r="H24" s="479">
        <f>Sheet5!V22</f>
        <v>56.663913595933927</v>
      </c>
      <c r="I24" s="485">
        <f>Sheet5!BB22</f>
        <v>75</v>
      </c>
      <c r="J24" s="478">
        <f>Sheet5!W22</f>
        <v>0</v>
      </c>
      <c r="K24" s="480">
        <f>Sheet5!BC22</f>
        <v>4</v>
      </c>
      <c r="L24" s="479">
        <f>Sheet5!X22</f>
        <v>137.98593935287141</v>
      </c>
      <c r="M24" s="485">
        <f>Sheet5!BD22</f>
        <v>76</v>
      </c>
      <c r="N24" s="478">
        <f>Sheet5!Y22</f>
        <v>0</v>
      </c>
      <c r="O24" s="480">
        <f>Sheet5!BE22</f>
        <v>0</v>
      </c>
      <c r="P24" s="479">
        <f>Sheet5!Z22</f>
        <v>109.65328318763976</v>
      </c>
      <c r="Q24" s="485">
        <f>Sheet5!BF22</f>
        <v>0</v>
      </c>
      <c r="R24" s="478">
        <f>Sheet5!AA22</f>
        <v>0</v>
      </c>
      <c r="S24" s="480">
        <f>Sheet5!BG22</f>
        <v>0</v>
      </c>
      <c r="T24" s="479">
        <f>Sheet5!AB22</f>
        <v>68.996950347850955</v>
      </c>
      <c r="U24" s="485">
        <f>Sheet5!BH22</f>
        <v>152</v>
      </c>
      <c r="V24" s="478">
        <f>Sheet5!AC22</f>
        <v>0</v>
      </c>
      <c r="W24" s="480">
        <f>Sheet5!BI22</f>
        <v>0</v>
      </c>
      <c r="X24" s="479">
        <f>Sheet5!AD22</f>
        <v>6.1605402167401841</v>
      </c>
      <c r="Y24" s="485">
        <f>Sheet5!BJ22</f>
        <v>14</v>
      </c>
      <c r="Z24" s="478">
        <f>Sheet5!AE22</f>
        <v>0</v>
      </c>
      <c r="AA24" s="480">
        <f>Sheet5!BK22</f>
        <v>0</v>
      </c>
      <c r="AB24" s="479">
        <f>Sheet5!AF22</f>
        <v>0</v>
      </c>
      <c r="AC24" s="529">
        <f>Sheet5!BL22</f>
        <v>0</v>
      </c>
      <c r="AD24" s="531">
        <f t="shared" si="23"/>
        <v>18.336086404066073</v>
      </c>
      <c r="AE24" s="532">
        <f t="shared" si="6"/>
        <v>0.32359371671394455</v>
      </c>
      <c r="AF24" s="531">
        <f t="shared" si="24"/>
        <v>-61.985939352871412</v>
      </c>
      <c r="AG24" s="532">
        <f t="shared" si="7"/>
        <v>-0.44921924395756574</v>
      </c>
      <c r="AH24" s="531">
        <f t="shared" si="25"/>
        <v>-109.65328318763976</v>
      </c>
      <c r="AI24" s="532">
        <f t="shared" si="8"/>
        <v>-1</v>
      </c>
      <c r="AJ24" s="531">
        <f t="shared" si="26"/>
        <v>83.003049652149045</v>
      </c>
      <c r="AK24" s="532">
        <f t="shared" si="9"/>
        <v>1.202995918423724</v>
      </c>
      <c r="AL24" s="531">
        <f t="shared" si="27"/>
        <v>7.8394597832598159</v>
      </c>
      <c r="AM24" s="532">
        <f t="shared" si="10"/>
        <v>1.2725279776532361</v>
      </c>
      <c r="AN24" s="534">
        <f t="shared" si="28"/>
        <v>0</v>
      </c>
      <c r="AP24" s="546">
        <f t="shared" si="29"/>
        <v>1574</v>
      </c>
      <c r="AQ24" s="547">
        <f t="shared" si="11"/>
        <v>1404.4802</v>
      </c>
      <c r="AR24" s="547">
        <f t="shared" si="30"/>
        <v>-169.51980000000003</v>
      </c>
      <c r="AS24" s="548">
        <f t="shared" si="31"/>
        <v>112</v>
      </c>
      <c r="AT24" s="548">
        <f t="shared" si="32"/>
        <v>1686</v>
      </c>
      <c r="AU24" s="548">
        <f t="shared" si="12"/>
        <v>1706.5691999999999</v>
      </c>
      <c r="AV24" s="650">
        <f t="shared" si="33"/>
        <v>20.56919999999991</v>
      </c>
      <c r="AW24" s="650">
        <f t="shared" si="13"/>
        <v>190.08899999999994</v>
      </c>
      <c r="AX24" s="650">
        <f t="shared" si="34"/>
        <v>302.08899999999994</v>
      </c>
      <c r="AY24" s="615">
        <f t="shared" si="14"/>
        <v>0.21508953988813795</v>
      </c>
      <c r="AZ24" s="619">
        <f t="shared" si="35"/>
        <v>18.336086404066073</v>
      </c>
      <c r="BA24" s="549">
        <f t="shared" si="36"/>
        <v>0.32359371671394455</v>
      </c>
      <c r="BC24" s="553">
        <f>IF(C24="BESD",$BD$5,$BD$4)</f>
        <v>5903</v>
      </c>
      <c r="BD24" s="554">
        <f t="shared" si="15"/>
        <v>5267.2469000000001</v>
      </c>
      <c r="BE24" s="554">
        <f t="shared" si="38"/>
        <v>-635.7530999999999</v>
      </c>
      <c r="BF24" s="555">
        <f t="shared" si="39"/>
        <v>421</v>
      </c>
      <c r="BG24" s="555">
        <f t="shared" si="40"/>
        <v>6324</v>
      </c>
      <c r="BH24" s="555">
        <f t="shared" si="16"/>
        <v>6401.1527999999998</v>
      </c>
      <c r="BI24" s="652">
        <f t="shared" si="41"/>
        <v>77.152799999999843</v>
      </c>
      <c r="BJ24" s="652">
        <f t="shared" si="42"/>
        <v>712.90589999999975</v>
      </c>
      <c r="BK24" s="652">
        <f t="shared" si="43"/>
        <v>1133.9058999999997</v>
      </c>
      <c r="BL24" s="626">
        <f t="shared" si="44"/>
        <v>0.21527487158424255</v>
      </c>
      <c r="BM24" s="629">
        <f t="shared" si="45"/>
        <v>-61.985939352871412</v>
      </c>
      <c r="BN24" s="556">
        <f t="shared" si="46"/>
        <v>-0.44921924395756574</v>
      </c>
      <c r="BP24" s="557">
        <f t="shared" si="47"/>
        <v>9838</v>
      </c>
      <c r="BQ24" s="558">
        <f t="shared" si="17"/>
        <v>8778.4473999999991</v>
      </c>
      <c r="BR24" s="558">
        <f t="shared" si="48"/>
        <v>-1059.5526000000009</v>
      </c>
      <c r="BS24" s="559">
        <f t="shared" si="49"/>
        <v>702</v>
      </c>
      <c r="BT24" s="559">
        <f t="shared" si="50"/>
        <v>10540</v>
      </c>
      <c r="BU24" s="559">
        <f t="shared" si="18"/>
        <v>10668.588</v>
      </c>
      <c r="BV24" s="653">
        <f t="shared" si="51"/>
        <v>128.58799999999974</v>
      </c>
      <c r="BW24" s="653">
        <f t="shared" si="52"/>
        <v>1188.1406000000006</v>
      </c>
      <c r="BX24" s="653">
        <f t="shared" si="53"/>
        <v>1890.1406000000006</v>
      </c>
      <c r="BY24" s="634">
        <f t="shared" si="54"/>
        <v>0.21531604780134592</v>
      </c>
      <c r="BZ24" s="636">
        <f t="shared" si="55"/>
        <v>-109.65328318763976</v>
      </c>
      <c r="CA24" s="560">
        <f t="shared" si="56"/>
        <v>-1</v>
      </c>
      <c r="CC24" s="553">
        <f t="shared" si="57"/>
        <v>10493</v>
      </c>
      <c r="CD24" s="554">
        <f t="shared" si="19"/>
        <v>9362.9038999999993</v>
      </c>
      <c r="CE24" s="554">
        <f t="shared" si="58"/>
        <v>-1130.0961000000007</v>
      </c>
      <c r="CF24" s="555">
        <f t="shared" si="59"/>
        <v>749</v>
      </c>
      <c r="CG24" s="555">
        <f t="shared" si="60"/>
        <v>11242</v>
      </c>
      <c r="CH24" s="555">
        <f t="shared" si="20"/>
        <v>11379.152399999999</v>
      </c>
      <c r="CI24" s="652">
        <f t="shared" si="61"/>
        <v>137.15239999999903</v>
      </c>
      <c r="CJ24" s="652">
        <f t="shared" si="62"/>
        <v>1267.2484999999997</v>
      </c>
      <c r="CK24" s="652">
        <f t="shared" si="63"/>
        <v>2016.2484999999997</v>
      </c>
      <c r="CL24" s="626">
        <f t="shared" si="64"/>
        <v>0.21534435486409295</v>
      </c>
      <c r="CM24" s="629">
        <f t="shared" si="65"/>
        <v>83.003049652149045</v>
      </c>
      <c r="CN24" s="556">
        <f t="shared" si="66"/>
        <v>1.202995918423724</v>
      </c>
      <c r="CP24" s="550">
        <f t="shared" si="67"/>
        <v>18363</v>
      </c>
      <c r="CQ24" s="564">
        <f t="shared" si="21"/>
        <v>16385.304899999999</v>
      </c>
      <c r="CR24" s="564">
        <f t="shared" si="68"/>
        <v>-1977.6951000000008</v>
      </c>
      <c r="CS24" s="565">
        <f t="shared" si="69"/>
        <v>1309</v>
      </c>
      <c r="CT24" s="566">
        <f t="shared" si="76"/>
        <v>19672</v>
      </c>
      <c r="CU24" s="565">
        <f t="shared" si="22"/>
        <v>19911.9984</v>
      </c>
      <c r="CV24" s="565">
        <f t="shared" si="70"/>
        <v>239.9984000000004</v>
      </c>
      <c r="CW24" s="565">
        <f t="shared" si="71"/>
        <v>2217.6935000000012</v>
      </c>
      <c r="CX24" s="565">
        <f t="shared" si="72"/>
        <v>3526.6935000000012</v>
      </c>
      <c r="CY24" s="626">
        <f t="shared" si="73"/>
        <v>0.2152351464634632</v>
      </c>
      <c r="CZ24" s="629">
        <f t="shared" si="74"/>
        <v>7.8394597832598159</v>
      </c>
      <c r="DA24" s="556">
        <f t="shared" si="75"/>
        <v>1.2725279776532361</v>
      </c>
    </row>
    <row r="25" spans="1:105" ht="21" x14ac:dyDescent="0.35">
      <c r="A25" s="77">
        <v>145</v>
      </c>
      <c r="B25" s="77">
        <v>7025</v>
      </c>
      <c r="C25" s="148"/>
      <c r="D25" s="148" t="s">
        <v>132</v>
      </c>
      <c r="E25" s="475" t="s">
        <v>23</v>
      </c>
      <c r="F25" s="492">
        <f>'14-15 Budget working'!AA20</f>
        <v>1.1808000000000001</v>
      </c>
      <c r="G25" s="494">
        <f>'14-15 Budget working'!BF20</f>
        <v>0</v>
      </c>
      <c r="H25" s="479">
        <f>Sheet5!V23</f>
        <v>11.086404066073698</v>
      </c>
      <c r="I25" s="485">
        <f>Sheet5!BB23</f>
        <v>9</v>
      </c>
      <c r="J25" s="478">
        <f>Sheet5!W23</f>
        <v>0</v>
      </c>
      <c r="K25" s="480">
        <f>Sheet5!BC23</f>
        <v>0</v>
      </c>
      <c r="L25" s="479">
        <f>Sheet5!X23</f>
        <v>54.208707436896496</v>
      </c>
      <c r="M25" s="485">
        <f>Sheet5!BD23</f>
        <v>53</v>
      </c>
      <c r="N25" s="478">
        <f>Sheet5!Y23</f>
        <v>0</v>
      </c>
      <c r="O25" s="480">
        <f>Sheet5!BE23</f>
        <v>0</v>
      </c>
      <c r="P25" s="479">
        <f>Sheet5!Z23</f>
        <v>23.409127871518603</v>
      </c>
      <c r="Q25" s="485">
        <f>Sheet5!BF23</f>
        <v>0</v>
      </c>
      <c r="R25" s="478">
        <f>Sheet5!AA23</f>
        <v>0</v>
      </c>
      <c r="S25" s="480">
        <f>Sheet5!BG23</f>
        <v>0</v>
      </c>
      <c r="T25" s="479">
        <f>Sheet5!AB23</f>
        <v>23.40970170589917</v>
      </c>
      <c r="U25" s="485">
        <f>Sheet5!BH23</f>
        <v>44</v>
      </c>
      <c r="V25" s="478">
        <f>Sheet5!AC23</f>
        <v>0</v>
      </c>
      <c r="W25" s="480">
        <f>Sheet5!BI23</f>
        <v>0</v>
      </c>
      <c r="X25" s="479">
        <f>Sheet5!AD23</f>
        <v>2.4641943037630019</v>
      </c>
      <c r="Y25" s="485">
        <f>Sheet5!BJ23</f>
        <v>4</v>
      </c>
      <c r="Z25" s="478">
        <f>Sheet5!AE23</f>
        <v>0</v>
      </c>
      <c r="AA25" s="480">
        <f>Sheet5!BK23</f>
        <v>0</v>
      </c>
      <c r="AB25" s="479">
        <f>Sheet5!AF23</f>
        <v>0</v>
      </c>
      <c r="AC25" s="529">
        <f>Sheet5!BL23</f>
        <v>0</v>
      </c>
      <c r="AD25" s="531">
        <f t="shared" si="23"/>
        <v>-2.0864040660736975</v>
      </c>
      <c r="AE25" s="532">
        <f t="shared" si="6"/>
        <v>-0.18819484240687678</v>
      </c>
      <c r="AF25" s="531">
        <f t="shared" si="24"/>
        <v>-1.2087074368964963</v>
      </c>
      <c r="AG25" s="532">
        <f t="shared" si="7"/>
        <v>-2.2297293074245196E-2</v>
      </c>
      <c r="AH25" s="531">
        <f t="shared" si="25"/>
        <v>-23.409127871518603</v>
      </c>
      <c r="AI25" s="532">
        <f t="shared" si="8"/>
        <v>-1</v>
      </c>
      <c r="AJ25" s="531">
        <f t="shared" si="26"/>
        <v>20.59029829410083</v>
      </c>
      <c r="AK25" s="532">
        <f t="shared" si="9"/>
        <v>0.87956260839120992</v>
      </c>
      <c r="AL25" s="531">
        <f t="shared" si="27"/>
        <v>1.5358056962369981</v>
      </c>
      <c r="AM25" s="532">
        <f t="shared" si="10"/>
        <v>0.62324861878453031</v>
      </c>
      <c r="AN25" s="534">
        <f t="shared" si="28"/>
        <v>0</v>
      </c>
      <c r="AP25" s="546">
        <f t="shared" si="29"/>
        <v>1574</v>
      </c>
      <c r="AQ25" s="547">
        <f t="shared" si="11"/>
        <v>1858.5792000000001</v>
      </c>
      <c r="AR25" s="547">
        <f t="shared" si="30"/>
        <v>284.57920000000013</v>
      </c>
      <c r="AS25" s="548">
        <f t="shared" si="31"/>
        <v>112</v>
      </c>
      <c r="AT25" s="548">
        <f t="shared" si="32"/>
        <v>1686</v>
      </c>
      <c r="AU25" s="548">
        <f t="shared" si="12"/>
        <v>0</v>
      </c>
      <c r="AV25" s="650">
        <f t="shared" si="33"/>
        <v>-1686</v>
      </c>
      <c r="AW25" s="650">
        <f t="shared" si="13"/>
        <v>-1970.5792000000001</v>
      </c>
      <c r="AX25" s="650">
        <f t="shared" si="34"/>
        <v>-1858.5792000000001</v>
      </c>
      <c r="AY25" s="615">
        <f t="shared" si="14"/>
        <v>-1</v>
      </c>
      <c r="AZ25" s="619">
        <f t="shared" si="35"/>
        <v>-2.0864040660736975</v>
      </c>
      <c r="BA25" s="549">
        <f t="shared" si="36"/>
        <v>-0.18819484240687678</v>
      </c>
      <c r="BC25" s="553">
        <f t="shared" si="37"/>
        <v>5903</v>
      </c>
      <c r="BD25" s="554">
        <f t="shared" si="15"/>
        <v>6970.2624000000005</v>
      </c>
      <c r="BE25" s="554">
        <f t="shared" si="38"/>
        <v>1067.2624000000005</v>
      </c>
      <c r="BF25" s="555">
        <f t="shared" si="39"/>
        <v>421</v>
      </c>
      <c r="BG25" s="555">
        <f t="shared" si="40"/>
        <v>6324</v>
      </c>
      <c r="BH25" s="555">
        <f t="shared" si="16"/>
        <v>0</v>
      </c>
      <c r="BI25" s="652">
        <f t="shared" si="41"/>
        <v>-6324</v>
      </c>
      <c r="BJ25" s="652">
        <f t="shared" si="42"/>
        <v>-7391.2624000000005</v>
      </c>
      <c r="BK25" s="652">
        <f t="shared" si="43"/>
        <v>-6970.2624000000005</v>
      </c>
      <c r="BL25" s="626">
        <f t="shared" si="44"/>
        <v>-1</v>
      </c>
      <c r="BM25" s="629">
        <f t="shared" si="45"/>
        <v>-1.2087074368964963</v>
      </c>
      <c r="BN25" s="556">
        <f t="shared" si="46"/>
        <v>-2.2297293074245196E-2</v>
      </c>
      <c r="BP25" s="557">
        <f t="shared" si="47"/>
        <v>9838</v>
      </c>
      <c r="BQ25" s="558">
        <f t="shared" si="17"/>
        <v>11616.7104</v>
      </c>
      <c r="BR25" s="558">
        <f t="shared" si="48"/>
        <v>1778.7103999999999</v>
      </c>
      <c r="BS25" s="559">
        <f t="shared" si="49"/>
        <v>702</v>
      </c>
      <c r="BT25" s="559">
        <f t="shared" si="50"/>
        <v>10540</v>
      </c>
      <c r="BU25" s="559">
        <f t="shared" si="18"/>
        <v>0</v>
      </c>
      <c r="BV25" s="653">
        <f t="shared" si="51"/>
        <v>-10540</v>
      </c>
      <c r="BW25" s="653">
        <f t="shared" si="52"/>
        <v>-12318.7104</v>
      </c>
      <c r="BX25" s="653">
        <f t="shared" si="53"/>
        <v>-11616.7104</v>
      </c>
      <c r="BY25" s="634">
        <f t="shared" si="54"/>
        <v>-1</v>
      </c>
      <c r="BZ25" s="636">
        <f t="shared" si="55"/>
        <v>-23.409127871518603</v>
      </c>
      <c r="CA25" s="560">
        <f t="shared" si="56"/>
        <v>-1</v>
      </c>
      <c r="CC25" s="553">
        <f t="shared" si="57"/>
        <v>10493</v>
      </c>
      <c r="CD25" s="554">
        <f t="shared" si="19"/>
        <v>12390.134400000001</v>
      </c>
      <c r="CE25" s="554">
        <f t="shared" si="58"/>
        <v>1897.1344000000008</v>
      </c>
      <c r="CF25" s="555">
        <f t="shared" si="59"/>
        <v>749</v>
      </c>
      <c r="CG25" s="555">
        <f t="shared" si="60"/>
        <v>11242</v>
      </c>
      <c r="CH25" s="555">
        <f t="shared" si="20"/>
        <v>0</v>
      </c>
      <c r="CI25" s="652">
        <f t="shared" si="61"/>
        <v>-11242</v>
      </c>
      <c r="CJ25" s="652">
        <f t="shared" si="62"/>
        <v>-13139.134400000001</v>
      </c>
      <c r="CK25" s="652">
        <f t="shared" si="63"/>
        <v>-12390.134400000001</v>
      </c>
      <c r="CL25" s="626">
        <f t="shared" si="64"/>
        <v>-1</v>
      </c>
      <c r="CM25" s="629">
        <f t="shared" si="65"/>
        <v>20.59029829410083</v>
      </c>
      <c r="CN25" s="556">
        <f t="shared" si="66"/>
        <v>0.87956260839120992</v>
      </c>
      <c r="CP25" s="550">
        <f t="shared" si="67"/>
        <v>18363</v>
      </c>
      <c r="CQ25" s="564">
        <f t="shared" si="21"/>
        <v>21683.0304</v>
      </c>
      <c r="CR25" s="564">
        <f t="shared" si="68"/>
        <v>3320.0303999999996</v>
      </c>
      <c r="CS25" s="565">
        <f t="shared" si="69"/>
        <v>1309</v>
      </c>
      <c r="CT25" s="566">
        <f t="shared" si="76"/>
        <v>19672</v>
      </c>
      <c r="CU25" s="565">
        <f t="shared" si="22"/>
        <v>0</v>
      </c>
      <c r="CV25" s="565">
        <f t="shared" si="70"/>
        <v>-19672</v>
      </c>
      <c r="CW25" s="565">
        <f t="shared" si="71"/>
        <v>-22992.0304</v>
      </c>
      <c r="CX25" s="565">
        <f t="shared" si="72"/>
        <v>-21683.0304</v>
      </c>
      <c r="CY25" s="626">
        <f t="shared" si="73"/>
        <v>-1</v>
      </c>
      <c r="CZ25" s="629">
        <f t="shared" si="74"/>
        <v>1.5358056962369981</v>
      </c>
      <c r="DA25" s="556">
        <f t="shared" si="75"/>
        <v>0.62324861878453031</v>
      </c>
    </row>
    <row r="26" spans="1:105" ht="18.5" x14ac:dyDescent="0.35">
      <c r="A26" s="72" t="s">
        <v>24</v>
      </c>
      <c r="B26" s="72">
        <v>959</v>
      </c>
      <c r="C26" s="72"/>
      <c r="D26" s="72"/>
      <c r="E26" s="477" t="s">
        <v>24</v>
      </c>
      <c r="F26" s="492">
        <f>'14-15 Budget working'!AA22</f>
        <v>1.1276999999999999</v>
      </c>
      <c r="G26" s="494">
        <f>'14-15 Budget working'!BF22</f>
        <v>0</v>
      </c>
      <c r="H26" s="479">
        <f>Sheet5!V24</f>
        <v>0</v>
      </c>
      <c r="I26" s="485">
        <f>Sheet5!BB24</f>
        <v>0</v>
      </c>
      <c r="J26" s="478">
        <f>Sheet5!W24</f>
        <v>0</v>
      </c>
      <c r="K26" s="480">
        <f>Sheet5!BC24</f>
        <v>0</v>
      </c>
      <c r="L26" s="479">
        <f>Sheet5!X24</f>
        <v>0</v>
      </c>
      <c r="M26" s="485">
        <f>Sheet5!BD24</f>
        <v>0</v>
      </c>
      <c r="N26" s="478">
        <f>Sheet5!Y24</f>
        <v>0</v>
      </c>
      <c r="O26" s="480">
        <f>Sheet5!BE24</f>
        <v>0</v>
      </c>
      <c r="P26" s="479">
        <f>Sheet5!Z24</f>
        <v>0</v>
      </c>
      <c r="Q26" s="485">
        <f>Sheet5!BF24</f>
        <v>0</v>
      </c>
      <c r="R26" s="478">
        <f>Sheet5!AA24</f>
        <v>0</v>
      </c>
      <c r="S26" s="480">
        <f>Sheet5!BG24</f>
        <v>0</v>
      </c>
      <c r="T26" s="479">
        <f>Sheet5!AB24</f>
        <v>0</v>
      </c>
      <c r="U26" s="485">
        <f>Sheet5!BH24</f>
        <v>0</v>
      </c>
      <c r="V26" s="478">
        <f>Sheet5!AC24</f>
        <v>0</v>
      </c>
      <c r="W26" s="480">
        <f>Sheet5!BI24</f>
        <v>0</v>
      </c>
      <c r="X26" s="479">
        <f>Sheet5!AD24</f>
        <v>6.88743669335076</v>
      </c>
      <c r="Y26" s="485">
        <f>Sheet5!BJ24</f>
        <v>7</v>
      </c>
      <c r="Z26" s="478">
        <f>Sheet5!AE24</f>
        <v>0</v>
      </c>
      <c r="AA26" s="480">
        <f>Sheet5!BK24</f>
        <v>0</v>
      </c>
      <c r="AB26" s="479">
        <f>Sheet5!AF24</f>
        <v>0</v>
      </c>
      <c r="AC26" s="529">
        <f>Sheet5!BL24</f>
        <v>0</v>
      </c>
      <c r="AD26" s="531">
        <f t="shared" si="23"/>
        <v>0</v>
      </c>
      <c r="AE26" s="532"/>
      <c r="AF26" s="531">
        <f t="shared" si="24"/>
        <v>0</v>
      </c>
      <c r="AG26" s="532"/>
      <c r="AH26" s="531">
        <f t="shared" si="25"/>
        <v>0</v>
      </c>
      <c r="AI26" s="532"/>
      <c r="AJ26" s="531">
        <f t="shared" si="26"/>
        <v>0</v>
      </c>
      <c r="AK26" s="532"/>
      <c r="AL26" s="531">
        <f t="shared" si="27"/>
        <v>0.11256330664923997</v>
      </c>
      <c r="AM26" s="532">
        <f t="shared" si="10"/>
        <v>1.6343280041747659E-2</v>
      </c>
      <c r="AN26" s="534">
        <f t="shared" si="28"/>
        <v>0</v>
      </c>
      <c r="AP26" s="546">
        <f t="shared" si="29"/>
        <v>1574</v>
      </c>
      <c r="AQ26" s="547">
        <f t="shared" si="11"/>
        <v>1774.9997999999998</v>
      </c>
      <c r="AR26" s="547">
        <f t="shared" si="30"/>
        <v>200.99979999999982</v>
      </c>
      <c r="AS26" s="548">
        <f t="shared" si="31"/>
        <v>112</v>
      </c>
      <c r="AT26" s="548">
        <f t="shared" si="32"/>
        <v>1686</v>
      </c>
      <c r="AU26" s="548">
        <f t="shared" si="12"/>
        <v>0</v>
      </c>
      <c r="AV26" s="650">
        <f t="shared" si="33"/>
        <v>-1686</v>
      </c>
      <c r="AW26" s="650">
        <f t="shared" si="13"/>
        <v>-1886.9997999999998</v>
      </c>
      <c r="AX26" s="650">
        <f t="shared" si="34"/>
        <v>-1774.9997999999998</v>
      </c>
      <c r="AY26" s="615">
        <f t="shared" si="14"/>
        <v>-1</v>
      </c>
      <c r="AZ26" s="619">
        <f t="shared" si="35"/>
        <v>0</v>
      </c>
      <c r="BA26" s="549">
        <f t="shared" si="36"/>
        <v>0</v>
      </c>
      <c r="BC26" s="553">
        <f t="shared" si="37"/>
        <v>5903</v>
      </c>
      <c r="BD26" s="554">
        <f t="shared" si="15"/>
        <v>6656.8130999999994</v>
      </c>
      <c r="BE26" s="554">
        <f t="shared" si="38"/>
        <v>753.81309999999939</v>
      </c>
      <c r="BF26" s="555">
        <f t="shared" si="39"/>
        <v>421</v>
      </c>
      <c r="BG26" s="555">
        <f t="shared" si="40"/>
        <v>6324</v>
      </c>
      <c r="BH26" s="555">
        <f t="shared" si="16"/>
        <v>0</v>
      </c>
      <c r="BI26" s="652">
        <f t="shared" si="41"/>
        <v>-6324</v>
      </c>
      <c r="BJ26" s="652">
        <f t="shared" si="42"/>
        <v>-7077.8130999999994</v>
      </c>
      <c r="BK26" s="652">
        <f t="shared" si="43"/>
        <v>-6656.8130999999994</v>
      </c>
      <c r="BL26" s="626">
        <f t="shared" si="44"/>
        <v>-1</v>
      </c>
      <c r="BM26" s="629">
        <f t="shared" si="45"/>
        <v>0</v>
      </c>
      <c r="BN26" s="556">
        <f t="shared" si="46"/>
        <v>0</v>
      </c>
      <c r="BP26" s="557">
        <f t="shared" si="47"/>
        <v>9838</v>
      </c>
      <c r="BQ26" s="558">
        <f t="shared" si="17"/>
        <v>11094.312599999999</v>
      </c>
      <c r="BR26" s="558">
        <f t="shared" si="48"/>
        <v>1256.3125999999993</v>
      </c>
      <c r="BS26" s="559">
        <f t="shared" si="49"/>
        <v>702</v>
      </c>
      <c r="BT26" s="559">
        <f t="shared" si="50"/>
        <v>10540</v>
      </c>
      <c r="BU26" s="559">
        <f t="shared" si="18"/>
        <v>0</v>
      </c>
      <c r="BV26" s="653">
        <f t="shared" si="51"/>
        <v>-10540</v>
      </c>
      <c r="BW26" s="653">
        <f t="shared" si="52"/>
        <v>-11796.312599999999</v>
      </c>
      <c r="BX26" s="653">
        <f t="shared" si="53"/>
        <v>-11094.312599999999</v>
      </c>
      <c r="BY26" s="634">
        <f t="shared" si="54"/>
        <v>-1</v>
      </c>
      <c r="BZ26" s="636">
        <f t="shared" si="55"/>
        <v>0</v>
      </c>
      <c r="CA26" s="560">
        <f t="shared" si="56"/>
        <v>0</v>
      </c>
      <c r="CC26" s="553">
        <f t="shared" si="57"/>
        <v>10493</v>
      </c>
      <c r="CD26" s="554">
        <f t="shared" si="19"/>
        <v>11832.956099999999</v>
      </c>
      <c r="CE26" s="554">
        <f t="shared" si="58"/>
        <v>1339.9560999999994</v>
      </c>
      <c r="CF26" s="555">
        <f t="shared" si="59"/>
        <v>749</v>
      </c>
      <c r="CG26" s="555">
        <f t="shared" si="60"/>
        <v>11242</v>
      </c>
      <c r="CH26" s="555">
        <f t="shared" si="20"/>
        <v>0</v>
      </c>
      <c r="CI26" s="652">
        <f t="shared" si="61"/>
        <v>-11242</v>
      </c>
      <c r="CJ26" s="652">
        <f t="shared" si="62"/>
        <v>-12581.956099999999</v>
      </c>
      <c r="CK26" s="652">
        <f t="shared" si="63"/>
        <v>-11832.956099999999</v>
      </c>
      <c r="CL26" s="626">
        <f t="shared" si="64"/>
        <v>-1</v>
      </c>
      <c r="CM26" s="629">
        <f t="shared" si="65"/>
        <v>0</v>
      </c>
      <c r="CN26" s="556">
        <f t="shared" si="66"/>
        <v>0</v>
      </c>
      <c r="CP26" s="550">
        <f t="shared" si="67"/>
        <v>18363</v>
      </c>
      <c r="CQ26" s="564">
        <f t="shared" si="21"/>
        <v>20707.955099999999</v>
      </c>
      <c r="CR26" s="564">
        <f t="shared" si="68"/>
        <v>2344.9550999999992</v>
      </c>
      <c r="CS26" s="565">
        <f t="shared" si="69"/>
        <v>1309</v>
      </c>
      <c r="CT26" s="566">
        <f t="shared" si="76"/>
        <v>19672</v>
      </c>
      <c r="CU26" s="565">
        <f t="shared" si="22"/>
        <v>0</v>
      </c>
      <c r="CV26" s="565">
        <f t="shared" si="70"/>
        <v>-19672</v>
      </c>
      <c r="CW26" s="565">
        <f t="shared" si="71"/>
        <v>-22016.955099999999</v>
      </c>
      <c r="CX26" s="565">
        <f t="shared" si="72"/>
        <v>-20707.955099999999</v>
      </c>
      <c r="CY26" s="626">
        <f t="shared" si="73"/>
        <v>-1</v>
      </c>
      <c r="CZ26" s="629">
        <f t="shared" si="74"/>
        <v>0.11256330664923997</v>
      </c>
      <c r="DA26" s="556">
        <f t="shared" si="75"/>
        <v>1.6343280041747659E-2</v>
      </c>
    </row>
    <row r="27" spans="1:105" x14ac:dyDescent="0.35">
      <c r="F27" s="481"/>
      <c r="G27" s="495"/>
      <c r="H27" s="481"/>
      <c r="I27" s="486"/>
      <c r="J27" s="356"/>
      <c r="K27" s="482"/>
      <c r="L27" s="481"/>
      <c r="M27" s="486"/>
      <c r="N27" s="356"/>
      <c r="O27" s="482"/>
      <c r="P27" s="481"/>
      <c r="Q27" s="486"/>
      <c r="R27" s="356"/>
      <c r="S27" s="482"/>
      <c r="T27" s="481"/>
      <c r="U27" s="486"/>
      <c r="V27" s="356"/>
      <c r="W27" s="482"/>
      <c r="X27" s="481"/>
      <c r="Y27" s="486"/>
      <c r="Z27" s="356"/>
      <c r="AA27" s="482"/>
      <c r="AB27" s="481"/>
      <c r="AC27" s="523"/>
      <c r="AD27" s="393"/>
      <c r="AE27" s="407"/>
      <c r="AF27" s="393"/>
      <c r="AG27" s="407"/>
      <c r="AH27" s="393"/>
      <c r="AI27" s="407"/>
      <c r="AJ27" s="393"/>
      <c r="AK27" s="407"/>
      <c r="AL27" s="393"/>
      <c r="AM27" s="407"/>
      <c r="AN27" s="533"/>
      <c r="AP27" s="550"/>
      <c r="AQ27" s="551"/>
      <c r="AR27" s="551"/>
      <c r="AS27" s="551"/>
      <c r="AT27" s="551"/>
      <c r="AU27" s="551"/>
      <c r="AV27" s="551"/>
      <c r="AW27" s="551"/>
      <c r="AX27" s="551"/>
      <c r="AY27" s="655"/>
      <c r="AZ27" s="550"/>
      <c r="BA27" s="552"/>
      <c r="BC27" s="550"/>
      <c r="BD27" s="551"/>
      <c r="BE27" s="551"/>
      <c r="BF27" s="551"/>
      <c r="BG27" s="551"/>
      <c r="BH27" s="551"/>
      <c r="BI27" s="551"/>
      <c r="BJ27" s="551"/>
      <c r="BK27" s="551"/>
      <c r="BL27" s="616"/>
      <c r="BM27" s="550"/>
      <c r="BN27" s="552"/>
      <c r="BP27" s="557"/>
      <c r="BQ27" s="558"/>
      <c r="BR27" s="558"/>
      <c r="BS27" s="558"/>
      <c r="BT27" s="558"/>
      <c r="BU27" s="558"/>
      <c r="BV27" s="654"/>
      <c r="BW27" s="654"/>
      <c r="BX27" s="654"/>
      <c r="BY27" s="635"/>
      <c r="BZ27" s="562"/>
      <c r="CA27" s="561"/>
      <c r="CC27" s="553"/>
      <c r="CD27" s="554"/>
      <c r="CE27" s="554"/>
      <c r="CF27" s="554"/>
      <c r="CG27" s="554"/>
      <c r="CH27" s="554"/>
      <c r="CI27" s="554"/>
      <c r="CJ27" s="554"/>
      <c r="CK27" s="554"/>
      <c r="CL27" s="616"/>
      <c r="CM27" s="550"/>
      <c r="CN27" s="552"/>
      <c r="CP27" s="550"/>
      <c r="CQ27" s="551"/>
      <c r="CR27" s="551"/>
      <c r="CS27" s="551"/>
      <c r="CT27" s="551"/>
      <c r="CU27" s="551"/>
      <c r="CV27" s="551"/>
      <c r="CW27" s="551"/>
      <c r="CX27" s="551"/>
      <c r="CY27" s="616"/>
      <c r="CZ27" s="550"/>
      <c r="DA27" s="552"/>
    </row>
    <row r="28" spans="1:105" ht="15" thickBot="1" x14ac:dyDescent="0.4">
      <c r="F28" s="493"/>
      <c r="G28" s="496"/>
      <c r="H28" s="483">
        <f>SUM(H14:H27)</f>
        <v>331.90666212696658</v>
      </c>
      <c r="I28" s="487">
        <f>SUM(I14:I27)</f>
        <v>200</v>
      </c>
      <c r="J28" s="484">
        <f t="shared" ref="J28:AB28" si="77">SUM(J14:J27)</f>
        <v>0.45616264294790343</v>
      </c>
      <c r="K28" s="488">
        <f>SUM(K14:K27)</f>
        <v>4</v>
      </c>
      <c r="L28" s="483">
        <f t="shared" si="77"/>
        <v>481.18523625562784</v>
      </c>
      <c r="M28" s="487">
        <f>SUM(M14:M27)</f>
        <v>486</v>
      </c>
      <c r="N28" s="484">
        <f t="shared" si="77"/>
        <v>2.4638319498560053</v>
      </c>
      <c r="O28" s="488">
        <f>SUM(O14:O27)</f>
        <v>1</v>
      </c>
      <c r="P28" s="483">
        <f t="shared" si="77"/>
        <v>306.08757301862164</v>
      </c>
      <c r="Q28" s="487">
        <f>SUM(Q14:Q27)</f>
        <v>0</v>
      </c>
      <c r="R28" s="484">
        <f t="shared" si="77"/>
        <v>2.4643220166700548</v>
      </c>
      <c r="S28" s="488">
        <f>SUM(S14:S27)</f>
        <v>0</v>
      </c>
      <c r="T28" s="483">
        <f t="shared" si="77"/>
        <v>177.9030870485812</v>
      </c>
      <c r="U28" s="487">
        <f>SUM(U14:U27)</f>
        <v>564</v>
      </c>
      <c r="V28" s="484">
        <f t="shared" si="77"/>
        <v>0</v>
      </c>
      <c r="W28" s="488">
        <f>SUM(W14:W27)</f>
        <v>0</v>
      </c>
      <c r="X28" s="483">
        <f t="shared" si="77"/>
        <v>25.154642847084023</v>
      </c>
      <c r="Y28" s="487">
        <f>SUM(Y14:Y27)</f>
        <v>78</v>
      </c>
      <c r="Z28" s="484">
        <f t="shared" si="77"/>
        <v>0</v>
      </c>
      <c r="AA28" s="488">
        <f>SUM(AA14:AA27)</f>
        <v>0</v>
      </c>
      <c r="AB28" s="483">
        <f t="shared" si="77"/>
        <v>0</v>
      </c>
      <c r="AC28" s="530">
        <f>SUM(AC14:AC27)</f>
        <v>30</v>
      </c>
      <c r="AD28" s="396"/>
      <c r="AE28" s="401"/>
      <c r="AF28" s="396"/>
      <c r="AG28" s="401"/>
      <c r="AH28" s="396"/>
      <c r="AI28" s="401"/>
      <c r="AJ28" s="396"/>
      <c r="AK28" s="401"/>
      <c r="AL28" s="396"/>
      <c r="AM28" s="401"/>
      <c r="AN28" s="535"/>
      <c r="AP28" s="396"/>
      <c r="AQ28" s="397"/>
      <c r="AR28" s="397"/>
      <c r="AS28" s="397"/>
      <c r="AT28" s="397"/>
      <c r="AU28" s="397"/>
      <c r="AV28" s="397"/>
      <c r="AW28" s="397"/>
      <c r="AX28" s="397"/>
      <c r="AY28" s="397"/>
      <c r="AZ28" s="396"/>
      <c r="BA28" s="401"/>
      <c r="BC28" s="396"/>
      <c r="BD28" s="397"/>
      <c r="BE28" s="397"/>
      <c r="BF28" s="397"/>
      <c r="BG28" s="397"/>
      <c r="BH28" s="397"/>
      <c r="BI28" s="397"/>
      <c r="BJ28" s="397"/>
      <c r="BK28" s="397"/>
      <c r="BL28" s="397"/>
      <c r="BM28" s="397"/>
      <c r="BN28" s="401"/>
      <c r="BP28" s="396"/>
      <c r="BQ28" s="397"/>
      <c r="BR28" s="397"/>
      <c r="BS28" s="397"/>
      <c r="BT28" s="397"/>
      <c r="BU28" s="397"/>
      <c r="BV28" s="397"/>
      <c r="BW28" s="397"/>
      <c r="BX28" s="397"/>
      <c r="BY28" s="397"/>
      <c r="BZ28" s="397"/>
      <c r="CA28" s="401"/>
      <c r="CC28" s="396"/>
      <c r="CD28" s="397"/>
      <c r="CE28" s="397"/>
      <c r="CF28" s="397"/>
      <c r="CG28" s="397"/>
      <c r="CH28" s="397"/>
      <c r="CI28" s="397"/>
      <c r="CJ28" s="397"/>
      <c r="CK28" s="397"/>
      <c r="CL28" s="397"/>
      <c r="CM28" s="397"/>
      <c r="CN28" s="401"/>
      <c r="CP28" s="396"/>
      <c r="CQ28" s="397"/>
      <c r="CR28" s="397"/>
      <c r="CS28" s="397"/>
      <c r="CT28" s="397"/>
      <c r="CU28" s="397"/>
      <c r="CV28" s="397"/>
      <c r="CW28" s="397"/>
      <c r="CX28" s="397"/>
      <c r="CY28" s="397"/>
      <c r="CZ28" s="397"/>
      <c r="DA28" s="401"/>
    </row>
    <row r="29" spans="1:105" ht="15" thickTop="1" x14ac:dyDescent="0.35"/>
  </sheetData>
  <mergeCells count="37">
    <mergeCell ref="CC2:CC3"/>
    <mergeCell ref="CC4:CC5"/>
    <mergeCell ref="CC6:CC7"/>
    <mergeCell ref="BP10:CA10"/>
    <mergeCell ref="BZ11:CA11"/>
    <mergeCell ref="CC10:CN10"/>
    <mergeCell ref="CM11:CN11"/>
    <mergeCell ref="CP10:DA10"/>
    <mergeCell ref="CZ11:DA11"/>
    <mergeCell ref="AD10:AN10"/>
    <mergeCell ref="AB10:AC10"/>
    <mergeCell ref="T10:W10"/>
    <mergeCell ref="X10:AA10"/>
    <mergeCell ref="AH11:AI11"/>
    <mergeCell ref="AJ11:AK11"/>
    <mergeCell ref="AL11:AM11"/>
    <mergeCell ref="H10:K10"/>
    <mergeCell ref="L10:O10"/>
    <mergeCell ref="P10:S10"/>
    <mergeCell ref="AD11:AE11"/>
    <mergeCell ref="AF11:AG11"/>
    <mergeCell ref="CP2:CP3"/>
    <mergeCell ref="CP4:CP5"/>
    <mergeCell ref="CP6:CP7"/>
    <mergeCell ref="AZ11:BA11"/>
    <mergeCell ref="AP10:BA10"/>
    <mergeCell ref="BC10:BN10"/>
    <mergeCell ref="BM11:BN11"/>
    <mergeCell ref="AP2:AP3"/>
    <mergeCell ref="AP4:AP5"/>
    <mergeCell ref="AP6:AP7"/>
    <mergeCell ref="BC2:BC3"/>
    <mergeCell ref="BC4:BC5"/>
    <mergeCell ref="BC6:BC7"/>
    <mergeCell ref="BP2:BP3"/>
    <mergeCell ref="BP4:BP5"/>
    <mergeCell ref="BP6:BP7"/>
  </mergeCells>
  <pageMargins left="0.2" right="0.22" top="0.74803149606299213" bottom="0.74803149606299213" header="0.31496062992125984" footer="0.31496062992125984"/>
  <pageSetup paperSize="8" scale="17"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AG126"/>
  <sheetViews>
    <sheetView zoomScale="80" zoomScaleNormal="80" workbookViewId="0">
      <pane xSplit="3" ySplit="3" topLeftCell="D54" activePane="bottomRight" state="frozen"/>
      <selection pane="topRight" activeCell="D1" sqref="D1"/>
      <selection pane="bottomLeft" activeCell="A4" sqref="A4"/>
      <selection pane="bottomRight" activeCell="M74" sqref="M74"/>
    </sheetView>
  </sheetViews>
  <sheetFormatPr defaultColWidth="9.1796875" defaultRowHeight="14.5" x14ac:dyDescent="0.35"/>
  <cols>
    <col min="1" max="1" width="23" style="241" customWidth="1"/>
    <col min="2" max="3" width="15.7265625" style="241" customWidth="1"/>
    <col min="4" max="4" width="12.7265625" style="241" customWidth="1"/>
    <col min="5" max="5" width="7.81640625" style="846" customWidth="1"/>
    <col min="6" max="6" width="12.7265625" style="855" customWidth="1"/>
    <col min="7" max="7" width="9" style="848" customWidth="1"/>
    <col min="8" max="8" width="12.7265625" style="241" customWidth="1"/>
    <col min="9" max="9" width="7.7265625" style="846" customWidth="1"/>
    <col min="10" max="10" width="12.7265625" style="855" customWidth="1"/>
    <col min="11" max="11" width="8.54296875" style="848" customWidth="1"/>
    <col min="12" max="12" width="12.7265625" style="855" customWidth="1"/>
    <col min="13" max="13" width="8.54296875" style="848" customWidth="1"/>
    <col min="14" max="14" width="12.7265625" style="241" customWidth="1"/>
    <col min="15" max="15" width="7.7265625" style="846" customWidth="1"/>
    <col min="16" max="16" width="12.7265625" style="855" customWidth="1"/>
    <col min="17" max="17" width="7.7265625" style="848" customWidth="1"/>
    <col min="18" max="18" width="12.7265625" style="241" customWidth="1"/>
    <col min="19" max="19" width="7.7265625" style="846" customWidth="1"/>
    <col min="20" max="20" width="12.7265625" style="855" customWidth="1"/>
    <col min="21" max="21" width="8.54296875" style="848" customWidth="1"/>
    <col min="22" max="22" width="12.7265625" style="241" customWidth="1"/>
    <col min="23" max="23" width="7.7265625" style="846" customWidth="1"/>
    <col min="24" max="24" width="12.7265625" style="241" customWidth="1"/>
    <col min="25" max="25" width="7.7265625" style="846" customWidth="1"/>
    <col min="26" max="26" width="12.7265625" style="241" customWidth="1"/>
    <col min="27" max="27" width="7.7265625" style="846" customWidth="1"/>
    <col min="28" max="28" width="12.7265625" style="241" customWidth="1"/>
    <col min="29" max="29" width="7.7265625" style="846" customWidth="1"/>
    <col min="30" max="30" width="9.1796875" style="241"/>
    <col min="31" max="31" width="11.81640625" style="241" customWidth="1"/>
    <col min="32" max="32" width="13.54296875" style="241" customWidth="1"/>
    <col min="33" max="33" width="10.26953125" style="241" bestFit="1" customWidth="1"/>
    <col min="34" max="16384" width="9.1796875" style="241"/>
  </cols>
  <sheetData>
    <row r="1" spans="1:33" x14ac:dyDescent="0.35">
      <c r="D1" s="745">
        <v>125</v>
      </c>
      <c r="E1" s="746"/>
      <c r="F1" s="747" t="s">
        <v>266</v>
      </c>
      <c r="G1" s="748"/>
      <c r="H1" s="745">
        <v>127</v>
      </c>
      <c r="I1" s="746"/>
      <c r="J1" s="747" t="s">
        <v>267</v>
      </c>
      <c r="K1" s="748"/>
      <c r="L1" s="747" t="s">
        <v>268</v>
      </c>
      <c r="M1" s="748"/>
      <c r="N1" s="745">
        <v>137</v>
      </c>
      <c r="O1" s="746"/>
      <c r="P1" s="747" t="s">
        <v>269</v>
      </c>
      <c r="Q1" s="748"/>
      <c r="R1" s="745">
        <v>139</v>
      </c>
      <c r="S1" s="746"/>
      <c r="T1" s="747" t="s">
        <v>270</v>
      </c>
      <c r="U1" s="748"/>
      <c r="V1" s="745">
        <v>143</v>
      </c>
      <c r="W1" s="746"/>
      <c r="X1" s="745">
        <v>144</v>
      </c>
      <c r="Y1" s="746"/>
      <c r="Z1" s="745">
        <v>145</v>
      </c>
      <c r="AA1" s="746"/>
      <c r="AB1" s="745"/>
      <c r="AC1" s="746"/>
    </row>
    <row r="2" spans="1:33" x14ac:dyDescent="0.35">
      <c r="D2" s="1277" t="s">
        <v>271</v>
      </c>
      <c r="E2" s="1278"/>
      <c r="F2" s="1282" t="s">
        <v>272</v>
      </c>
      <c r="G2" s="1283"/>
      <c r="H2" s="1277" t="s">
        <v>273</v>
      </c>
      <c r="I2" s="1278"/>
      <c r="J2" s="1282" t="s">
        <v>274</v>
      </c>
      <c r="K2" s="1283"/>
      <c r="L2" s="1282" t="s">
        <v>275</v>
      </c>
      <c r="M2" s="1283"/>
      <c r="N2" s="1277" t="s">
        <v>276</v>
      </c>
      <c r="O2" s="1278"/>
      <c r="P2" s="1282" t="s">
        <v>277</v>
      </c>
      <c r="Q2" s="1283"/>
      <c r="R2" s="1277" t="s">
        <v>278</v>
      </c>
      <c r="S2" s="1278"/>
      <c r="T2" s="1282" t="s">
        <v>279</v>
      </c>
      <c r="U2" s="1283"/>
      <c r="V2" s="1277" t="s">
        <v>280</v>
      </c>
      <c r="W2" s="1278"/>
      <c r="X2" s="1277" t="s">
        <v>281</v>
      </c>
      <c r="Y2" s="1278"/>
      <c r="Z2" s="1277" t="s">
        <v>23</v>
      </c>
      <c r="AA2" s="1278"/>
      <c r="AB2" s="1277" t="s">
        <v>24</v>
      </c>
      <c r="AC2" s="1278"/>
      <c r="AD2" s="749"/>
    </row>
    <row r="3" spans="1:33" x14ac:dyDescent="0.35">
      <c r="D3" s="750" t="s">
        <v>282</v>
      </c>
      <c r="E3" s="751" t="s">
        <v>283</v>
      </c>
      <c r="F3" s="752" t="s">
        <v>282</v>
      </c>
      <c r="G3" s="753" t="s">
        <v>283</v>
      </c>
      <c r="H3" s="750" t="s">
        <v>282</v>
      </c>
      <c r="I3" s="751" t="s">
        <v>283</v>
      </c>
      <c r="J3" s="752" t="s">
        <v>282</v>
      </c>
      <c r="K3" s="753" t="s">
        <v>283</v>
      </c>
      <c r="L3" s="754"/>
      <c r="M3" s="753" t="s">
        <v>283</v>
      </c>
      <c r="N3" s="750" t="s">
        <v>282</v>
      </c>
      <c r="O3" s="751" t="s">
        <v>283</v>
      </c>
      <c r="P3" s="752" t="s">
        <v>282</v>
      </c>
      <c r="Q3" s="753" t="s">
        <v>283</v>
      </c>
      <c r="R3" s="750" t="s">
        <v>282</v>
      </c>
      <c r="S3" s="751" t="s">
        <v>283</v>
      </c>
      <c r="T3" s="752" t="s">
        <v>282</v>
      </c>
      <c r="U3" s="753" t="s">
        <v>283</v>
      </c>
      <c r="V3" s="750" t="s">
        <v>282</v>
      </c>
      <c r="W3" s="751" t="s">
        <v>283</v>
      </c>
      <c r="X3" s="750" t="s">
        <v>282</v>
      </c>
      <c r="Y3" s="751" t="s">
        <v>283</v>
      </c>
      <c r="Z3" s="750" t="s">
        <v>282</v>
      </c>
      <c r="AA3" s="751" t="s">
        <v>283</v>
      </c>
      <c r="AB3" s="750" t="s">
        <v>282</v>
      </c>
      <c r="AC3" s="751" t="s">
        <v>283</v>
      </c>
    </row>
    <row r="4" spans="1:33" x14ac:dyDescent="0.35">
      <c r="D4" s="755"/>
      <c r="E4" s="756"/>
      <c r="F4" s="757"/>
      <c r="G4" s="758"/>
      <c r="H4" s="755"/>
      <c r="I4" s="756"/>
      <c r="J4" s="757"/>
      <c r="K4" s="758"/>
      <c r="L4" s="757"/>
      <c r="M4" s="758"/>
      <c r="N4" s="755"/>
      <c r="O4" s="756"/>
      <c r="P4" s="757"/>
      <c r="Q4" s="758"/>
      <c r="R4" s="755"/>
      <c r="S4" s="756"/>
      <c r="T4" s="757"/>
      <c r="U4" s="758"/>
      <c r="V4" s="755"/>
      <c r="W4" s="756"/>
      <c r="X4" s="755"/>
      <c r="Y4" s="756"/>
      <c r="Z4" s="755"/>
      <c r="AA4" s="756"/>
      <c r="AB4" s="755"/>
      <c r="AC4" s="756"/>
    </row>
    <row r="5" spans="1:33" ht="29.5" thickBot="1" x14ac:dyDescent="0.4">
      <c r="B5" s="241" t="s">
        <v>161</v>
      </c>
      <c r="C5" s="749" t="s">
        <v>162</v>
      </c>
      <c r="D5" s="755"/>
      <c r="E5" s="756"/>
      <c r="F5" s="757"/>
      <c r="G5" s="758"/>
      <c r="H5" s="755"/>
      <c r="I5" s="756"/>
      <c r="J5" s="757"/>
      <c r="K5" s="758"/>
      <c r="L5" s="757"/>
      <c r="M5" s="758"/>
      <c r="N5" s="755"/>
      <c r="O5" s="756"/>
      <c r="P5" s="757"/>
      <c r="Q5" s="758"/>
      <c r="R5" s="755"/>
      <c r="S5" s="756"/>
      <c r="T5" s="757"/>
      <c r="U5" s="758"/>
      <c r="V5" s="755"/>
      <c r="W5" s="756"/>
      <c r="X5" s="755"/>
      <c r="Y5" s="756"/>
      <c r="Z5" s="755"/>
      <c r="AA5" s="756"/>
      <c r="AB5" s="755"/>
      <c r="AC5" s="756"/>
    </row>
    <row r="6" spans="1:33" x14ac:dyDescent="0.35">
      <c r="A6" s="242" t="s">
        <v>32</v>
      </c>
      <c r="B6" s="243">
        <v>1938.8999999999999</v>
      </c>
      <c r="C6" s="759">
        <v>2229.85</v>
      </c>
      <c r="D6" s="870">
        <v>113344.82191780821</v>
      </c>
      <c r="E6" s="756">
        <f>D6/B6</f>
        <v>58.458312402809952</v>
      </c>
      <c r="F6" s="757">
        <v>58841.452054794521</v>
      </c>
      <c r="G6" s="758">
        <f>F6/C6</f>
        <v>26.388076352577315</v>
      </c>
      <c r="H6" s="760">
        <v>20455.121917808217</v>
      </c>
      <c r="I6" s="756">
        <v>10.549859156123688</v>
      </c>
      <c r="J6" s="757">
        <v>54981.505651789659</v>
      </c>
      <c r="K6" s="758">
        <f>J6/C6</f>
        <v>24.657042245796649</v>
      </c>
      <c r="L6" s="757">
        <v>10731.545903362947</v>
      </c>
      <c r="M6" s="758">
        <f>L6/C6</f>
        <v>4.8126761456434055</v>
      </c>
      <c r="N6" s="755">
        <v>7716.9951391957584</v>
      </c>
      <c r="O6" s="756">
        <f>N6/B6</f>
        <v>3.9800892976408062</v>
      </c>
      <c r="P6" s="757">
        <v>11724.301369863015</v>
      </c>
      <c r="Q6" s="758">
        <f>P6/C6</f>
        <v>5.2578879161661165</v>
      </c>
      <c r="R6" s="755">
        <v>30620.536765355726</v>
      </c>
      <c r="S6" s="756">
        <f>R6/B6</f>
        <v>15.79273648220936</v>
      </c>
      <c r="T6" s="757">
        <v>12557.057534246575</v>
      </c>
      <c r="U6" s="758">
        <f>T6/C6</f>
        <v>5.6313462942559251</v>
      </c>
      <c r="V6" s="755">
        <v>107105.13698630137</v>
      </c>
      <c r="W6" s="756">
        <f>V6/B6</f>
        <v>55.240155235598216</v>
      </c>
      <c r="X6" s="755">
        <v>85788.641095890402</v>
      </c>
      <c r="Y6" s="756">
        <f>X6/B6</f>
        <v>44.246036977611226</v>
      </c>
      <c r="Z6" s="755">
        <v>17793</v>
      </c>
      <c r="AA6" s="756">
        <f>Z6/B6</f>
        <v>9.1768528547114343</v>
      </c>
      <c r="AB6" s="755">
        <v>0</v>
      </c>
      <c r="AC6" s="756"/>
      <c r="AE6" s="761">
        <f t="shared" ref="AE6:AE16" si="0">D6+F6+H6+J6+L6+N6+P6+R6+T6+V6+X6+Z6+AB6</f>
        <v>531660.11633641645</v>
      </c>
      <c r="AF6" s="241">
        <f>'[2]15-16 MTU Summary '!ER163</f>
        <v>438524.62191780802</v>
      </c>
      <c r="AG6" s="241">
        <f>AE6-AF6</f>
        <v>93135.494418608432</v>
      </c>
    </row>
    <row r="7" spans="1:33" s="767" customFormat="1" ht="15" thickBot="1" x14ac:dyDescent="0.4">
      <c r="A7" s="245" t="s">
        <v>163</v>
      </c>
      <c r="B7" s="246">
        <v>969.44999999999993</v>
      </c>
      <c r="C7" s="762">
        <v>1114.925</v>
      </c>
      <c r="D7" s="871">
        <v>0</v>
      </c>
      <c r="E7" s="756">
        <f t="shared" ref="E7:E15" si="1">D7/B7</f>
        <v>0</v>
      </c>
      <c r="F7" s="764">
        <v>0</v>
      </c>
      <c r="G7" s="758">
        <f t="shared" ref="G7:G15" si="2">F7/C7</f>
        <v>0</v>
      </c>
      <c r="H7" s="765">
        <v>1069</v>
      </c>
      <c r="I7" s="756">
        <v>1.1026870906183919</v>
      </c>
      <c r="J7" s="764">
        <v>0</v>
      </c>
      <c r="K7" s="758">
        <f t="shared" ref="K7:K15" si="3">J7/C7</f>
        <v>0</v>
      </c>
      <c r="L7" s="764">
        <v>0</v>
      </c>
      <c r="M7" s="758">
        <f t="shared" ref="M7:M16" si="4">L7/C7</f>
        <v>0</v>
      </c>
      <c r="N7" s="763">
        <v>0</v>
      </c>
      <c r="O7" s="756">
        <f t="shared" ref="O7:O15" si="5">N7/B7</f>
        <v>0</v>
      </c>
      <c r="P7" s="764">
        <v>0</v>
      </c>
      <c r="Q7" s="758">
        <f t="shared" ref="Q7:Q15" si="6">P7/C7</f>
        <v>0</v>
      </c>
      <c r="R7" s="763">
        <v>0</v>
      </c>
      <c r="S7" s="756">
        <f t="shared" ref="S7:S15" si="7">R7/B7</f>
        <v>0</v>
      </c>
      <c r="T7" s="764">
        <v>0</v>
      </c>
      <c r="U7" s="758">
        <f t="shared" ref="U7:U15" si="8">T7/C7</f>
        <v>0</v>
      </c>
      <c r="V7" s="763">
        <v>0</v>
      </c>
      <c r="W7" s="756">
        <f t="shared" ref="W7:W15" si="9">V7/B7</f>
        <v>0</v>
      </c>
      <c r="X7" s="763">
        <v>1751.5712328767122</v>
      </c>
      <c r="Y7" s="756">
        <f t="shared" ref="Y7:Y15" si="10">X7/B7</f>
        <v>1.8067679951278688</v>
      </c>
      <c r="Z7" s="763">
        <v>0</v>
      </c>
      <c r="AA7" s="756">
        <f t="shared" ref="AA7:AA15" si="11">Z7/B7</f>
        <v>0</v>
      </c>
      <c r="AB7" s="763">
        <v>0</v>
      </c>
      <c r="AC7" s="766"/>
      <c r="AE7" s="767">
        <f t="shared" si="0"/>
        <v>2820.5712328767122</v>
      </c>
      <c r="AF7" s="767">
        <f>'[2]15-16 MTU Summary '!ER164</f>
        <v>1233.4356164383562</v>
      </c>
      <c r="AG7" s="241">
        <f t="shared" ref="AG7:AG16" si="12">AE7-AF7</f>
        <v>1587.135616438356</v>
      </c>
    </row>
    <row r="8" spans="1:33" x14ac:dyDescent="0.35">
      <c r="A8" s="242" t="s">
        <v>33</v>
      </c>
      <c r="B8" s="243">
        <v>7272.5999999999995</v>
      </c>
      <c r="C8" s="759">
        <v>8363.9499999999989</v>
      </c>
      <c r="D8" s="870">
        <v>228935.14246575342</v>
      </c>
      <c r="E8" s="756">
        <f t="shared" si="1"/>
        <v>31.47913297386814</v>
      </c>
      <c r="F8" s="757">
        <f>98850.7397260274+13314</f>
        <v>112164.7397260274</v>
      </c>
      <c r="G8" s="758">
        <f t="shared" si="2"/>
        <v>13.410498595284215</v>
      </c>
      <c r="H8" s="760">
        <v>327427.39452054794</v>
      </c>
      <c r="I8" s="756">
        <v>45.022054632531415</v>
      </c>
      <c r="J8" s="757">
        <v>92737.103991497395</v>
      </c>
      <c r="K8" s="758">
        <f t="shared" si="3"/>
        <v>11.087716209625524</v>
      </c>
      <c r="L8" s="757">
        <v>26334.663013698628</v>
      </c>
      <c r="M8" s="758">
        <f t="shared" si="4"/>
        <v>3.1485916359732697</v>
      </c>
      <c r="N8" s="755">
        <v>72559.095890410958</v>
      </c>
      <c r="O8" s="756">
        <f t="shared" si="5"/>
        <v>9.9770502833114652</v>
      </c>
      <c r="P8" s="757">
        <v>48877.841095890413</v>
      </c>
      <c r="Q8" s="758">
        <f t="shared" si="6"/>
        <v>5.8438705511021016</v>
      </c>
      <c r="R8" s="755">
        <v>417879.56109589047</v>
      </c>
      <c r="S8" s="756">
        <f t="shared" si="7"/>
        <v>57.459445190975785</v>
      </c>
      <c r="T8" s="757">
        <v>149974.69041095892</v>
      </c>
      <c r="U8" s="758">
        <f t="shared" si="8"/>
        <v>17.931084046528127</v>
      </c>
      <c r="V8" s="755">
        <v>254903.55890410964</v>
      </c>
      <c r="W8" s="756">
        <f t="shared" si="9"/>
        <v>35.049852721737707</v>
      </c>
      <c r="X8" s="755">
        <v>822678.83315068483</v>
      </c>
      <c r="Y8" s="756">
        <f t="shared" si="10"/>
        <v>113.12031916380454</v>
      </c>
      <c r="Z8" s="755">
        <v>337012.03</v>
      </c>
      <c r="AA8" s="756">
        <f t="shared" si="11"/>
        <v>46.339965074388807</v>
      </c>
      <c r="AB8" s="755">
        <v>0</v>
      </c>
      <c r="AC8" s="756"/>
      <c r="AE8" s="241">
        <f t="shared" si="0"/>
        <v>2891484.6542654699</v>
      </c>
      <c r="AF8" s="241">
        <f>'[2]15-16 MTU Summary '!ES163</f>
        <v>2510399.0516894967</v>
      </c>
      <c r="AG8" s="241">
        <f t="shared" si="12"/>
        <v>381085.60257597314</v>
      </c>
    </row>
    <row r="9" spans="1:33" s="767" customFormat="1" ht="15" thickBot="1" x14ac:dyDescent="0.4">
      <c r="A9" s="245" t="s">
        <v>164</v>
      </c>
      <c r="B9" s="246">
        <v>3636.2999999999997</v>
      </c>
      <c r="C9" s="762">
        <v>4181.9749999999995</v>
      </c>
      <c r="D9" s="871">
        <v>0</v>
      </c>
      <c r="E9" s="756">
        <f t="shared" si="1"/>
        <v>0</v>
      </c>
      <c r="F9" s="764">
        <v>0</v>
      </c>
      <c r="G9" s="758">
        <f t="shared" si="2"/>
        <v>0</v>
      </c>
      <c r="H9" s="765">
        <v>0</v>
      </c>
      <c r="I9" s="756">
        <v>0</v>
      </c>
      <c r="J9" s="764">
        <v>0</v>
      </c>
      <c r="K9" s="758">
        <f t="shared" si="3"/>
        <v>0</v>
      </c>
      <c r="L9" s="764">
        <v>0</v>
      </c>
      <c r="M9" s="758">
        <f t="shared" si="4"/>
        <v>0</v>
      </c>
      <c r="N9" s="763">
        <v>0</v>
      </c>
      <c r="O9" s="756">
        <f t="shared" si="5"/>
        <v>0</v>
      </c>
      <c r="P9" s="764">
        <v>0</v>
      </c>
      <c r="Q9" s="758">
        <f t="shared" si="6"/>
        <v>0</v>
      </c>
      <c r="R9" s="763">
        <v>2781</v>
      </c>
      <c r="S9" s="756">
        <f t="shared" si="7"/>
        <v>0.76478838379671654</v>
      </c>
      <c r="T9" s="764">
        <v>0</v>
      </c>
      <c r="U9" s="758">
        <f t="shared" si="8"/>
        <v>0</v>
      </c>
      <c r="V9" s="763">
        <v>0</v>
      </c>
      <c r="W9" s="756">
        <f t="shared" si="9"/>
        <v>0</v>
      </c>
      <c r="X9" s="763">
        <v>4978.4671232876717</v>
      </c>
      <c r="Y9" s="756">
        <f t="shared" si="10"/>
        <v>1.3691024181964282</v>
      </c>
      <c r="Z9" s="763">
        <v>0</v>
      </c>
      <c r="AA9" s="756">
        <f t="shared" si="11"/>
        <v>0</v>
      </c>
      <c r="AB9" s="763">
        <v>0</v>
      </c>
      <c r="AC9" s="766"/>
      <c r="AE9" s="767">
        <f t="shared" si="0"/>
        <v>7759.4671232876717</v>
      </c>
      <c r="AF9" s="767">
        <f>'[2]15-16 MTU Summary '!ES164</f>
        <v>5770.8575342465747</v>
      </c>
      <c r="AG9" s="241">
        <f t="shared" si="12"/>
        <v>1988.609589041097</v>
      </c>
    </row>
    <row r="10" spans="1:33" x14ac:dyDescent="0.35">
      <c r="A10" s="242" t="s">
        <v>34</v>
      </c>
      <c r="B10" s="243">
        <v>12120.999999999998</v>
      </c>
      <c r="C10" s="759">
        <v>13939.15</v>
      </c>
      <c r="D10" s="870">
        <v>215299.94520547945</v>
      </c>
      <c r="E10" s="756">
        <f t="shared" si="1"/>
        <v>17.762556324187731</v>
      </c>
      <c r="F10" s="757">
        <v>43131.884931506851</v>
      </c>
      <c r="G10" s="758">
        <f t="shared" si="2"/>
        <v>3.0942980692156157</v>
      </c>
      <c r="H10" s="760">
        <v>398507.01095890423</v>
      </c>
      <c r="I10" s="756">
        <v>32.877403758675378</v>
      </c>
      <c r="J10" s="757">
        <v>32602.600000000002</v>
      </c>
      <c r="K10" s="758">
        <f t="shared" si="3"/>
        <v>2.3389231050673822</v>
      </c>
      <c r="L10" s="757">
        <v>27511.235616438356</v>
      </c>
      <c r="M10" s="758">
        <f t="shared" si="4"/>
        <v>1.9736666594762491</v>
      </c>
      <c r="N10" s="755">
        <v>164352.4</v>
      </c>
      <c r="O10" s="756">
        <f t="shared" si="5"/>
        <v>13.559310287930041</v>
      </c>
      <c r="P10" s="757">
        <v>53503.315068493146</v>
      </c>
      <c r="Q10" s="758">
        <f t="shared" si="6"/>
        <v>3.838348469490116</v>
      </c>
      <c r="R10" s="755">
        <v>477401.10684931517</v>
      </c>
      <c r="S10" s="756">
        <f t="shared" si="7"/>
        <v>39.386280574978571</v>
      </c>
      <c r="T10" s="757">
        <v>231845.66849315065</v>
      </c>
      <c r="U10" s="758">
        <f t="shared" si="8"/>
        <v>16.632697724979689</v>
      </c>
      <c r="V10" s="755">
        <v>140307.51506849314</v>
      </c>
      <c r="W10" s="756">
        <f t="shared" si="9"/>
        <v>11.575572565670585</v>
      </c>
      <c r="X10" s="755">
        <v>1175287.2702283086</v>
      </c>
      <c r="Y10" s="756">
        <f t="shared" si="10"/>
        <v>96.962896644526751</v>
      </c>
      <c r="Z10" s="755">
        <v>152495</v>
      </c>
      <c r="AA10" s="756">
        <f t="shared" si="11"/>
        <v>12.581057668509201</v>
      </c>
      <c r="AB10" s="755">
        <v>0</v>
      </c>
      <c r="AC10" s="756"/>
      <c r="AE10" s="241">
        <f t="shared" si="0"/>
        <v>3112244.9524200894</v>
      </c>
      <c r="AF10" s="241">
        <f>'[2]15-16 MTU Summary '!ET163</f>
        <v>2802574.209250256</v>
      </c>
      <c r="AG10" s="241">
        <f t="shared" si="12"/>
        <v>309670.74316983344</v>
      </c>
    </row>
    <row r="11" spans="1:33" s="767" customFormat="1" ht="15" thickBot="1" x14ac:dyDescent="0.4">
      <c r="A11" s="245" t="s">
        <v>165</v>
      </c>
      <c r="B11" s="246">
        <v>6060.4999999999991</v>
      </c>
      <c r="C11" s="762">
        <v>6969.5749999999998</v>
      </c>
      <c r="D11" s="871">
        <v>0</v>
      </c>
      <c r="E11" s="756">
        <f t="shared" si="1"/>
        <v>0</v>
      </c>
      <c r="F11" s="764">
        <v>0</v>
      </c>
      <c r="G11" s="758">
        <f t="shared" si="2"/>
        <v>0</v>
      </c>
      <c r="H11" s="765">
        <v>0</v>
      </c>
      <c r="I11" s="756">
        <v>0</v>
      </c>
      <c r="J11" s="764">
        <v>0</v>
      </c>
      <c r="K11" s="758">
        <f t="shared" si="3"/>
        <v>0</v>
      </c>
      <c r="L11" s="764">
        <v>0</v>
      </c>
      <c r="M11" s="758">
        <f t="shared" si="4"/>
        <v>0</v>
      </c>
      <c r="N11" s="763">
        <v>0</v>
      </c>
      <c r="O11" s="756">
        <f t="shared" si="5"/>
        <v>0</v>
      </c>
      <c r="P11" s="764">
        <v>0</v>
      </c>
      <c r="Q11" s="758">
        <f t="shared" si="6"/>
        <v>0</v>
      </c>
      <c r="R11" s="763">
        <v>0</v>
      </c>
      <c r="S11" s="756">
        <f t="shared" si="7"/>
        <v>0</v>
      </c>
      <c r="T11" s="764">
        <v>0</v>
      </c>
      <c r="U11" s="758">
        <f t="shared" si="8"/>
        <v>0</v>
      </c>
      <c r="V11" s="763">
        <v>0</v>
      </c>
      <c r="W11" s="756">
        <f t="shared" si="9"/>
        <v>0</v>
      </c>
      <c r="X11" s="763">
        <v>0</v>
      </c>
      <c r="Y11" s="756">
        <f t="shared" si="10"/>
        <v>0</v>
      </c>
      <c r="Z11" s="763">
        <v>0</v>
      </c>
      <c r="AA11" s="756">
        <f t="shared" si="11"/>
        <v>0</v>
      </c>
      <c r="AB11" s="763">
        <v>0</v>
      </c>
      <c r="AC11" s="766"/>
      <c r="AE11" s="767">
        <f t="shared" si="0"/>
        <v>0</v>
      </c>
      <c r="AF11" s="767">
        <f>'[2]15-16 MTU Summary '!ET164</f>
        <v>13301.435616438357</v>
      </c>
      <c r="AG11" s="241">
        <f t="shared" si="12"/>
        <v>-13301.435616438357</v>
      </c>
    </row>
    <row r="12" spans="1:33" x14ac:dyDescent="0.35">
      <c r="A12" s="242" t="s">
        <v>35</v>
      </c>
      <c r="B12" s="243">
        <v>12928.3</v>
      </c>
      <c r="C12" s="759">
        <v>14867.199999999999</v>
      </c>
      <c r="D12" s="870">
        <f>67923.6219178082+12094</f>
        <v>80017.621917808196</v>
      </c>
      <c r="E12" s="756">
        <f t="shared" si="1"/>
        <v>6.1893382670427046</v>
      </c>
      <c r="F12" s="757">
        <v>0</v>
      </c>
      <c r="G12" s="758">
        <f t="shared" si="2"/>
        <v>0</v>
      </c>
      <c r="H12" s="760">
        <v>419885.50273972587</v>
      </c>
      <c r="I12" s="756">
        <v>32.478013562473478</v>
      </c>
      <c r="J12" s="757">
        <v>26218.895890410964</v>
      </c>
      <c r="K12" s="758">
        <f t="shared" si="3"/>
        <v>1.7635395965892009</v>
      </c>
      <c r="L12" s="757">
        <v>35080.352397641211</v>
      </c>
      <c r="M12" s="758">
        <f t="shared" si="4"/>
        <v>2.3595803108615754</v>
      </c>
      <c r="N12" s="755">
        <v>126874.38401826484</v>
      </c>
      <c r="O12" s="756">
        <f t="shared" si="5"/>
        <v>9.8136942999671142</v>
      </c>
      <c r="P12" s="757">
        <v>14866.999999999998</v>
      </c>
      <c r="Q12" s="758">
        <f t="shared" si="6"/>
        <v>0.99998654756780025</v>
      </c>
      <c r="R12" s="755">
        <v>54048.923287671234</v>
      </c>
      <c r="S12" s="756">
        <f t="shared" si="7"/>
        <v>4.1806674727281417</v>
      </c>
      <c r="T12" s="757">
        <v>43751.758904109578</v>
      </c>
      <c r="U12" s="758">
        <f t="shared" si="8"/>
        <v>2.9428378513848998</v>
      </c>
      <c r="V12" s="755">
        <v>66512.791780821906</v>
      </c>
      <c r="W12" s="756">
        <f t="shared" si="9"/>
        <v>5.1447438395474974</v>
      </c>
      <c r="X12" s="755">
        <v>575846.16616438341</v>
      </c>
      <c r="Y12" s="756">
        <f t="shared" si="10"/>
        <v>44.541522564017193</v>
      </c>
      <c r="Z12" s="755">
        <v>230619.08</v>
      </c>
      <c r="AA12" s="756">
        <f t="shared" si="11"/>
        <v>17.838314395550846</v>
      </c>
      <c r="AB12" s="755">
        <v>0</v>
      </c>
      <c r="AC12" s="756"/>
      <c r="AE12" s="241">
        <f t="shared" si="0"/>
        <v>1673722.477100837</v>
      </c>
      <c r="AF12" s="241">
        <f>'[2]15-16 MTU Summary '!EU163</f>
        <v>1444345.9772867877</v>
      </c>
      <c r="AG12" s="241">
        <f t="shared" si="12"/>
        <v>229376.49981404934</v>
      </c>
    </row>
    <row r="13" spans="1:33" s="767" customFormat="1" ht="15" thickBot="1" x14ac:dyDescent="0.4">
      <c r="A13" s="245" t="s">
        <v>166</v>
      </c>
      <c r="B13" s="246">
        <v>6464.15</v>
      </c>
      <c r="C13" s="762">
        <v>7433.5999999999995</v>
      </c>
      <c r="D13" s="871">
        <v>0</v>
      </c>
      <c r="E13" s="756">
        <f t="shared" si="1"/>
        <v>0</v>
      </c>
      <c r="F13" s="764">
        <v>0</v>
      </c>
      <c r="G13" s="758">
        <f t="shared" si="2"/>
        <v>0</v>
      </c>
      <c r="H13" s="765">
        <v>1062</v>
      </c>
      <c r="I13" s="756">
        <v>0.16429074201557825</v>
      </c>
      <c r="J13" s="764">
        <v>0</v>
      </c>
      <c r="K13" s="758">
        <f t="shared" si="3"/>
        <v>0</v>
      </c>
      <c r="L13" s="764">
        <v>0</v>
      </c>
      <c r="M13" s="758">
        <f t="shared" si="4"/>
        <v>0</v>
      </c>
      <c r="N13" s="763">
        <v>3343</v>
      </c>
      <c r="O13" s="756">
        <f t="shared" si="5"/>
        <v>0.51716002877408473</v>
      </c>
      <c r="P13" s="764">
        <v>0</v>
      </c>
      <c r="Q13" s="758">
        <f t="shared" si="6"/>
        <v>0</v>
      </c>
      <c r="R13" s="763">
        <v>1647</v>
      </c>
      <c r="S13" s="756">
        <f t="shared" si="7"/>
        <v>0.25478987956653237</v>
      </c>
      <c r="T13" s="764">
        <v>0</v>
      </c>
      <c r="U13" s="758">
        <f t="shared" si="8"/>
        <v>0</v>
      </c>
      <c r="V13" s="763">
        <v>0</v>
      </c>
      <c r="W13" s="756">
        <f t="shared" si="9"/>
        <v>0</v>
      </c>
      <c r="X13" s="763">
        <v>21747.661643835614</v>
      </c>
      <c r="Y13" s="756">
        <f t="shared" si="10"/>
        <v>3.3643497820804926</v>
      </c>
      <c r="Z13" s="763">
        <v>0</v>
      </c>
      <c r="AA13" s="756">
        <f t="shared" si="11"/>
        <v>0</v>
      </c>
      <c r="AB13" s="763">
        <v>0</v>
      </c>
      <c r="AC13" s="766"/>
      <c r="AE13" s="767">
        <f t="shared" si="0"/>
        <v>27799.661643835614</v>
      </c>
      <c r="AF13" s="767">
        <f>'[2]15-16 MTU Summary '!EU164</f>
        <v>33427.38082191781</v>
      </c>
      <c r="AG13" s="241">
        <f t="shared" si="12"/>
        <v>-5627.7191780821959</v>
      </c>
    </row>
    <row r="14" spans="1:33" x14ac:dyDescent="0.35">
      <c r="A14" s="242" t="s">
        <v>36</v>
      </c>
      <c r="B14" s="243">
        <v>22625.1</v>
      </c>
      <c r="C14" s="759">
        <v>26018.749999999996</v>
      </c>
      <c r="D14" s="870">
        <v>0</v>
      </c>
      <c r="E14" s="756">
        <f t="shared" si="1"/>
        <v>0</v>
      </c>
      <c r="F14" s="757">
        <v>0</v>
      </c>
      <c r="G14" s="758">
        <f t="shared" si="2"/>
        <v>0</v>
      </c>
      <c r="H14" s="760">
        <v>36324.095890410965</v>
      </c>
      <c r="I14" s="756">
        <v>1.6054778051991359</v>
      </c>
      <c r="J14" s="757">
        <v>0</v>
      </c>
      <c r="K14" s="758">
        <f t="shared" si="3"/>
        <v>0</v>
      </c>
      <c r="L14" s="757">
        <v>37210.637207247019</v>
      </c>
      <c r="M14" s="758">
        <f t="shared" si="4"/>
        <v>1.4301469981166284</v>
      </c>
      <c r="N14" s="755">
        <v>9300</v>
      </c>
      <c r="O14" s="756">
        <f t="shared" si="5"/>
        <v>0.41104790697057697</v>
      </c>
      <c r="P14" s="757">
        <v>0</v>
      </c>
      <c r="Q14" s="758">
        <f t="shared" si="6"/>
        <v>0</v>
      </c>
      <c r="R14" s="755">
        <v>9731.5890410958909</v>
      </c>
      <c r="S14" s="756">
        <f t="shared" si="7"/>
        <v>0.43012358138067419</v>
      </c>
      <c r="T14" s="757">
        <v>0</v>
      </c>
      <c r="U14" s="758">
        <f t="shared" si="8"/>
        <v>0</v>
      </c>
      <c r="V14" s="755">
        <v>0</v>
      </c>
      <c r="W14" s="756">
        <f t="shared" si="9"/>
        <v>0</v>
      </c>
      <c r="X14" s="755">
        <v>78271.089041095896</v>
      </c>
      <c r="Y14" s="756">
        <f t="shared" si="10"/>
        <v>3.4594803577043152</v>
      </c>
      <c r="Z14" s="755">
        <v>9484</v>
      </c>
      <c r="AA14" s="756">
        <f t="shared" si="11"/>
        <v>0.41918046771063999</v>
      </c>
      <c r="AB14" s="755">
        <v>135750</v>
      </c>
      <c r="AC14" s="756">
        <f>AB14/B14</f>
        <v>5.9999734807801959</v>
      </c>
      <c r="AE14" s="241">
        <f t="shared" si="0"/>
        <v>316071.41117984976</v>
      </c>
      <c r="AF14" s="241">
        <f>'[2]15-16 MTU Summary '!EV163</f>
        <v>364216.50593607308</v>
      </c>
      <c r="AG14" s="241">
        <f t="shared" si="12"/>
        <v>-48145.09475622332</v>
      </c>
    </row>
    <row r="15" spans="1:33" s="767" customFormat="1" ht="15" thickBot="1" x14ac:dyDescent="0.4">
      <c r="A15" s="245" t="s">
        <v>167</v>
      </c>
      <c r="B15" s="246">
        <v>11312.55</v>
      </c>
      <c r="C15" s="762">
        <v>13009.374999999998</v>
      </c>
      <c r="D15" s="871">
        <v>0</v>
      </c>
      <c r="E15" s="756">
        <f t="shared" si="1"/>
        <v>0</v>
      </c>
      <c r="F15" s="764">
        <v>0</v>
      </c>
      <c r="G15" s="758">
        <f t="shared" si="2"/>
        <v>0</v>
      </c>
      <c r="H15" s="765">
        <v>0</v>
      </c>
      <c r="I15" s="756">
        <v>0</v>
      </c>
      <c r="J15" s="764">
        <v>0</v>
      </c>
      <c r="K15" s="758">
        <f t="shared" si="3"/>
        <v>0</v>
      </c>
      <c r="L15" s="764">
        <v>0</v>
      </c>
      <c r="M15" s="758">
        <f t="shared" si="4"/>
        <v>0</v>
      </c>
      <c r="N15" s="763">
        <v>0</v>
      </c>
      <c r="O15" s="756">
        <f t="shared" si="5"/>
        <v>0</v>
      </c>
      <c r="P15" s="764">
        <v>0</v>
      </c>
      <c r="Q15" s="758">
        <f t="shared" si="6"/>
        <v>0</v>
      </c>
      <c r="R15" s="763">
        <v>0</v>
      </c>
      <c r="S15" s="756">
        <f t="shared" si="7"/>
        <v>0</v>
      </c>
      <c r="T15" s="764">
        <v>0</v>
      </c>
      <c r="U15" s="758">
        <f t="shared" si="8"/>
        <v>0</v>
      </c>
      <c r="V15" s="763">
        <v>0</v>
      </c>
      <c r="W15" s="756">
        <f t="shared" si="9"/>
        <v>0</v>
      </c>
      <c r="X15" s="763">
        <v>1890.4589041095892</v>
      </c>
      <c r="Y15" s="756">
        <f t="shared" si="10"/>
        <v>0.16711165069852416</v>
      </c>
      <c r="Z15" s="763">
        <v>6571</v>
      </c>
      <c r="AA15" s="756">
        <f t="shared" si="11"/>
        <v>0.58085931111906697</v>
      </c>
      <c r="AB15" s="763">
        <v>0</v>
      </c>
      <c r="AC15" s="766">
        <f>AB15/B15</f>
        <v>0</v>
      </c>
      <c r="AE15" s="767">
        <f t="shared" si="0"/>
        <v>8461.4589041095896</v>
      </c>
      <c r="AF15" s="767">
        <f>'[2]15-16 MTU Summary '!EV164</f>
        <v>0</v>
      </c>
      <c r="AG15" s="241">
        <f t="shared" si="12"/>
        <v>8461.4589041095896</v>
      </c>
    </row>
    <row r="16" spans="1:33" ht="15" thickBot="1" x14ac:dyDescent="0.4">
      <c r="A16" s="248" t="s">
        <v>8</v>
      </c>
      <c r="B16" s="249"/>
      <c r="C16" s="768">
        <v>39057</v>
      </c>
      <c r="D16" s="755"/>
      <c r="E16" s="756"/>
      <c r="F16" s="757"/>
      <c r="G16" s="758"/>
      <c r="H16" s="755"/>
      <c r="I16" s="756"/>
      <c r="J16" s="757"/>
      <c r="K16" s="758"/>
      <c r="L16" s="757">
        <v>264948.19643835613</v>
      </c>
      <c r="M16" s="758">
        <f t="shared" si="4"/>
        <v>6.7836289637800169</v>
      </c>
      <c r="N16" s="755"/>
      <c r="O16" s="756"/>
      <c r="P16" s="757"/>
      <c r="Q16" s="758"/>
      <c r="R16" s="755"/>
      <c r="S16" s="756"/>
      <c r="T16" s="757"/>
      <c r="U16" s="758"/>
      <c r="V16" s="755"/>
      <c r="W16" s="756"/>
      <c r="X16" s="755"/>
      <c r="Y16" s="756"/>
      <c r="Z16" s="755">
        <v>0</v>
      </c>
      <c r="AA16" s="756"/>
      <c r="AB16" s="755"/>
      <c r="AC16" s="756"/>
      <c r="AE16" s="767">
        <f t="shared" si="0"/>
        <v>264948.19643835613</v>
      </c>
      <c r="AF16" s="241">
        <f>'[2]15-16 MTU Summary '!EW160</f>
        <v>728854.92876712326</v>
      </c>
      <c r="AG16" s="241">
        <f t="shared" si="12"/>
        <v>-463906.73232876713</v>
      </c>
    </row>
    <row r="17" spans="1:33" x14ac:dyDescent="0.35">
      <c r="D17" s="755"/>
      <c r="E17" s="756"/>
      <c r="F17" s="757"/>
      <c r="G17" s="758"/>
      <c r="H17" s="755"/>
      <c r="I17" s="756"/>
      <c r="J17" s="757"/>
      <c r="K17" s="758"/>
      <c r="L17" s="757"/>
      <c r="M17" s="758"/>
      <c r="N17" s="755"/>
      <c r="O17" s="756"/>
      <c r="P17" s="757"/>
      <c r="Q17" s="758"/>
      <c r="R17" s="755"/>
      <c r="S17" s="756"/>
      <c r="T17" s="757"/>
      <c r="U17" s="758"/>
      <c r="V17" s="755"/>
      <c r="W17" s="756"/>
      <c r="X17" s="755"/>
      <c r="Y17" s="756"/>
      <c r="Z17" s="755"/>
      <c r="AA17" s="756"/>
      <c r="AB17" s="755"/>
      <c r="AC17" s="756"/>
    </row>
    <row r="18" spans="1:33" x14ac:dyDescent="0.35">
      <c r="D18" s="769">
        <f>SUM(D6:D16)</f>
        <v>637597.53150684922</v>
      </c>
      <c r="E18" s="770">
        <f t="shared" ref="E18:AC18" si="13">SUM(E6:E16)</f>
        <v>113.88933996790851</v>
      </c>
      <c r="F18" s="771">
        <f t="shared" si="13"/>
        <v>214138.07671232877</v>
      </c>
      <c r="G18" s="772">
        <f t="shared" si="13"/>
        <v>42.89287301707715</v>
      </c>
      <c r="H18" s="769">
        <f t="shared" si="13"/>
        <v>1204730.1260273971</v>
      </c>
      <c r="I18" s="770">
        <f t="shared" si="13"/>
        <v>123.79978674763706</v>
      </c>
      <c r="J18" s="771">
        <f t="shared" si="13"/>
        <v>206540.10553369802</v>
      </c>
      <c r="K18" s="772">
        <f t="shared" si="13"/>
        <v>39.847221157078749</v>
      </c>
      <c r="L18" s="771">
        <f t="shared" si="13"/>
        <v>401816.63057674433</v>
      </c>
      <c r="M18" s="772">
        <f>SUM(M6:M16)-M16</f>
        <v>13.724661750071128</v>
      </c>
      <c r="N18" s="769">
        <f t="shared" si="13"/>
        <v>384145.87504787155</v>
      </c>
      <c r="O18" s="770">
        <f t="shared" si="13"/>
        <v>38.258352104594096</v>
      </c>
      <c r="P18" s="771">
        <f t="shared" si="13"/>
        <v>128972.45753424658</v>
      </c>
      <c r="Q18" s="772">
        <f t="shared" si="13"/>
        <v>15.940093484326136</v>
      </c>
      <c r="R18" s="769">
        <f t="shared" si="13"/>
        <v>994109.71703932853</v>
      </c>
      <c r="S18" s="770">
        <f t="shared" si="13"/>
        <v>118.26883156563578</v>
      </c>
      <c r="T18" s="771">
        <f t="shared" si="13"/>
        <v>438129.17534246575</v>
      </c>
      <c r="U18" s="772">
        <f t="shared" si="13"/>
        <v>43.137965917148641</v>
      </c>
      <c r="V18" s="769">
        <f t="shared" si="13"/>
        <v>568829.0027397261</v>
      </c>
      <c r="W18" s="770">
        <f t="shared" si="13"/>
        <v>107.010324362554</v>
      </c>
      <c r="X18" s="769">
        <f t="shared" si="13"/>
        <v>2768240.1585844727</v>
      </c>
      <c r="Y18" s="770">
        <f t="shared" si="13"/>
        <v>309.03758755376731</v>
      </c>
      <c r="Z18" s="769">
        <f t="shared" si="13"/>
        <v>753974.11</v>
      </c>
      <c r="AA18" s="770">
        <f>SUM(AA6:AA16)</f>
        <v>86.936229771990014</v>
      </c>
      <c r="AB18" s="769">
        <f t="shared" si="13"/>
        <v>135750</v>
      </c>
      <c r="AC18" s="770">
        <f t="shared" si="13"/>
        <v>5.9999734807801959</v>
      </c>
      <c r="AE18" s="773">
        <f>D18+F18+H18+J18+L18+N18+P18+R18+T18+V18+X18+Z18+AB18</f>
        <v>8836972.966645129</v>
      </c>
      <c r="AF18" s="241">
        <f>SUM(AF6:AF17)</f>
        <v>8342648.4044365855</v>
      </c>
    </row>
    <row r="19" spans="1:33" x14ac:dyDescent="0.35">
      <c r="D19" s="755"/>
      <c r="E19" s="756"/>
      <c r="F19" s="757"/>
      <c r="G19" s="758"/>
      <c r="H19" s="755"/>
      <c r="I19" s="756"/>
      <c r="J19" s="757"/>
      <c r="K19" s="758"/>
      <c r="L19" s="757"/>
      <c r="M19" s="758"/>
      <c r="N19" s="755"/>
      <c r="O19" s="756"/>
      <c r="P19" s="757"/>
      <c r="Q19" s="758"/>
      <c r="R19" s="755"/>
      <c r="S19" s="756"/>
      <c r="T19" s="757"/>
      <c r="U19" s="758"/>
      <c r="V19" s="755"/>
      <c r="W19" s="756"/>
      <c r="X19" s="755"/>
      <c r="Y19" s="756"/>
      <c r="Z19" s="755"/>
      <c r="AA19" s="756"/>
      <c r="AB19" s="755"/>
      <c r="AC19" s="756"/>
    </row>
    <row r="20" spans="1:33" s="774" customFormat="1" x14ac:dyDescent="0.35">
      <c r="A20" s="774" t="s">
        <v>284</v>
      </c>
      <c r="D20" s="872">
        <v>38752.772602739729</v>
      </c>
      <c r="E20" s="776"/>
      <c r="F20" s="777">
        <v>93967.189041095888</v>
      </c>
      <c r="G20" s="778"/>
      <c r="H20" s="775">
        <v>35180.575342465752</v>
      </c>
      <c r="I20" s="776"/>
      <c r="J20" s="777">
        <f>86002.4794520548+3171</f>
        <v>89173.479452054802</v>
      </c>
      <c r="K20" s="778"/>
      <c r="L20" s="777">
        <v>37037.610958904115</v>
      </c>
      <c r="M20" s="778"/>
      <c r="N20" s="775">
        <v>61517.51506849315</v>
      </c>
      <c r="O20" s="776"/>
      <c r="P20" s="777">
        <v>25841.621917808217</v>
      </c>
      <c r="Q20" s="778"/>
      <c r="R20" s="775">
        <v>44863.547945205479</v>
      </c>
      <c r="S20" s="776"/>
      <c r="T20" s="777">
        <v>0</v>
      </c>
      <c r="U20" s="778"/>
      <c r="V20" s="775">
        <v>47997.978082191781</v>
      </c>
      <c r="W20" s="776"/>
      <c r="X20" s="775">
        <v>0</v>
      </c>
      <c r="Y20" s="776"/>
      <c r="Z20" s="775">
        <v>52092.934246575343</v>
      </c>
      <c r="AA20" s="776"/>
      <c r="AB20" s="775">
        <v>0</v>
      </c>
      <c r="AC20" s="776"/>
      <c r="AE20" s="761">
        <f t="shared" ref="AE20:AE22" si="14">D20+F20+H20+J20+L20+N20+P20+R20+T20+V20+X20+Z20+AB20</f>
        <v>526425.22465753416</v>
      </c>
      <c r="AF20" s="774">
        <f>'[2]15-16 MTU Summary '!EX160</f>
        <v>607757.76986301388</v>
      </c>
      <c r="AG20" s="241">
        <f t="shared" ref="AG20:AG22" si="15">AE20-AF20</f>
        <v>-81332.545205479721</v>
      </c>
    </row>
    <row r="21" spans="1:33" s="767" customFormat="1" x14ac:dyDescent="0.35">
      <c r="A21" s="767" t="s">
        <v>285</v>
      </c>
      <c r="D21" s="871">
        <v>0</v>
      </c>
      <c r="E21" s="766"/>
      <c r="F21" s="764">
        <f>13314-13314</f>
        <v>0</v>
      </c>
      <c r="G21" s="779"/>
      <c r="H21" s="763">
        <v>253.84931506849313</v>
      </c>
      <c r="I21" s="766"/>
      <c r="J21" s="764">
        <f>3171-3171</f>
        <v>0</v>
      </c>
      <c r="K21" s="779"/>
      <c r="L21" s="764">
        <v>0</v>
      </c>
      <c r="M21" s="779"/>
      <c r="N21" s="763">
        <v>496.59726027397267</v>
      </c>
      <c r="O21" s="766"/>
      <c r="P21" s="764">
        <v>0</v>
      </c>
      <c r="Q21" s="779"/>
      <c r="R21" s="763">
        <v>694.67945205479452</v>
      </c>
      <c r="S21" s="766"/>
      <c r="T21" s="764">
        <v>49219.228767123292</v>
      </c>
      <c r="U21" s="779"/>
      <c r="V21" s="763">
        <v>0</v>
      </c>
      <c r="W21" s="766"/>
      <c r="X21" s="763">
        <v>0</v>
      </c>
      <c r="Y21" s="766"/>
      <c r="Z21" s="763">
        <v>132.38630136986299</v>
      </c>
      <c r="AA21" s="766"/>
      <c r="AB21" s="763">
        <v>0</v>
      </c>
      <c r="AC21" s="766"/>
      <c r="AE21" s="780">
        <f t="shared" si="14"/>
        <v>50796.741095890415</v>
      </c>
      <c r="AF21" s="767">
        <f>'[2]15-16 MTU Summary '!EY160</f>
        <v>436.98630136986293</v>
      </c>
      <c r="AG21" s="241">
        <f t="shared" si="15"/>
        <v>50359.754794520552</v>
      </c>
    </row>
    <row r="22" spans="1:33" x14ac:dyDescent="0.35">
      <c r="A22" s="241" t="s">
        <v>195</v>
      </c>
      <c r="D22" s="870">
        <v>28526.369307194444</v>
      </c>
      <c r="E22" s="756"/>
      <c r="F22" s="757">
        <v>0</v>
      </c>
      <c r="G22" s="758"/>
      <c r="H22" s="755">
        <v>-223.42311983881024</v>
      </c>
      <c r="I22" s="756"/>
      <c r="J22" s="757">
        <v>35397.94456683773</v>
      </c>
      <c r="K22" s="758"/>
      <c r="L22" s="757">
        <v>0</v>
      </c>
      <c r="M22" s="758"/>
      <c r="N22" s="755">
        <v>-27884.300693474735</v>
      </c>
      <c r="O22" s="756"/>
      <c r="P22" s="757">
        <v>-10109.359388219174</v>
      </c>
      <c r="Q22" s="758"/>
      <c r="R22" s="755">
        <v>-78143.100474969513</v>
      </c>
      <c r="S22" s="756"/>
      <c r="T22" s="757">
        <v>-49173.453974657525</v>
      </c>
      <c r="U22" s="758"/>
      <c r="V22" s="755">
        <v>0</v>
      </c>
      <c r="W22" s="756"/>
      <c r="X22" s="755">
        <v>-307910.1036526105</v>
      </c>
      <c r="Y22" s="756"/>
      <c r="Z22" s="755">
        <v>20138.232197416342</v>
      </c>
      <c r="AA22" s="756"/>
      <c r="AB22" s="755">
        <v>-7140</v>
      </c>
      <c r="AC22" s="756"/>
      <c r="AE22" s="773">
        <f t="shared" si="14"/>
        <v>-396521.19523232174</v>
      </c>
      <c r="AF22" s="241">
        <f>'[2]15-16 MTU Summary '!EZ160+'[2]15-16 MTU Summary '!FA160</f>
        <v>-54348.636096263072</v>
      </c>
      <c r="AG22" s="241">
        <f t="shared" si="15"/>
        <v>-342172.55913605867</v>
      </c>
    </row>
    <row r="23" spans="1:33" ht="15" thickBot="1" x14ac:dyDescent="0.4">
      <c r="D23" s="781">
        <f t="shared" ref="D23:AC23" si="16">SUM(D18:D22)</f>
        <v>704876.67341678345</v>
      </c>
      <c r="E23" s="782">
        <f t="shared" si="16"/>
        <v>113.88933996790851</v>
      </c>
      <c r="F23" s="783">
        <f t="shared" si="16"/>
        <v>308105.26575342467</v>
      </c>
      <c r="G23" s="784">
        <f t="shared" si="16"/>
        <v>42.89287301707715</v>
      </c>
      <c r="H23" s="781">
        <f t="shared" si="16"/>
        <v>1239941.1275650924</v>
      </c>
      <c r="I23" s="782">
        <f t="shared" si="16"/>
        <v>123.79978674763706</v>
      </c>
      <c r="J23" s="783">
        <f t="shared" si="16"/>
        <v>331111.52955259057</v>
      </c>
      <c r="K23" s="784">
        <f t="shared" si="16"/>
        <v>39.847221157078749</v>
      </c>
      <c r="L23" s="783">
        <f t="shared" si="16"/>
        <v>438854.24153564847</v>
      </c>
      <c r="M23" s="784">
        <f t="shared" si="16"/>
        <v>13.724661750071128</v>
      </c>
      <c r="N23" s="781">
        <f t="shared" si="16"/>
        <v>418275.68668316398</v>
      </c>
      <c r="O23" s="782">
        <f t="shared" si="16"/>
        <v>38.258352104594096</v>
      </c>
      <c r="P23" s="783">
        <f t="shared" si="16"/>
        <v>144704.72006383564</v>
      </c>
      <c r="Q23" s="784">
        <f t="shared" si="16"/>
        <v>15.940093484326136</v>
      </c>
      <c r="R23" s="781">
        <f t="shared" si="16"/>
        <v>961524.84396161931</v>
      </c>
      <c r="S23" s="782">
        <f t="shared" si="16"/>
        <v>118.26883156563578</v>
      </c>
      <c r="T23" s="783">
        <f t="shared" si="16"/>
        <v>438174.95013493154</v>
      </c>
      <c r="U23" s="784">
        <f t="shared" si="16"/>
        <v>43.137965917148641</v>
      </c>
      <c r="V23" s="781">
        <f t="shared" si="16"/>
        <v>616826.98082191788</v>
      </c>
      <c r="W23" s="782">
        <f t="shared" si="16"/>
        <v>107.010324362554</v>
      </c>
      <c r="X23" s="781">
        <f t="shared" si="16"/>
        <v>2460330.0549318623</v>
      </c>
      <c r="Y23" s="782">
        <f t="shared" si="16"/>
        <v>309.03758755376731</v>
      </c>
      <c r="Z23" s="781">
        <f t="shared" si="16"/>
        <v>826337.66274536157</v>
      </c>
      <c r="AA23" s="782">
        <f t="shared" si="16"/>
        <v>86.936229771990014</v>
      </c>
      <c r="AB23" s="781">
        <f t="shared" si="16"/>
        <v>128610</v>
      </c>
      <c r="AC23" s="782">
        <f t="shared" si="16"/>
        <v>5.9999734807801959</v>
      </c>
      <c r="AD23" s="785">
        <f>E23+G23+I23+K23+M23+O23+Q23+S23+U23+W23+Y23+AA23+AC23</f>
        <v>1058.7432408805687</v>
      </c>
      <c r="AE23" s="773">
        <f>D23+F23+H23+J23+L23+N23+P23+R23+T23+V23+X23+Z23+AB23</f>
        <v>9017673.7371662315</v>
      </c>
      <c r="AF23" s="241">
        <f>'[2]15-16 MTU Summary '!FC162</f>
        <v>8896494.5245047081</v>
      </c>
      <c r="AG23" s="241">
        <f>AE23-AF23</f>
        <v>121179.21266152337</v>
      </c>
    </row>
    <row r="24" spans="1:33" ht="15" thickTop="1" x14ac:dyDescent="0.35">
      <c r="D24" s="755"/>
      <c r="E24" s="756"/>
      <c r="F24" s="757"/>
      <c r="G24" s="758"/>
      <c r="H24" s="755"/>
      <c r="I24" s="756"/>
      <c r="J24" s="757"/>
      <c r="K24" s="758"/>
      <c r="L24" s="757"/>
      <c r="M24" s="758"/>
      <c r="N24" s="755"/>
      <c r="O24" s="756"/>
      <c r="P24" s="757"/>
      <c r="Q24" s="758"/>
      <c r="R24" s="755"/>
      <c r="S24" s="756"/>
      <c r="T24" s="757"/>
      <c r="U24" s="758"/>
      <c r="V24" s="755"/>
      <c r="W24" s="756"/>
      <c r="X24" s="755"/>
      <c r="Y24" s="756"/>
      <c r="Z24" s="755"/>
      <c r="AA24" s="756"/>
      <c r="AB24" s="755"/>
      <c r="AC24" s="756"/>
    </row>
    <row r="25" spans="1:33" x14ac:dyDescent="0.35">
      <c r="A25" s="241" t="s">
        <v>155</v>
      </c>
      <c r="D25" s="755">
        <v>10000</v>
      </c>
      <c r="E25" s="756"/>
      <c r="F25" s="757">
        <v>10000</v>
      </c>
      <c r="G25" s="758"/>
      <c r="H25" s="755">
        <v>10000</v>
      </c>
      <c r="I25" s="756"/>
      <c r="J25" s="757">
        <v>10000</v>
      </c>
      <c r="K25" s="758"/>
      <c r="L25" s="757">
        <v>10000</v>
      </c>
      <c r="M25" s="758"/>
      <c r="N25" s="755">
        <v>10000</v>
      </c>
      <c r="O25" s="756"/>
      <c r="P25" s="757">
        <v>10000</v>
      </c>
      <c r="Q25" s="758"/>
      <c r="R25" s="755">
        <v>10000</v>
      </c>
      <c r="S25" s="756"/>
      <c r="T25" s="757">
        <v>10000</v>
      </c>
      <c r="U25" s="758"/>
      <c r="V25" s="755">
        <v>10000</v>
      </c>
      <c r="W25" s="756"/>
      <c r="X25" s="755">
        <v>10000</v>
      </c>
      <c r="Y25" s="756"/>
      <c r="Z25" s="755">
        <v>10000</v>
      </c>
      <c r="AA25" s="756"/>
      <c r="AB25" s="755">
        <v>10000</v>
      </c>
      <c r="AC25" s="756"/>
    </row>
    <row r="26" spans="1:33" x14ac:dyDescent="0.35">
      <c r="A26" s="241" t="s">
        <v>286</v>
      </c>
      <c r="D26" s="755">
        <f>D23/E23</f>
        <v>6189.136521604235</v>
      </c>
      <c r="E26" s="756"/>
      <c r="F26" s="757">
        <f>F23/G23</f>
        <v>7183.134261739875</v>
      </c>
      <c r="G26" s="758"/>
      <c r="H26" s="755">
        <f>H23/I23</f>
        <v>10015.696796737486</v>
      </c>
      <c r="I26" s="756"/>
      <c r="J26" s="757">
        <f>J23/K23</f>
        <v>8309.5262338957236</v>
      </c>
      <c r="K26" s="758"/>
      <c r="L26" s="757">
        <f>L23/M23</f>
        <v>31975.596158744978</v>
      </c>
      <c r="M26" s="758"/>
      <c r="N26" s="755">
        <f>N23/O23</f>
        <v>10932.924803965539</v>
      </c>
      <c r="O26" s="756"/>
      <c r="P26" s="757">
        <f>P23/Q23</f>
        <v>9078.0345928412225</v>
      </c>
      <c r="Q26" s="758"/>
      <c r="R26" s="755">
        <f>R23/S23</f>
        <v>8129.9936021436115</v>
      </c>
      <c r="S26" s="756"/>
      <c r="T26" s="757">
        <f>T23/U23</f>
        <v>10157.524603188205</v>
      </c>
      <c r="U26" s="758"/>
      <c r="V26" s="755">
        <f>V23/W23</f>
        <v>5764.1819562390137</v>
      </c>
      <c r="W26" s="756"/>
      <c r="X26" s="755">
        <f>X23/Y23</f>
        <v>7961.2647587853908</v>
      </c>
      <c r="Y26" s="756"/>
      <c r="Z26" s="755">
        <f>Z23/AA23</f>
        <v>9505.1012093878417</v>
      </c>
      <c r="AA26" s="756"/>
      <c r="AB26" s="755">
        <f>AB23/AC23</f>
        <v>21435.094740331489</v>
      </c>
      <c r="AC26" s="756"/>
    </row>
    <row r="27" spans="1:33" x14ac:dyDescent="0.35">
      <c r="D27" s="786">
        <f>SUM(D25:D26)</f>
        <v>16189.136521604236</v>
      </c>
      <c r="E27" s="756"/>
      <c r="F27" s="787">
        <f>SUM(F25:F26)</f>
        <v>17183.134261739877</v>
      </c>
      <c r="G27" s="758"/>
      <c r="H27" s="786">
        <f>SUM(H25:H26)</f>
        <v>20015.696796737488</v>
      </c>
      <c r="I27" s="756"/>
      <c r="J27" s="787">
        <f>SUM(J25:J26)</f>
        <v>18309.526233895725</v>
      </c>
      <c r="K27" s="758"/>
      <c r="L27" s="787">
        <f>SUM(L25:L26)</f>
        <v>41975.596158744978</v>
      </c>
      <c r="M27" s="758"/>
      <c r="N27" s="786">
        <f>SUM(N25:N26)</f>
        <v>20932.924803965539</v>
      </c>
      <c r="O27" s="756"/>
      <c r="P27" s="787">
        <f>SUM(P25:P26)</f>
        <v>19078.034592841221</v>
      </c>
      <c r="Q27" s="758"/>
      <c r="R27" s="786">
        <f>SUM(R25:R26)</f>
        <v>18129.993602143611</v>
      </c>
      <c r="S27" s="756"/>
      <c r="T27" s="787">
        <f>SUM(T25:T26)</f>
        <v>20157.524603188205</v>
      </c>
      <c r="U27" s="758"/>
      <c r="V27" s="786">
        <f>SUM(V25:V26)</f>
        <v>15764.181956239014</v>
      </c>
      <c r="W27" s="756"/>
      <c r="X27" s="786">
        <f>SUM(X25:X26)</f>
        <v>17961.26475878539</v>
      </c>
      <c r="Y27" s="756"/>
      <c r="Z27" s="786">
        <f>SUM(Z25:Z26)</f>
        <v>19505.101209387842</v>
      </c>
      <c r="AA27" s="756"/>
      <c r="AB27" s="786">
        <f>SUM(AB25:AB26)</f>
        <v>31435.094740331489</v>
      </c>
      <c r="AC27" s="756"/>
    </row>
    <row r="28" spans="1:33" x14ac:dyDescent="0.35">
      <c r="C28" s="788">
        <v>-1.4999999999999999E-2</v>
      </c>
      <c r="D28" s="755">
        <f>D27*$C$28</f>
        <v>-242.83704782406352</v>
      </c>
      <c r="E28" s="756"/>
      <c r="F28" s="757">
        <f>F27*$C$28</f>
        <v>-257.74701392609813</v>
      </c>
      <c r="G28" s="758"/>
      <c r="H28" s="755">
        <f>H27*$C$28</f>
        <v>-300.23545195106232</v>
      </c>
      <c r="I28" s="756"/>
      <c r="J28" s="757">
        <f>J27*$C$28</f>
        <v>-274.64289350843586</v>
      </c>
      <c r="K28" s="758"/>
      <c r="L28" s="757">
        <f>L27*$C$28</f>
        <v>-629.63394238117462</v>
      </c>
      <c r="M28" s="758"/>
      <c r="N28" s="755">
        <f>N27*$C$28</f>
        <v>-313.99387205948307</v>
      </c>
      <c r="O28" s="756"/>
      <c r="P28" s="757">
        <f>P27*$C$28</f>
        <v>-286.1705188926183</v>
      </c>
      <c r="Q28" s="758"/>
      <c r="R28" s="755">
        <f>R27*$C$28</f>
        <v>-271.94990403215417</v>
      </c>
      <c r="S28" s="756"/>
      <c r="T28" s="757">
        <f>T27*$C$28</f>
        <v>-302.36286904782304</v>
      </c>
      <c r="U28" s="758"/>
      <c r="V28" s="755">
        <f>V27*$C$28</f>
        <v>-236.46272934358521</v>
      </c>
      <c r="W28" s="756"/>
      <c r="X28" s="755">
        <f>X27*$C$28</f>
        <v>-269.41897138178086</v>
      </c>
      <c r="Y28" s="756"/>
      <c r="Z28" s="755">
        <f>Z27*$C$28</f>
        <v>-292.5765181408176</v>
      </c>
      <c r="AA28" s="756"/>
      <c r="AB28" s="755">
        <f>AB27*$C$28</f>
        <v>-471.52642110497231</v>
      </c>
      <c r="AC28" s="756"/>
    </row>
    <row r="29" spans="1:33" x14ac:dyDescent="0.35">
      <c r="D29" s="786">
        <f>SUM(D27:D28)</f>
        <v>15946.299473780173</v>
      </c>
      <c r="E29" s="756"/>
      <c r="F29" s="787">
        <f>SUM(F27:F28)</f>
        <v>16925.387247813778</v>
      </c>
      <c r="G29" s="758"/>
      <c r="H29" s="786">
        <f>SUM(H27:H28)</f>
        <v>19715.461344786425</v>
      </c>
      <c r="I29" s="756"/>
      <c r="J29" s="787">
        <f>SUM(J27:J28)</f>
        <v>18034.883340387289</v>
      </c>
      <c r="K29" s="758"/>
      <c r="L29" s="787">
        <f>SUM(L27:L28)</f>
        <v>41345.962216363805</v>
      </c>
      <c r="M29" s="758"/>
      <c r="N29" s="786">
        <f>SUM(N27:N28)</f>
        <v>20618.930931906056</v>
      </c>
      <c r="O29" s="756"/>
      <c r="P29" s="787">
        <f>SUM(P27:P28)</f>
        <v>18791.864073948604</v>
      </c>
      <c r="Q29" s="758"/>
      <c r="R29" s="786">
        <f>SUM(R27:R28)</f>
        <v>17858.043698111458</v>
      </c>
      <c r="S29" s="756"/>
      <c r="T29" s="787">
        <f>SUM(T27:T28)</f>
        <v>19855.161734140383</v>
      </c>
      <c r="U29" s="758"/>
      <c r="V29" s="786">
        <f>SUM(V27:V28)</f>
        <v>15527.719226895428</v>
      </c>
      <c r="W29" s="756"/>
      <c r="X29" s="786">
        <f>SUM(X27:X28)</f>
        <v>17691.84578740361</v>
      </c>
      <c r="Y29" s="756"/>
      <c r="Z29" s="786">
        <f>SUM(Z27:Z28)</f>
        <v>19212.524691247025</v>
      </c>
      <c r="AA29" s="756"/>
      <c r="AB29" s="786">
        <f>SUM(AB27:AB28)</f>
        <v>30963.568319226517</v>
      </c>
      <c r="AC29" s="756"/>
    </row>
    <row r="30" spans="1:33" x14ac:dyDescent="0.35">
      <c r="D30" s="755"/>
      <c r="E30" s="756"/>
      <c r="F30" s="757"/>
      <c r="G30" s="758"/>
      <c r="H30" s="755"/>
      <c r="I30" s="756"/>
      <c r="J30" s="757"/>
      <c r="K30" s="758"/>
      <c r="L30" s="757"/>
      <c r="M30" s="758"/>
      <c r="N30" s="755"/>
      <c r="O30" s="756"/>
      <c r="P30" s="757"/>
      <c r="Q30" s="758"/>
      <c r="R30" s="755"/>
      <c r="S30" s="756"/>
      <c r="T30" s="757"/>
      <c r="U30" s="758"/>
      <c r="V30" s="755"/>
      <c r="W30" s="756"/>
      <c r="X30" s="755"/>
      <c r="Y30" s="756"/>
      <c r="Z30" s="755"/>
      <c r="AA30" s="756"/>
      <c r="AB30" s="755"/>
      <c r="AC30" s="756"/>
    </row>
    <row r="31" spans="1:33" ht="15" thickBot="1" x14ac:dyDescent="0.4">
      <c r="A31" s="773" t="s">
        <v>311</v>
      </c>
      <c r="B31" s="773"/>
      <c r="D31" s="781">
        <f>D29-D25</f>
        <v>5946.2994737801728</v>
      </c>
      <c r="E31" s="756"/>
      <c r="F31" s="783">
        <f>F29-F25</f>
        <v>6925.3872478137782</v>
      </c>
      <c r="G31" s="758"/>
      <c r="H31" s="781">
        <f>H29-H25</f>
        <v>9715.4613447864249</v>
      </c>
      <c r="I31" s="756"/>
      <c r="J31" s="783">
        <f>J29-J25</f>
        <v>8034.8833403872886</v>
      </c>
      <c r="K31" s="758"/>
      <c r="L31" s="783">
        <f>L29-L25</f>
        <v>31345.962216363805</v>
      </c>
      <c r="M31" s="758"/>
      <c r="N31" s="781">
        <f>N29-N25</f>
        <v>10618.930931906056</v>
      </c>
      <c r="O31" s="756"/>
      <c r="P31" s="783">
        <f>P29-P25</f>
        <v>8791.8640739486036</v>
      </c>
      <c r="Q31" s="758"/>
      <c r="R31" s="781">
        <f>R29-R25</f>
        <v>7858.0436981114581</v>
      </c>
      <c r="S31" s="756"/>
      <c r="T31" s="783">
        <f>T29-T25</f>
        <v>9855.1617341403835</v>
      </c>
      <c r="U31" s="758"/>
      <c r="V31" s="781">
        <f>V29-V25</f>
        <v>5527.7192268954277</v>
      </c>
      <c r="W31" s="756"/>
      <c r="X31" s="781">
        <f>X29-X25</f>
        <v>7691.8457874036103</v>
      </c>
      <c r="Y31" s="756"/>
      <c r="Z31" s="781">
        <f>Z29-Z25</f>
        <v>9212.5246912470247</v>
      </c>
      <c r="AA31" s="756"/>
      <c r="AB31" s="781">
        <f>AB29-AB25</f>
        <v>20963.568319226517</v>
      </c>
      <c r="AC31" s="756"/>
      <c r="AE31" s="773"/>
    </row>
    <row r="32" spans="1:33" ht="15.5" thickTop="1" thickBot="1" x14ac:dyDescent="0.4">
      <c r="D32" s="789"/>
      <c r="E32" s="790"/>
      <c r="F32" s="791"/>
      <c r="G32" s="792"/>
      <c r="H32" s="789"/>
      <c r="I32" s="790"/>
      <c r="J32" s="791"/>
      <c r="K32" s="792"/>
      <c r="L32" s="791"/>
      <c r="M32" s="792"/>
      <c r="N32" s="789"/>
      <c r="O32" s="790"/>
      <c r="P32" s="791"/>
      <c r="Q32" s="792"/>
      <c r="R32" s="789"/>
      <c r="S32" s="790"/>
      <c r="T32" s="791"/>
      <c r="U32" s="792"/>
      <c r="V32" s="789"/>
      <c r="W32" s="790"/>
      <c r="X32" s="789"/>
      <c r="Y32" s="790"/>
      <c r="Z32" s="789"/>
      <c r="AA32" s="790"/>
      <c r="AB32" s="789"/>
      <c r="AC32" s="790"/>
    </row>
    <row r="33" spans="1:33" s="793" customFormat="1" x14ac:dyDescent="0.35">
      <c r="E33" s="794"/>
      <c r="G33" s="794"/>
      <c r="I33" s="794"/>
      <c r="K33" s="794"/>
      <c r="M33" s="794"/>
      <c r="O33" s="794"/>
      <c r="Q33" s="794"/>
      <c r="S33" s="794"/>
      <c r="U33" s="794"/>
      <c r="W33" s="794"/>
      <c r="Y33" s="794"/>
      <c r="AA33" s="794"/>
      <c r="AC33" s="794"/>
    </row>
    <row r="34" spans="1:33" s="793" customFormat="1" x14ac:dyDescent="0.35">
      <c r="E34" s="794"/>
      <c r="G34" s="794"/>
      <c r="I34" s="794"/>
      <c r="K34" s="794"/>
      <c r="M34" s="794"/>
      <c r="O34" s="794"/>
      <c r="Q34" s="794"/>
      <c r="S34" s="794"/>
      <c r="U34" s="794"/>
      <c r="W34" s="794"/>
      <c r="Y34" s="794"/>
      <c r="AA34" s="794"/>
      <c r="AC34" s="794"/>
    </row>
    <row r="35" spans="1:33" s="796" customFormat="1" ht="15" thickBot="1" x14ac:dyDescent="0.4">
      <c r="A35" s="795" t="s">
        <v>309</v>
      </c>
      <c r="D35" s="1279" t="s">
        <v>310</v>
      </c>
      <c r="E35" s="1280"/>
      <c r="F35" s="1280"/>
      <c r="G35" s="1280"/>
      <c r="H35" s="1280"/>
      <c r="I35" s="1280"/>
      <c r="J35" s="1279" t="s">
        <v>310</v>
      </c>
      <c r="K35" s="1280"/>
      <c r="L35" s="1280"/>
      <c r="M35" s="1280"/>
      <c r="N35" s="1280"/>
      <c r="O35" s="1280"/>
      <c r="P35" s="1280"/>
      <c r="Q35" s="1281"/>
      <c r="R35" s="1279" t="s">
        <v>310</v>
      </c>
      <c r="S35" s="1280"/>
      <c r="T35" s="1280"/>
      <c r="U35" s="1280"/>
      <c r="V35" s="1280"/>
      <c r="W35" s="1280"/>
      <c r="X35" s="1280"/>
      <c r="Y35" s="1281"/>
      <c r="Z35" s="1279" t="s">
        <v>310</v>
      </c>
      <c r="AA35" s="1280"/>
      <c r="AB35" s="1280"/>
      <c r="AC35" s="1281"/>
      <c r="AD35" s="797"/>
      <c r="AE35" s="797"/>
      <c r="AF35" s="797"/>
      <c r="AG35" s="797"/>
    </row>
    <row r="36" spans="1:33" x14ac:dyDescent="0.35">
      <c r="A36" s="798"/>
      <c r="D36" s="799"/>
      <c r="E36" s="800"/>
      <c r="F36" s="801"/>
      <c r="G36" s="802"/>
      <c r="H36" s="799"/>
      <c r="I36" s="800"/>
      <c r="J36" s="801"/>
      <c r="K36" s="802"/>
      <c r="L36" s="801"/>
      <c r="M36" s="802"/>
      <c r="N36" s="799"/>
      <c r="O36" s="800"/>
      <c r="P36" s="801"/>
      <c r="Q36" s="802"/>
      <c r="R36" s="799"/>
      <c r="S36" s="800"/>
      <c r="T36" s="801"/>
      <c r="U36" s="802"/>
      <c r="V36" s="799"/>
      <c r="W36" s="800"/>
      <c r="X36" s="799"/>
      <c r="Y36" s="800"/>
      <c r="Z36" s="799"/>
      <c r="AA36" s="800"/>
      <c r="AB36" s="799"/>
      <c r="AC36" s="800"/>
    </row>
    <row r="37" spans="1:33" x14ac:dyDescent="0.35">
      <c r="A37" s="798"/>
      <c r="D37" s="755"/>
      <c r="E37" s="756"/>
      <c r="F37" s="757"/>
      <c r="G37" s="758"/>
      <c r="H37" s="755"/>
      <c r="I37" s="756"/>
      <c r="J37" s="757"/>
      <c r="K37" s="758"/>
      <c r="L37" s="757"/>
      <c r="M37" s="758"/>
      <c r="N37" s="755"/>
      <c r="O37" s="756"/>
      <c r="P37" s="757"/>
      <c r="Q37" s="758"/>
      <c r="R37" s="755"/>
      <c r="S37" s="756"/>
      <c r="T37" s="757"/>
      <c r="U37" s="758"/>
      <c r="V37" s="755"/>
      <c r="W37" s="756"/>
      <c r="X37" s="755"/>
      <c r="Y37" s="756"/>
      <c r="Z37" s="755"/>
      <c r="AA37" s="756"/>
      <c r="AB37" s="755"/>
      <c r="AC37" s="756"/>
    </row>
    <row r="38" spans="1:33" ht="29.5" thickBot="1" x14ac:dyDescent="0.4">
      <c r="B38" s="241" t="s">
        <v>161</v>
      </c>
      <c r="C38" s="749" t="s">
        <v>308</v>
      </c>
      <c r="D38" s="755"/>
      <c r="E38" s="756"/>
      <c r="F38" s="757"/>
      <c r="G38" s="758"/>
      <c r="H38" s="755"/>
      <c r="I38" s="756"/>
      <c r="J38" s="757"/>
      <c r="K38" s="758"/>
      <c r="L38" s="757"/>
      <c r="M38" s="758"/>
      <c r="N38" s="755"/>
      <c r="O38" s="756"/>
      <c r="P38" s="757"/>
      <c r="Q38" s="758"/>
      <c r="R38" s="755"/>
      <c r="S38" s="756"/>
      <c r="T38" s="757"/>
      <c r="U38" s="758"/>
      <c r="V38" s="755"/>
      <c r="W38" s="756"/>
      <c r="X38" s="755"/>
      <c r="Y38" s="756"/>
      <c r="Z38" s="755"/>
      <c r="AA38" s="756"/>
      <c r="AB38" s="755"/>
      <c r="AC38" s="756"/>
    </row>
    <row r="39" spans="1:33" x14ac:dyDescent="0.35">
      <c r="A39" s="242" t="s">
        <v>32</v>
      </c>
      <c r="B39" s="243">
        <v>1938.8999999999999</v>
      </c>
      <c r="C39" s="803">
        <v>2132.79</v>
      </c>
      <c r="D39" s="755">
        <f>E39*$B$39</f>
        <v>118272.9</v>
      </c>
      <c r="E39" s="756">
        <v>61</v>
      </c>
      <c r="F39" s="757">
        <f>G39*$C$39</f>
        <v>61850.909999999996</v>
      </c>
      <c r="G39" s="758">
        <v>29</v>
      </c>
      <c r="H39" s="755">
        <f>I39*$B$39</f>
        <v>19389</v>
      </c>
      <c r="I39" s="804">
        <v>10</v>
      </c>
      <c r="J39" s="757">
        <f>K39*$C$39</f>
        <v>61850.909999999996</v>
      </c>
      <c r="K39" s="758">
        <v>29</v>
      </c>
      <c r="L39" s="757">
        <f>M39*$C$39</f>
        <v>0</v>
      </c>
      <c r="M39" s="758">
        <v>0</v>
      </c>
      <c r="N39" s="755">
        <f>O39*$B$39</f>
        <v>7755.5999999999995</v>
      </c>
      <c r="O39" s="804">
        <v>4</v>
      </c>
      <c r="P39" s="757">
        <f>Q39*$C$39</f>
        <v>8531.16</v>
      </c>
      <c r="Q39" s="758">
        <v>4</v>
      </c>
      <c r="R39" s="755">
        <f>S39*$B$39</f>
        <v>29083.499999999996</v>
      </c>
      <c r="S39" s="804">
        <v>15</v>
      </c>
      <c r="T39" s="757">
        <f>U39*$C$39</f>
        <v>4265.58</v>
      </c>
      <c r="U39" s="758">
        <v>2</v>
      </c>
      <c r="V39" s="755">
        <f>W39*$B$39</f>
        <v>110517.29999999999</v>
      </c>
      <c r="W39" s="804">
        <v>57</v>
      </c>
      <c r="X39" s="755">
        <f>Y39*$B$39</f>
        <v>102761.7</v>
      </c>
      <c r="Y39" s="804">
        <v>53</v>
      </c>
      <c r="Z39" s="755">
        <f>AA39*$B$39</f>
        <v>15511.199999999999</v>
      </c>
      <c r="AA39" s="804">
        <v>8</v>
      </c>
      <c r="AB39" s="755">
        <f>AC39*$B$39</f>
        <v>0</v>
      </c>
      <c r="AC39" s="804"/>
    </row>
    <row r="40" spans="1:33" s="767" customFormat="1" ht="15" thickBot="1" x14ac:dyDescent="0.4">
      <c r="A40" s="245" t="s">
        <v>163</v>
      </c>
      <c r="B40" s="246">
        <v>969.44999999999993</v>
      </c>
      <c r="C40" s="805">
        <v>1066.395</v>
      </c>
      <c r="D40" s="763">
        <f>E40*$B$40</f>
        <v>0</v>
      </c>
      <c r="E40" s="766">
        <v>0</v>
      </c>
      <c r="F40" s="764">
        <f>G40*$C$40</f>
        <v>0</v>
      </c>
      <c r="G40" s="779">
        <v>0</v>
      </c>
      <c r="H40" s="763">
        <f>I40*$B$40</f>
        <v>969.44999999999993</v>
      </c>
      <c r="I40" s="806">
        <v>1</v>
      </c>
      <c r="J40" s="764">
        <f>K40*$C$40</f>
        <v>0</v>
      </c>
      <c r="K40" s="779">
        <v>0</v>
      </c>
      <c r="L40" s="764">
        <f>M40*$C$40</f>
        <v>0</v>
      </c>
      <c r="M40" s="779">
        <v>0</v>
      </c>
      <c r="N40" s="763">
        <f>O40*$B$40</f>
        <v>0</v>
      </c>
      <c r="O40" s="806">
        <v>0</v>
      </c>
      <c r="P40" s="764">
        <f>Q40*$C$40</f>
        <v>0</v>
      </c>
      <c r="Q40" s="779">
        <v>0</v>
      </c>
      <c r="R40" s="763">
        <f>S40*$B$40</f>
        <v>0</v>
      </c>
      <c r="S40" s="806">
        <v>0</v>
      </c>
      <c r="T40" s="764">
        <f>U40*$C$40</f>
        <v>0</v>
      </c>
      <c r="U40" s="779">
        <v>0</v>
      </c>
      <c r="V40" s="763">
        <f>W40*$B$40</f>
        <v>0</v>
      </c>
      <c r="W40" s="806">
        <v>0</v>
      </c>
      <c r="X40" s="763">
        <f>Y40*$B$40</f>
        <v>5816.7</v>
      </c>
      <c r="Y40" s="806">
        <v>6</v>
      </c>
      <c r="Z40" s="763">
        <f>AA40*$B$40</f>
        <v>0</v>
      </c>
      <c r="AA40" s="806">
        <v>0</v>
      </c>
      <c r="AB40" s="763">
        <f>AC40*$B$40</f>
        <v>0</v>
      </c>
      <c r="AC40" s="806"/>
    </row>
    <row r="41" spans="1:33" x14ac:dyDescent="0.35">
      <c r="A41" s="242" t="s">
        <v>33</v>
      </c>
      <c r="B41" s="243">
        <v>7272.5999999999995</v>
      </c>
      <c r="C41" s="803">
        <v>7999.86</v>
      </c>
      <c r="D41" s="755">
        <f>E41*$B$41</f>
        <v>218177.99999999997</v>
      </c>
      <c r="E41" s="756">
        <v>30</v>
      </c>
      <c r="F41" s="757">
        <f>G41*$C$41</f>
        <v>55999.02</v>
      </c>
      <c r="G41" s="758">
        <v>7</v>
      </c>
      <c r="H41" s="755">
        <f>I41*$B$41</f>
        <v>334539.59999999998</v>
      </c>
      <c r="I41" s="804">
        <v>46</v>
      </c>
      <c r="J41" s="757">
        <f>K41*$C$41</f>
        <v>119997.9</v>
      </c>
      <c r="K41" s="758">
        <v>15</v>
      </c>
      <c r="L41" s="757">
        <f>M41*$C$41</f>
        <v>0</v>
      </c>
      <c r="M41" s="758">
        <v>0</v>
      </c>
      <c r="N41" s="755">
        <f>O41*$B$41</f>
        <v>72726</v>
      </c>
      <c r="O41" s="804">
        <v>10</v>
      </c>
      <c r="P41" s="757">
        <f>Q41*$C$41</f>
        <v>31999.439999999999</v>
      </c>
      <c r="Q41" s="758">
        <v>4</v>
      </c>
      <c r="R41" s="755">
        <f>S41*$B$41</f>
        <v>436355.99999999994</v>
      </c>
      <c r="S41" s="804">
        <v>60</v>
      </c>
      <c r="T41" s="757">
        <f>U41*$C$41</f>
        <v>143997.47999999998</v>
      </c>
      <c r="U41" s="758">
        <v>18</v>
      </c>
      <c r="V41" s="755">
        <f>W41*$B$41</f>
        <v>239995.8</v>
      </c>
      <c r="W41" s="804">
        <v>33</v>
      </c>
      <c r="X41" s="755">
        <f>Y41*$B$41</f>
        <v>799985.99999999988</v>
      </c>
      <c r="Y41" s="804">
        <v>110</v>
      </c>
      <c r="Z41" s="755">
        <f>AA41*$B$41</f>
        <v>334539.59999999998</v>
      </c>
      <c r="AA41" s="804">
        <v>46</v>
      </c>
      <c r="AB41" s="755">
        <f>AC41*$B$41</f>
        <v>0</v>
      </c>
      <c r="AC41" s="804"/>
    </row>
    <row r="42" spans="1:33" s="767" customFormat="1" ht="15" thickBot="1" x14ac:dyDescent="0.4">
      <c r="A42" s="245" t="s">
        <v>164</v>
      </c>
      <c r="B42" s="246">
        <v>3636.2999999999997</v>
      </c>
      <c r="C42" s="805">
        <v>3999.93</v>
      </c>
      <c r="D42" s="763">
        <f>E42*$B$42</f>
        <v>0</v>
      </c>
      <c r="E42" s="766">
        <v>0</v>
      </c>
      <c r="F42" s="764">
        <f>G42*$C$42</f>
        <v>0</v>
      </c>
      <c r="G42" s="779">
        <v>0</v>
      </c>
      <c r="H42" s="763">
        <f>I42*$B$42</f>
        <v>0</v>
      </c>
      <c r="I42" s="806">
        <v>0</v>
      </c>
      <c r="J42" s="764">
        <f>K42*$C$42</f>
        <v>0</v>
      </c>
      <c r="K42" s="779">
        <v>0</v>
      </c>
      <c r="L42" s="764">
        <f>M42*$C$42</f>
        <v>0</v>
      </c>
      <c r="M42" s="779">
        <v>0</v>
      </c>
      <c r="N42" s="763">
        <f>O42*$B$42</f>
        <v>0</v>
      </c>
      <c r="O42" s="806">
        <v>0</v>
      </c>
      <c r="P42" s="764">
        <f>Q42*$C$42</f>
        <v>0</v>
      </c>
      <c r="Q42" s="779">
        <v>0</v>
      </c>
      <c r="R42" s="763">
        <f>S42*$B$42</f>
        <v>10908.9</v>
      </c>
      <c r="S42" s="806">
        <v>3</v>
      </c>
      <c r="T42" s="764">
        <f>U42*$C$42</f>
        <v>0</v>
      </c>
      <c r="U42" s="779">
        <v>0</v>
      </c>
      <c r="V42" s="763">
        <f>W42*$B$42</f>
        <v>0</v>
      </c>
      <c r="W42" s="806">
        <v>0</v>
      </c>
      <c r="X42" s="763">
        <f>Y42*$B$42</f>
        <v>0</v>
      </c>
      <c r="Y42" s="806">
        <v>0</v>
      </c>
      <c r="Z42" s="763">
        <f>AA42*$B$42</f>
        <v>0</v>
      </c>
      <c r="AA42" s="806">
        <v>0</v>
      </c>
      <c r="AB42" s="763">
        <f>AC42*$B$42</f>
        <v>0</v>
      </c>
      <c r="AC42" s="806"/>
    </row>
    <row r="43" spans="1:33" x14ac:dyDescent="0.35">
      <c r="A43" s="242" t="s">
        <v>34</v>
      </c>
      <c r="B43" s="243">
        <v>12120.999999999998</v>
      </c>
      <c r="C43" s="803">
        <v>13333.099999999999</v>
      </c>
      <c r="D43" s="755">
        <f>E43*$B$43</f>
        <v>218177.99999999997</v>
      </c>
      <c r="E43" s="756">
        <v>18</v>
      </c>
      <c r="F43" s="757">
        <f>G43*$C$43</f>
        <v>39999.299999999996</v>
      </c>
      <c r="G43" s="758">
        <v>3</v>
      </c>
      <c r="H43" s="755">
        <f>I43*$B$43</f>
        <v>424234.99999999994</v>
      </c>
      <c r="I43" s="804">
        <v>35</v>
      </c>
      <c r="J43" s="757">
        <f>K43*$C$43</f>
        <v>53332.399999999994</v>
      </c>
      <c r="K43" s="758">
        <v>4</v>
      </c>
      <c r="L43" s="757">
        <f>M43*$C$43</f>
        <v>0</v>
      </c>
      <c r="M43" s="758">
        <v>0</v>
      </c>
      <c r="N43" s="755">
        <f>O43*$B$43</f>
        <v>169693.99999999997</v>
      </c>
      <c r="O43" s="804">
        <v>14</v>
      </c>
      <c r="P43" s="757">
        <f>Q43*$C$43</f>
        <v>39999.299999999996</v>
      </c>
      <c r="Q43" s="758">
        <v>3</v>
      </c>
      <c r="R43" s="755">
        <f>S43*$B$43</f>
        <v>460597.99999999994</v>
      </c>
      <c r="S43" s="804">
        <v>38</v>
      </c>
      <c r="T43" s="757">
        <f>U43*$C$43</f>
        <v>199996.49999999997</v>
      </c>
      <c r="U43" s="758">
        <v>15</v>
      </c>
      <c r="V43" s="755">
        <f>W43*$B$43</f>
        <v>121209.99999999999</v>
      </c>
      <c r="W43" s="804">
        <v>10</v>
      </c>
      <c r="X43" s="755">
        <f>Y43*$B$43</f>
        <v>1115131.9999999998</v>
      </c>
      <c r="Y43" s="804">
        <v>92</v>
      </c>
      <c r="Z43" s="755">
        <f>AA43*$B$43</f>
        <v>157572.99999999997</v>
      </c>
      <c r="AA43" s="804">
        <v>13</v>
      </c>
      <c r="AB43" s="755">
        <f>AC43*$B$43</f>
        <v>0</v>
      </c>
      <c r="AC43" s="804"/>
    </row>
    <row r="44" spans="1:33" s="767" customFormat="1" ht="15" thickBot="1" x14ac:dyDescent="0.4">
      <c r="A44" s="245" t="s">
        <v>165</v>
      </c>
      <c r="B44" s="246">
        <v>6060.4999999999991</v>
      </c>
      <c r="C44" s="805">
        <v>6666.5499999999993</v>
      </c>
      <c r="D44" s="763">
        <f>E44*$B$44</f>
        <v>0</v>
      </c>
      <c r="E44" s="766">
        <v>0</v>
      </c>
      <c r="F44" s="764">
        <f>G44*$C$44</f>
        <v>0</v>
      </c>
      <c r="G44" s="779">
        <v>0</v>
      </c>
      <c r="H44" s="763">
        <f>I44*$B$44</f>
        <v>0</v>
      </c>
      <c r="I44" s="806">
        <v>0</v>
      </c>
      <c r="J44" s="764">
        <f>K44*$C$44</f>
        <v>0</v>
      </c>
      <c r="K44" s="779">
        <v>0</v>
      </c>
      <c r="L44" s="764">
        <f>M44*$C$44</f>
        <v>0</v>
      </c>
      <c r="M44" s="779">
        <v>0</v>
      </c>
      <c r="N44" s="763">
        <f>O44*$B$44</f>
        <v>0</v>
      </c>
      <c r="O44" s="806">
        <v>0</v>
      </c>
      <c r="P44" s="764">
        <f>Q44*$C$44</f>
        <v>0</v>
      </c>
      <c r="Q44" s="779">
        <v>0</v>
      </c>
      <c r="R44" s="763">
        <f>S44*$B$44</f>
        <v>0</v>
      </c>
      <c r="S44" s="806">
        <v>0</v>
      </c>
      <c r="T44" s="764">
        <f>U44*$C$44</f>
        <v>0</v>
      </c>
      <c r="U44" s="779">
        <v>0</v>
      </c>
      <c r="V44" s="763">
        <f>W44*$B$44</f>
        <v>0</v>
      </c>
      <c r="W44" s="806">
        <v>0</v>
      </c>
      <c r="X44" s="763">
        <f>Y44*$B$44</f>
        <v>0</v>
      </c>
      <c r="Y44" s="806">
        <v>0</v>
      </c>
      <c r="Z44" s="763">
        <f>AA44*$B$44</f>
        <v>0</v>
      </c>
      <c r="AA44" s="806">
        <v>0</v>
      </c>
      <c r="AB44" s="763">
        <f>AC44*$B$44</f>
        <v>0</v>
      </c>
      <c r="AC44" s="806"/>
    </row>
    <row r="45" spans="1:33" x14ac:dyDescent="0.35">
      <c r="A45" s="242" t="s">
        <v>35</v>
      </c>
      <c r="B45" s="243">
        <v>12928.3</v>
      </c>
      <c r="C45" s="803">
        <v>14221.130000000001</v>
      </c>
      <c r="D45" s="755">
        <f>E45*$B$45</f>
        <v>77569.799999999988</v>
      </c>
      <c r="E45" s="756">
        <v>6</v>
      </c>
      <c r="F45" s="757">
        <f>G45*$C$45</f>
        <v>0</v>
      </c>
      <c r="G45" s="758">
        <v>0</v>
      </c>
      <c r="H45" s="755">
        <f>I45*$B$45</f>
        <v>439562.19999999995</v>
      </c>
      <c r="I45" s="804">
        <v>34</v>
      </c>
      <c r="J45" s="757">
        <f>K45*$C$45</f>
        <v>14221.130000000001</v>
      </c>
      <c r="K45" s="758">
        <v>1</v>
      </c>
      <c r="L45" s="757">
        <f>M45*$C$45</f>
        <v>0</v>
      </c>
      <c r="M45" s="758">
        <v>0</v>
      </c>
      <c r="N45" s="755">
        <f>O45*$B$45</f>
        <v>129283</v>
      </c>
      <c r="O45" s="804">
        <v>10</v>
      </c>
      <c r="P45" s="757">
        <f>Q45*$C$45</f>
        <v>14221.130000000001</v>
      </c>
      <c r="Q45" s="758">
        <v>1</v>
      </c>
      <c r="R45" s="755">
        <f>S45*$B$45</f>
        <v>51713.2</v>
      </c>
      <c r="S45" s="804">
        <v>4</v>
      </c>
      <c r="T45" s="757">
        <f>U45*$C$45</f>
        <v>42663.39</v>
      </c>
      <c r="U45" s="758">
        <v>3</v>
      </c>
      <c r="V45" s="755">
        <f>W45*$B$45</f>
        <v>77569.799999999988</v>
      </c>
      <c r="W45" s="804">
        <v>6</v>
      </c>
      <c r="X45" s="755">
        <f>Y45*$B$45</f>
        <v>542988.6</v>
      </c>
      <c r="Y45" s="804">
        <v>42</v>
      </c>
      <c r="Z45" s="755">
        <f>AA45*$B$45</f>
        <v>219781.09999999998</v>
      </c>
      <c r="AA45" s="804">
        <v>17</v>
      </c>
      <c r="AB45" s="755">
        <f>AC45*$B$45</f>
        <v>0</v>
      </c>
      <c r="AC45" s="804"/>
    </row>
    <row r="46" spans="1:33" s="767" customFormat="1" ht="15" thickBot="1" x14ac:dyDescent="0.4">
      <c r="A46" s="245" t="s">
        <v>166</v>
      </c>
      <c r="B46" s="246">
        <v>6464.15</v>
      </c>
      <c r="C46" s="805">
        <v>7110.5650000000005</v>
      </c>
      <c r="D46" s="763">
        <f>E46*$B$46</f>
        <v>0</v>
      </c>
      <c r="E46" s="766">
        <v>0</v>
      </c>
      <c r="F46" s="764">
        <f>G46*$C$46</f>
        <v>0</v>
      </c>
      <c r="G46" s="779">
        <v>0</v>
      </c>
      <c r="H46" s="763">
        <f>I46*$B$46</f>
        <v>6464.15</v>
      </c>
      <c r="I46" s="806">
        <v>1</v>
      </c>
      <c r="J46" s="764">
        <f>K46*$C$46</f>
        <v>0</v>
      </c>
      <c r="K46" s="779">
        <v>0</v>
      </c>
      <c r="L46" s="764">
        <f>M46*$C$46</f>
        <v>0</v>
      </c>
      <c r="M46" s="779">
        <v>0</v>
      </c>
      <c r="N46" s="763">
        <f>O46*$B$46</f>
        <v>0</v>
      </c>
      <c r="O46" s="806">
        <v>0</v>
      </c>
      <c r="P46" s="764">
        <f>Q46*$C$46</f>
        <v>0</v>
      </c>
      <c r="Q46" s="779">
        <v>0</v>
      </c>
      <c r="R46" s="763">
        <f>S46*$B$46</f>
        <v>6464.15</v>
      </c>
      <c r="S46" s="806">
        <v>1</v>
      </c>
      <c r="T46" s="764">
        <f>U46*$C$46</f>
        <v>0</v>
      </c>
      <c r="U46" s="779">
        <v>0</v>
      </c>
      <c r="V46" s="763">
        <f>W46*$B$46</f>
        <v>0</v>
      </c>
      <c r="W46" s="806">
        <v>0</v>
      </c>
      <c r="X46" s="763">
        <f>Y46*$B$46</f>
        <v>12928.3</v>
      </c>
      <c r="Y46" s="806">
        <v>2</v>
      </c>
      <c r="Z46" s="763">
        <f>AA46*$B$46</f>
        <v>0</v>
      </c>
      <c r="AA46" s="806">
        <v>0</v>
      </c>
      <c r="AB46" s="763">
        <f>AC46*$B$46</f>
        <v>0</v>
      </c>
      <c r="AC46" s="806"/>
    </row>
    <row r="47" spans="1:33" x14ac:dyDescent="0.35">
      <c r="A47" s="242" t="s">
        <v>36</v>
      </c>
      <c r="B47" s="243">
        <v>22625.1</v>
      </c>
      <c r="C47" s="803">
        <v>24887.61</v>
      </c>
      <c r="D47" s="755">
        <f>E47*$B$47</f>
        <v>0</v>
      </c>
      <c r="E47" s="756">
        <v>0</v>
      </c>
      <c r="F47" s="757">
        <f>G47*$C$47</f>
        <v>0</v>
      </c>
      <c r="G47" s="758">
        <v>0</v>
      </c>
      <c r="H47" s="755">
        <f>I47*$B$47</f>
        <v>45250.2</v>
      </c>
      <c r="I47" s="804">
        <v>2</v>
      </c>
      <c r="J47" s="757">
        <f>K47*$C$47</f>
        <v>0</v>
      </c>
      <c r="K47" s="758">
        <v>0</v>
      </c>
      <c r="L47" s="757">
        <f>M47*$C$47</f>
        <v>0</v>
      </c>
      <c r="M47" s="758">
        <v>0</v>
      </c>
      <c r="N47" s="755">
        <f>O47*$B$47</f>
        <v>0</v>
      </c>
      <c r="O47" s="804">
        <v>0</v>
      </c>
      <c r="P47" s="757">
        <f>Q47*$C$47</f>
        <v>0</v>
      </c>
      <c r="Q47" s="758">
        <v>0</v>
      </c>
      <c r="R47" s="755">
        <f>S47*$B$47</f>
        <v>0</v>
      </c>
      <c r="S47" s="804">
        <v>0</v>
      </c>
      <c r="T47" s="757">
        <f>U47*$C$47</f>
        <v>0</v>
      </c>
      <c r="U47" s="758">
        <v>0</v>
      </c>
      <c r="V47" s="755">
        <f>W47*$B$47</f>
        <v>0</v>
      </c>
      <c r="W47" s="804">
        <v>0</v>
      </c>
      <c r="X47" s="755">
        <f>Y47*$B$47</f>
        <v>113125.5</v>
      </c>
      <c r="Y47" s="804">
        <v>5</v>
      </c>
      <c r="Z47" s="755">
        <f>AA47*$B$47</f>
        <v>22625.1</v>
      </c>
      <c r="AA47" s="804">
        <v>1</v>
      </c>
      <c r="AB47" s="755">
        <f>AC47*$B$47</f>
        <v>135750.59999999998</v>
      </c>
      <c r="AC47" s="804">
        <v>6</v>
      </c>
    </row>
    <row r="48" spans="1:33" s="767" customFormat="1" ht="15" thickBot="1" x14ac:dyDescent="0.4">
      <c r="A48" s="245" t="s">
        <v>167</v>
      </c>
      <c r="B48" s="246">
        <v>11312.55</v>
      </c>
      <c r="C48" s="805">
        <v>12443.805</v>
      </c>
      <c r="D48" s="763">
        <f>E48*$B$48</f>
        <v>0</v>
      </c>
      <c r="E48" s="766">
        <v>0</v>
      </c>
      <c r="F48" s="764">
        <f>G48*$C$48</f>
        <v>0</v>
      </c>
      <c r="G48" s="779">
        <v>0</v>
      </c>
      <c r="H48" s="763">
        <f>I48*$B$48</f>
        <v>0</v>
      </c>
      <c r="I48" s="806">
        <v>0</v>
      </c>
      <c r="J48" s="764">
        <f>K48*$C$48</f>
        <v>0</v>
      </c>
      <c r="K48" s="779">
        <v>0</v>
      </c>
      <c r="L48" s="764">
        <f>M48*$C$48</f>
        <v>0</v>
      </c>
      <c r="M48" s="779">
        <v>0</v>
      </c>
      <c r="N48" s="763">
        <f>O48*$B$48</f>
        <v>0</v>
      </c>
      <c r="O48" s="806">
        <v>0</v>
      </c>
      <c r="P48" s="764">
        <f>Q48*$C$48</f>
        <v>0</v>
      </c>
      <c r="Q48" s="779">
        <v>0</v>
      </c>
      <c r="R48" s="763">
        <f>S48*$B$48</f>
        <v>0</v>
      </c>
      <c r="S48" s="806">
        <v>0</v>
      </c>
      <c r="T48" s="764">
        <f>U48*$C$48</f>
        <v>0</v>
      </c>
      <c r="U48" s="779">
        <v>0</v>
      </c>
      <c r="V48" s="763">
        <f>W48*$B$48</f>
        <v>0</v>
      </c>
      <c r="W48" s="806">
        <v>0</v>
      </c>
      <c r="X48" s="763">
        <f>Y48*$B$48</f>
        <v>11312.55</v>
      </c>
      <c r="Y48" s="806">
        <v>1</v>
      </c>
      <c r="Z48" s="763">
        <f>AA48*$B$48</f>
        <v>11312.55</v>
      </c>
      <c r="AA48" s="806">
        <v>1</v>
      </c>
      <c r="AB48" s="763">
        <f>AC48*$B$48</f>
        <v>0</v>
      </c>
      <c r="AC48" s="806"/>
    </row>
    <row r="49" spans="1:31" ht="15" thickBot="1" x14ac:dyDescent="0.4">
      <c r="A49" s="248" t="s">
        <v>8</v>
      </c>
      <c r="B49" s="249"/>
      <c r="C49" s="768">
        <v>39057.449999999997</v>
      </c>
      <c r="D49" s="755"/>
      <c r="E49" s="756"/>
      <c r="F49" s="757"/>
      <c r="G49" s="758"/>
      <c r="H49" s="755"/>
      <c r="I49" s="756"/>
      <c r="J49" s="757"/>
      <c r="K49" s="758"/>
      <c r="L49" s="757">
        <f>C49*M49</f>
        <v>0</v>
      </c>
      <c r="M49" s="758">
        <v>0</v>
      </c>
      <c r="N49" s="755"/>
      <c r="O49" s="756"/>
      <c r="P49" s="757"/>
      <c r="Q49" s="758"/>
      <c r="R49" s="755"/>
      <c r="S49" s="756"/>
      <c r="T49" s="757"/>
      <c r="U49" s="758"/>
      <c r="V49" s="755"/>
      <c r="W49" s="756"/>
      <c r="X49" s="755"/>
      <c r="Y49" s="756"/>
      <c r="Z49" s="755"/>
      <c r="AA49" s="756"/>
      <c r="AB49" s="755"/>
      <c r="AC49" s="756"/>
    </row>
    <row r="50" spans="1:31" x14ac:dyDescent="0.35">
      <c r="D50" s="786">
        <f>SUM(D39:D49)</f>
        <v>632198.69999999995</v>
      </c>
      <c r="E50" s="807">
        <f>SUM(E39:E49)</f>
        <v>115</v>
      </c>
      <c r="F50" s="787">
        <f t="shared" ref="F50:AC50" si="17">SUM(F39:F49)</f>
        <v>157849.22999999998</v>
      </c>
      <c r="G50" s="808">
        <f t="shared" si="17"/>
        <v>39</v>
      </c>
      <c r="H50" s="786">
        <f t="shared" si="17"/>
        <v>1270409.5999999999</v>
      </c>
      <c r="I50" s="807">
        <f t="shared" si="17"/>
        <v>129</v>
      </c>
      <c r="J50" s="787">
        <f t="shared" si="17"/>
        <v>249402.34</v>
      </c>
      <c r="K50" s="808">
        <f t="shared" si="17"/>
        <v>49</v>
      </c>
      <c r="L50" s="787">
        <f t="shared" si="17"/>
        <v>0</v>
      </c>
      <c r="M50" s="808">
        <f>SUM(M39:M49)-M49</f>
        <v>0</v>
      </c>
      <c r="N50" s="786">
        <f t="shared" si="17"/>
        <v>379458.6</v>
      </c>
      <c r="O50" s="807">
        <f t="shared" si="17"/>
        <v>38</v>
      </c>
      <c r="P50" s="787">
        <f t="shared" si="17"/>
        <v>94751.03</v>
      </c>
      <c r="Q50" s="808">
        <f t="shared" si="17"/>
        <v>12</v>
      </c>
      <c r="R50" s="786">
        <f t="shared" si="17"/>
        <v>995123.74999999988</v>
      </c>
      <c r="S50" s="807">
        <f t="shared" si="17"/>
        <v>121</v>
      </c>
      <c r="T50" s="787">
        <f t="shared" si="17"/>
        <v>390922.94999999995</v>
      </c>
      <c r="U50" s="808">
        <f t="shared" si="17"/>
        <v>38</v>
      </c>
      <c r="V50" s="786">
        <f t="shared" si="17"/>
        <v>549292.89999999991</v>
      </c>
      <c r="W50" s="807">
        <f t="shared" si="17"/>
        <v>106</v>
      </c>
      <c r="X50" s="786">
        <f t="shared" si="17"/>
        <v>2704051.3499999992</v>
      </c>
      <c r="Y50" s="807">
        <f t="shared" si="17"/>
        <v>311</v>
      </c>
      <c r="Z50" s="786">
        <f t="shared" si="17"/>
        <v>761342.54999999993</v>
      </c>
      <c r="AA50" s="807">
        <f t="shared" si="17"/>
        <v>86</v>
      </c>
      <c r="AB50" s="786">
        <f t="shared" si="17"/>
        <v>135750.59999999998</v>
      </c>
      <c r="AC50" s="807">
        <f t="shared" si="17"/>
        <v>6</v>
      </c>
      <c r="AD50" s="241">
        <f>E50+G50+I50+K50+M50+O50+Q50+S50+U50+W50+Y50+AA50+AC50</f>
        <v>1050</v>
      </c>
      <c r="AE50" s="773">
        <f>D50+F50+H50+J50+L50+N50+P50+R50+T50+V50+X50+Z50+AB50</f>
        <v>8320553.5999999987</v>
      </c>
    </row>
    <row r="51" spans="1:31" x14ac:dyDescent="0.35">
      <c r="D51" s="755"/>
      <c r="E51" s="756"/>
      <c r="F51" s="757"/>
      <c r="G51" s="758"/>
      <c r="H51" s="755"/>
      <c r="I51" s="756"/>
      <c r="J51" s="757"/>
      <c r="K51" s="758"/>
      <c r="L51" s="757"/>
      <c r="M51" s="758"/>
      <c r="N51" s="755"/>
      <c r="O51" s="756"/>
      <c r="P51" s="757"/>
      <c r="Q51" s="758"/>
      <c r="R51" s="755"/>
      <c r="S51" s="756"/>
      <c r="T51" s="757"/>
      <c r="U51" s="758"/>
      <c r="V51" s="755"/>
      <c r="W51" s="756"/>
      <c r="X51" s="755"/>
      <c r="Y51" s="756"/>
      <c r="Z51" s="755"/>
      <c r="AA51" s="756"/>
      <c r="AB51" s="755"/>
      <c r="AC51" s="756"/>
    </row>
    <row r="52" spans="1:31" s="767" customFormat="1" x14ac:dyDescent="0.35">
      <c r="B52" s="767" t="s">
        <v>287</v>
      </c>
      <c r="D52" s="809">
        <f>SUM(E39+E41+E43+E45+E47)*E52</f>
        <v>38755</v>
      </c>
      <c r="E52" s="810">
        <v>337</v>
      </c>
      <c r="F52" s="811">
        <f>SUM(G39+G41+G43+G45+G47)*G52</f>
        <v>92781</v>
      </c>
      <c r="G52" s="812">
        <v>2379</v>
      </c>
      <c r="H52" s="809">
        <f>SUM(I39+I41+I43+I45+I47)*I52</f>
        <v>36830</v>
      </c>
      <c r="I52" s="810">
        <v>290</v>
      </c>
      <c r="J52" s="811">
        <f>SUM(K39+K41+K43+K45+K47)*K52</f>
        <v>116571</v>
      </c>
      <c r="K52" s="812">
        <v>2379</v>
      </c>
      <c r="L52" s="811">
        <f>SUM(M39+M41+M43+M45+M47)*M52</f>
        <v>0</v>
      </c>
      <c r="M52" s="812">
        <v>2869</v>
      </c>
      <c r="N52" s="809">
        <f>SUM(O39+O41+O43+O45+O47)*O52</f>
        <v>64372</v>
      </c>
      <c r="O52" s="810">
        <v>1694</v>
      </c>
      <c r="P52" s="811">
        <f>SUM(Q39+Q41+Q43+Q45+Q47)*Q52</f>
        <v>20328</v>
      </c>
      <c r="Q52" s="812">
        <v>1694</v>
      </c>
      <c r="R52" s="809">
        <f>SUM(S39+S41+S43+S45+S47)*S52</f>
        <v>45396</v>
      </c>
      <c r="S52" s="810">
        <v>388</v>
      </c>
      <c r="T52" s="811"/>
      <c r="U52" s="812">
        <v>2379</v>
      </c>
      <c r="V52" s="809">
        <f>SUM(W39+W41+W43+W45+W47)*W52</f>
        <v>48336</v>
      </c>
      <c r="W52" s="810">
        <v>456</v>
      </c>
      <c r="X52" s="809">
        <f>SUM(Y39+Y41+Y43+Y45+Y47)*Y52</f>
        <v>0</v>
      </c>
      <c r="Y52" s="810">
        <v>0</v>
      </c>
      <c r="Z52" s="809">
        <f>SUM(AA39+AA41+AA43+AA45+AA47)*AA52</f>
        <v>45135</v>
      </c>
      <c r="AA52" s="810">
        <v>531</v>
      </c>
      <c r="AB52" s="809">
        <f>SUM(AC39+AC41+AC43+AC45+AC47)*AC52</f>
        <v>0</v>
      </c>
      <c r="AC52" s="810">
        <v>0</v>
      </c>
      <c r="AE52" s="773">
        <f t="shared" ref="AE52:AE53" si="18">D52+F52+H52+J52+L52+N52+P52+R52+T52+V52+X52+Z52+AB52</f>
        <v>508504</v>
      </c>
    </row>
    <row r="53" spans="1:31" s="767" customFormat="1" x14ac:dyDescent="0.35">
      <c r="B53" s="767" t="s">
        <v>288</v>
      </c>
      <c r="D53" s="809">
        <f>SUM(E40+E42+E44+E46+E48)*E53</f>
        <v>0</v>
      </c>
      <c r="E53" s="813">
        <f>E52/2</f>
        <v>168.5</v>
      </c>
      <c r="F53" s="811">
        <f>SUM(G40+G42+G44+G46+G48)*G53</f>
        <v>0</v>
      </c>
      <c r="G53" s="814">
        <f>G52/2</f>
        <v>1189.5</v>
      </c>
      <c r="H53" s="809">
        <f>SUM(I40+I42+I44+I46+I48)*I53</f>
        <v>290</v>
      </c>
      <c r="I53" s="813">
        <f>I52/2</f>
        <v>145</v>
      </c>
      <c r="J53" s="811">
        <f>SUM(K40+K42+K44+K46+K48)*K53</f>
        <v>0</v>
      </c>
      <c r="K53" s="814">
        <f>K52/2</f>
        <v>1189.5</v>
      </c>
      <c r="L53" s="811">
        <f>SUM(M40+M42+M44+M46+M48)*M53</f>
        <v>0</v>
      </c>
      <c r="M53" s="814">
        <f>M52/2</f>
        <v>1434.5</v>
      </c>
      <c r="N53" s="809">
        <f>SUM(O40+O42+O44+O46+O48)*O53</f>
        <v>0</v>
      </c>
      <c r="O53" s="813">
        <f>O52/2</f>
        <v>847</v>
      </c>
      <c r="P53" s="811">
        <f>SUM(Q40+Q42+Q44+Q46+Q48)*Q53</f>
        <v>0</v>
      </c>
      <c r="Q53" s="814">
        <f>Q52/2</f>
        <v>847</v>
      </c>
      <c r="R53" s="809">
        <f>SUM(S40+S42+S44+S46+S48)*S53</f>
        <v>776</v>
      </c>
      <c r="S53" s="813">
        <f>S52/2</f>
        <v>194</v>
      </c>
      <c r="T53" s="811">
        <f>U50*U53</f>
        <v>45201</v>
      </c>
      <c r="U53" s="814">
        <f>U52/2</f>
        <v>1189.5</v>
      </c>
      <c r="V53" s="809">
        <f>SUM(W40+W42+W44+W46+W48)*W53</f>
        <v>0</v>
      </c>
      <c r="W53" s="815">
        <f>W52/2</f>
        <v>228</v>
      </c>
      <c r="X53" s="809">
        <f>SUM(Y40+Y42+Y44+Y46+Y48)*Y53</f>
        <v>0</v>
      </c>
      <c r="Y53" s="815">
        <f>Y52/2</f>
        <v>0</v>
      </c>
      <c r="Z53" s="809">
        <f>SUM(AA40+AA42+AA44+AA46+AA48)*AA53</f>
        <v>265.5</v>
      </c>
      <c r="AA53" s="813">
        <f>AA52/2</f>
        <v>265.5</v>
      </c>
      <c r="AB53" s="809">
        <f>SUM(AC40+AC42+AC44+AC46+AC48)*AC53</f>
        <v>0</v>
      </c>
      <c r="AC53" s="813">
        <f>AC52/2</f>
        <v>0</v>
      </c>
      <c r="AE53" s="773">
        <f t="shared" si="18"/>
        <v>46532.5</v>
      </c>
    </row>
    <row r="54" spans="1:31" x14ac:dyDescent="0.35">
      <c r="B54" s="816" t="s">
        <v>289</v>
      </c>
      <c r="D54" s="817">
        <f>SUM(D52:D53)</f>
        <v>38755</v>
      </c>
      <c r="E54" s="756"/>
      <c r="F54" s="818">
        <f>SUM(F52:F53)</f>
        <v>92781</v>
      </c>
      <c r="G54" s="758"/>
      <c r="H54" s="817">
        <f>SUM(H52:H53)</f>
        <v>37120</v>
      </c>
      <c r="I54" s="756"/>
      <c r="J54" s="818">
        <f>SUM(J52:J53)</f>
        <v>116571</v>
      </c>
      <c r="K54" s="758"/>
      <c r="L54" s="818">
        <f>SUM(L52:L53)</f>
        <v>0</v>
      </c>
      <c r="M54" s="758"/>
      <c r="N54" s="817">
        <f>SUM(N52:N53)</f>
        <v>64372</v>
      </c>
      <c r="O54" s="756"/>
      <c r="P54" s="818">
        <f>SUM(P52:P53)</f>
        <v>20328</v>
      </c>
      <c r="Q54" s="758"/>
      <c r="R54" s="817">
        <f>SUM(R52:R53)</f>
        <v>46172</v>
      </c>
      <c r="S54" s="756"/>
      <c r="T54" s="818">
        <f>SUM(T52:T53)</f>
        <v>45201</v>
      </c>
      <c r="U54" s="758"/>
      <c r="V54" s="817">
        <f>SUM(V52:V53)</f>
        <v>48336</v>
      </c>
      <c r="W54" s="756"/>
      <c r="X54" s="817">
        <f>SUM(X52:X53)</f>
        <v>0</v>
      </c>
      <c r="Y54" s="756"/>
      <c r="Z54" s="817">
        <f>SUM(Z52:Z53)</f>
        <v>45400.5</v>
      </c>
      <c r="AA54" s="756"/>
      <c r="AB54" s="817">
        <f>SUM(AB52:AB53)</f>
        <v>0</v>
      </c>
      <c r="AC54" s="756"/>
      <c r="AE54" s="873">
        <f>SUM(AE52:AE53)</f>
        <v>555036.5</v>
      </c>
    </row>
    <row r="55" spans="1:31" x14ac:dyDescent="0.35">
      <c r="D55" s="755"/>
      <c r="E55" s="756"/>
      <c r="F55" s="757"/>
      <c r="G55" s="758"/>
      <c r="H55" s="755"/>
      <c r="I55" s="756"/>
      <c r="J55" s="757"/>
      <c r="K55" s="758"/>
      <c r="L55" s="757"/>
      <c r="M55" s="758"/>
      <c r="N55" s="755"/>
      <c r="O55" s="756"/>
      <c r="P55" s="757"/>
      <c r="Q55" s="758"/>
      <c r="R55" s="755"/>
      <c r="S55" s="756"/>
      <c r="T55" s="757"/>
      <c r="U55" s="758"/>
      <c r="V55" s="755"/>
      <c r="W55" s="756"/>
      <c r="X55" s="755"/>
      <c r="Y55" s="756"/>
      <c r="Z55" s="755"/>
      <c r="AA55" s="756"/>
      <c r="AB55" s="755"/>
      <c r="AC55" s="756"/>
    </row>
    <row r="56" spans="1:31" ht="15" thickBot="1" x14ac:dyDescent="0.4">
      <c r="B56" s="773" t="s">
        <v>290</v>
      </c>
      <c r="D56" s="781">
        <f>D50+D54</f>
        <v>670953.69999999995</v>
      </c>
      <c r="E56" s="756"/>
      <c r="F56" s="783">
        <f>F50+F54</f>
        <v>250630.22999999998</v>
      </c>
      <c r="G56" s="758"/>
      <c r="H56" s="781">
        <f>H50+H54</f>
        <v>1307529.5999999999</v>
      </c>
      <c r="I56" s="756"/>
      <c r="J56" s="783">
        <f>J50+J54</f>
        <v>365973.33999999997</v>
      </c>
      <c r="K56" s="758"/>
      <c r="L56" s="783">
        <f>L50+L54</f>
        <v>0</v>
      </c>
      <c r="M56" s="758"/>
      <c r="N56" s="781">
        <f>N50+N54</f>
        <v>443830.6</v>
      </c>
      <c r="O56" s="756"/>
      <c r="P56" s="783">
        <f>P50+P54</f>
        <v>115079.03</v>
      </c>
      <c r="Q56" s="758"/>
      <c r="R56" s="781">
        <f>R50+R54</f>
        <v>1041295.7499999999</v>
      </c>
      <c r="S56" s="756"/>
      <c r="T56" s="783">
        <f>T50+T54</f>
        <v>436123.94999999995</v>
      </c>
      <c r="U56" s="758"/>
      <c r="V56" s="781">
        <f>V50+V54</f>
        <v>597628.89999999991</v>
      </c>
      <c r="W56" s="756"/>
      <c r="X56" s="781">
        <f>X50+X54</f>
        <v>2704051.3499999992</v>
      </c>
      <c r="Y56" s="756"/>
      <c r="Z56" s="781">
        <f>Z50+Z54</f>
        <v>806743.04999999993</v>
      </c>
      <c r="AA56" s="756"/>
      <c r="AB56" s="781">
        <f>AB50+AB54</f>
        <v>135750.59999999998</v>
      </c>
      <c r="AC56" s="756"/>
      <c r="AE56" s="773">
        <f>D56+F56+H56+J56+L56+N56+P56+R56+T56+V56+X56+Z56+AB56</f>
        <v>8875590.0999999996</v>
      </c>
    </row>
    <row r="57" spans="1:31" ht="15" thickTop="1" x14ac:dyDescent="0.35">
      <c r="D57" s="755"/>
      <c r="E57" s="756"/>
      <c r="F57" s="757"/>
      <c r="G57" s="758"/>
      <c r="H57" s="755"/>
      <c r="I57" s="756"/>
      <c r="J57" s="757"/>
      <c r="K57" s="758"/>
      <c r="L57" s="757"/>
      <c r="M57" s="758"/>
      <c r="N57" s="755"/>
      <c r="O57" s="756"/>
      <c r="P57" s="757"/>
      <c r="Q57" s="758"/>
      <c r="R57" s="755"/>
      <c r="S57" s="756"/>
      <c r="T57" s="757"/>
      <c r="U57" s="758"/>
      <c r="V57" s="755"/>
      <c r="W57" s="756"/>
      <c r="X57" s="755"/>
      <c r="Y57" s="756"/>
      <c r="Z57" s="755"/>
      <c r="AA57" s="756"/>
      <c r="AB57" s="755"/>
      <c r="AC57" s="756"/>
    </row>
    <row r="58" spans="1:31" x14ac:dyDescent="0.35">
      <c r="B58" s="767" t="s">
        <v>291</v>
      </c>
      <c r="D58" s="769">
        <f>(D56/E50)</f>
        <v>5834.3799999999992</v>
      </c>
      <c r="E58" s="756"/>
      <c r="F58" s="771">
        <f>F56/G50</f>
        <v>6426.4161538461531</v>
      </c>
      <c r="G58" s="758"/>
      <c r="H58" s="769">
        <f>H56/I50</f>
        <v>10135.888372093023</v>
      </c>
      <c r="I58" s="756"/>
      <c r="J58" s="771">
        <f>J56/K50</f>
        <v>7468.8436734693869</v>
      </c>
      <c r="K58" s="758"/>
      <c r="L58" s="771"/>
      <c r="M58" s="758"/>
      <c r="N58" s="769">
        <f>N56/O50</f>
        <v>11679.752631578947</v>
      </c>
      <c r="O58" s="756"/>
      <c r="P58" s="771">
        <f>P56/Q50</f>
        <v>9589.9191666666666</v>
      </c>
      <c r="Q58" s="758"/>
      <c r="R58" s="769">
        <f>R56/S50</f>
        <v>8605.7499999999982</v>
      </c>
      <c r="S58" s="756"/>
      <c r="T58" s="771">
        <f>T56/U50</f>
        <v>11476.946052631578</v>
      </c>
      <c r="U58" s="758"/>
      <c r="V58" s="769">
        <f>V56/W50</f>
        <v>5638.0084905660369</v>
      </c>
      <c r="W58" s="756"/>
      <c r="X58" s="769">
        <f>X56/Y50</f>
        <v>8694.6988745980689</v>
      </c>
      <c r="Y58" s="756"/>
      <c r="Z58" s="769">
        <f>Z56/AA50</f>
        <v>9380.7331395348829</v>
      </c>
      <c r="AA58" s="756"/>
      <c r="AB58" s="769">
        <f>AB56/AC50</f>
        <v>22625.099999999995</v>
      </c>
      <c r="AC58" s="756"/>
    </row>
    <row r="59" spans="1:31" x14ac:dyDescent="0.35">
      <c r="D59" s="755"/>
      <c r="E59" s="756"/>
      <c r="F59" s="757"/>
      <c r="G59" s="758"/>
      <c r="H59" s="755"/>
      <c r="I59" s="756"/>
      <c r="J59" s="757"/>
      <c r="K59" s="758"/>
      <c r="L59" s="757"/>
      <c r="M59" s="758"/>
      <c r="N59" s="755"/>
      <c r="O59" s="756"/>
      <c r="P59" s="757"/>
      <c r="Q59" s="758"/>
      <c r="R59" s="755"/>
      <c r="S59" s="756"/>
      <c r="T59" s="757"/>
      <c r="U59" s="758"/>
      <c r="V59" s="755"/>
      <c r="W59" s="756"/>
      <c r="X59" s="755"/>
      <c r="Y59" s="756"/>
      <c r="Z59" s="755"/>
      <c r="AA59" s="756"/>
      <c r="AB59" s="755"/>
      <c r="AC59" s="756"/>
    </row>
    <row r="60" spans="1:31" x14ac:dyDescent="0.35">
      <c r="C60" s="819" t="s">
        <v>292</v>
      </c>
      <c r="D60" s="755">
        <f>IF(D58&gt;D31,D58-D31,0)</f>
        <v>0</v>
      </c>
      <c r="E60" s="756"/>
      <c r="F60" s="757">
        <f>IF(F58&gt;F31,F58-F31,0)</f>
        <v>0</v>
      </c>
      <c r="G60" s="758"/>
      <c r="H60" s="755">
        <f>IF(H58&gt;H31,H58-H31,0)</f>
        <v>420.42702730659767</v>
      </c>
      <c r="I60" s="756"/>
      <c r="J60" s="757">
        <f>IF(J58&gt;J31,J58-J31,0)</f>
        <v>0</v>
      </c>
      <c r="K60" s="758"/>
      <c r="L60" s="757"/>
      <c r="M60" s="758"/>
      <c r="N60" s="755">
        <f>IF(N58&gt;N31,N58-N31,0)</f>
        <v>1060.8216996728916</v>
      </c>
      <c r="O60" s="756"/>
      <c r="P60" s="757">
        <f>IF(P58&gt;P31,P58-P31,0)</f>
        <v>798.05509271806295</v>
      </c>
      <c r="Q60" s="758"/>
      <c r="R60" s="755">
        <f>IF(R58&gt;R31,R58-R31,0)</f>
        <v>747.70630188854011</v>
      </c>
      <c r="S60" s="756"/>
      <c r="T60" s="757">
        <f>IF(T58&gt;T31,T58-T31,0)</f>
        <v>1621.7843184911944</v>
      </c>
      <c r="U60" s="758"/>
      <c r="V60" s="755">
        <f>IF(V58&gt;V31,V58-V31,0)</f>
        <v>110.28926367060922</v>
      </c>
      <c r="W60" s="756"/>
      <c r="X60" s="755">
        <f>IF(X58&gt;X31,X58-X31,0)</f>
        <v>1002.8530871944586</v>
      </c>
      <c r="Y60" s="756"/>
      <c r="Z60" s="755">
        <f>IF(Z58&gt;Z31,Z58-Z31,0)</f>
        <v>168.20844828785812</v>
      </c>
      <c r="AA60" s="756"/>
      <c r="AB60" s="755">
        <f>IF(AB58&gt;AB31,AB58-AB31,0)</f>
        <v>1661.531680773478</v>
      </c>
      <c r="AC60" s="756"/>
    </row>
    <row r="61" spans="1:31" x14ac:dyDescent="0.35">
      <c r="C61" s="819" t="s">
        <v>293</v>
      </c>
      <c r="D61" s="755">
        <f>IF(D58&lt;D31,D58-D31,0)*-1</f>
        <v>111.91947378017358</v>
      </c>
      <c r="E61" s="756"/>
      <c r="F61" s="757">
        <f>IF(F58&lt;F31,F58-F31,0)*-1</f>
        <v>498.97109396762517</v>
      </c>
      <c r="G61" s="758"/>
      <c r="H61" s="755">
        <f>IF(H58&lt;H31,H58-H31,0)*-1</f>
        <v>0</v>
      </c>
      <c r="I61" s="756"/>
      <c r="J61" s="757">
        <f>IF(J58&lt;J31,J58-J31,0)*-1</f>
        <v>566.03966691790174</v>
      </c>
      <c r="K61" s="758"/>
      <c r="L61" s="757"/>
      <c r="M61" s="758"/>
      <c r="N61" s="755">
        <f>IF(N58&lt;N31,N58-N31,0)*-1</f>
        <v>0</v>
      </c>
      <c r="O61" s="756"/>
      <c r="P61" s="757">
        <f>IF(P58&lt;P31,P58-P31,0)*-1</f>
        <v>0</v>
      </c>
      <c r="Q61" s="758"/>
      <c r="R61" s="755">
        <f>IF(R58&lt;R31,R58-R31,0)*-1</f>
        <v>0</v>
      </c>
      <c r="S61" s="756"/>
      <c r="T61" s="757">
        <f>IF(T58&lt;T31,T58-T31,0)*-1</f>
        <v>0</v>
      </c>
      <c r="U61" s="758"/>
      <c r="V61" s="755">
        <f>IF(V58&lt;V31,V58-V31,0)*-1</f>
        <v>0</v>
      </c>
      <c r="W61" s="756"/>
      <c r="X61" s="755">
        <f>IF(X58&lt;X31,X58-X31,0)*-1</f>
        <v>0</v>
      </c>
      <c r="Y61" s="756"/>
      <c r="Z61" s="755">
        <f>IF(Z58&lt;Z31,Z58-Z31,0)*-1</f>
        <v>0</v>
      </c>
      <c r="AA61" s="756"/>
      <c r="AB61" s="755">
        <f>IF(AB58&lt;AB31,AB58-AB31,0)*-1</f>
        <v>0</v>
      </c>
      <c r="AC61" s="756"/>
    </row>
    <row r="62" spans="1:31" x14ac:dyDescent="0.35">
      <c r="C62" s="819" t="s">
        <v>312</v>
      </c>
      <c r="D62" s="755">
        <f>D26-D58</f>
        <v>354.75652160423579</v>
      </c>
      <c r="E62" s="756"/>
      <c r="F62" s="757">
        <f>F26-F58</f>
        <v>756.71810789372194</v>
      </c>
      <c r="G62" s="758"/>
      <c r="H62" s="755">
        <f>H26-H58</f>
        <v>-120.19157535553677</v>
      </c>
      <c r="I62" s="756"/>
      <c r="J62" s="757">
        <f>J26-J58</f>
        <v>840.68256042633675</v>
      </c>
      <c r="K62" s="758"/>
      <c r="L62" s="757"/>
      <c r="M62" s="758"/>
      <c r="N62" s="755">
        <f>N26-N58</f>
        <v>-746.82782761340786</v>
      </c>
      <c r="O62" s="756"/>
      <c r="P62" s="757">
        <f>P26-P58</f>
        <v>-511.88457382544402</v>
      </c>
      <c r="Q62" s="758"/>
      <c r="R62" s="755">
        <f>R26-R58</f>
        <v>-475.75639785638668</v>
      </c>
      <c r="S62" s="756"/>
      <c r="T62" s="757">
        <f>T26-T58</f>
        <v>-1319.4214494433727</v>
      </c>
      <c r="U62" s="758"/>
      <c r="V62" s="755">
        <f>V26-V58</f>
        <v>126.17346567297682</v>
      </c>
      <c r="W62" s="756"/>
      <c r="X62" s="755">
        <f>X26-X58</f>
        <v>-733.4341158126781</v>
      </c>
      <c r="Y62" s="756"/>
      <c r="Z62" s="755">
        <f>Z26-Z58</f>
        <v>124.3680698529588</v>
      </c>
      <c r="AA62" s="756"/>
      <c r="AB62" s="755">
        <f>AB26-AB58</f>
        <v>-1190.0052596685055</v>
      </c>
      <c r="AC62" s="756"/>
    </row>
    <row r="63" spans="1:31" s="773" customFormat="1" x14ac:dyDescent="0.35">
      <c r="C63" s="820" t="s">
        <v>294</v>
      </c>
      <c r="D63" s="821">
        <f>IF(D60=0,D61,IF(D62&lt;0,D62,IF(D62&lt;0,D62,0)))</f>
        <v>111.91947378017358</v>
      </c>
      <c r="E63" s="770"/>
      <c r="F63" s="822">
        <f>IF(F60=0,F61,IF(F62&lt;0,F62,IF(F62&lt;0,F62,0)))</f>
        <v>498.97109396762517</v>
      </c>
      <c r="G63" s="772"/>
      <c r="H63" s="821">
        <f>IF(H60=0,H61,IF(H62&lt;0,H62,IF(H62&lt;0,H62,0)))</f>
        <v>-120.19157535553677</v>
      </c>
      <c r="I63" s="770"/>
      <c r="J63" s="822">
        <f>IF(J60=0,J61,IF(J62&lt;0,J62,IF(J62&lt;0,J62,0)))</f>
        <v>566.03966691790174</v>
      </c>
      <c r="K63" s="772"/>
      <c r="L63" s="822">
        <f>IF(L60=0,L61,IF(L62&lt;0,L62,IF(L62&lt;0,L62,0)))</f>
        <v>0</v>
      </c>
      <c r="M63" s="772"/>
      <c r="N63" s="821">
        <f>IF(N60=0,N61,IF(N62&lt;0,N62,IF(N62&lt;0,N62,0)))</f>
        <v>-746.82782761340786</v>
      </c>
      <c r="O63" s="770"/>
      <c r="P63" s="822">
        <f>IF(P60=0,P61,IF(P62&lt;0,P62,IF(P62&lt;0,P62,0)))</f>
        <v>-511.88457382544402</v>
      </c>
      <c r="Q63" s="772"/>
      <c r="R63" s="821">
        <f>IF(R60=0,R61,IF(R62&lt;0,R62,IF(R62&lt;0,R62,0)))</f>
        <v>-475.75639785638668</v>
      </c>
      <c r="S63" s="770"/>
      <c r="T63" s="822">
        <f>IF(T60=0,T61,IF(T62&lt;0,T62,IF(T62&lt;0,T62,0)))</f>
        <v>-1319.4214494433727</v>
      </c>
      <c r="U63" s="772"/>
      <c r="V63" s="821">
        <f>IF(V60=0,V61,IF(V62&lt;0,V62,IF(V62&lt;0,V62,0)))</f>
        <v>0</v>
      </c>
      <c r="W63" s="770"/>
      <c r="X63" s="821">
        <f>IF(X60=0,X61,IF(X62&lt;0,X62,IF(X62&lt;0,X62,0)))</f>
        <v>-733.4341158126781</v>
      </c>
      <c r="Y63" s="770"/>
      <c r="Z63" s="821">
        <f>IF(Z60=0,Z61,IF(Z62&lt;0,Z62,IF(Z62&lt;0,Z62,0)))</f>
        <v>0</v>
      </c>
      <c r="AA63" s="770"/>
      <c r="AB63" s="821">
        <f>IF(AB60=0,AB61,IF(AB62&lt;0,AB62,IF(AB62&lt;0,AB62,0)))</f>
        <v>-1190.0052596685055</v>
      </c>
      <c r="AC63" s="770"/>
    </row>
    <row r="64" spans="1:31" x14ac:dyDescent="0.35">
      <c r="D64" s="755"/>
      <c r="E64" s="756"/>
      <c r="F64" s="757"/>
      <c r="G64" s="758"/>
      <c r="H64" s="755"/>
      <c r="I64" s="756"/>
      <c r="J64" s="757"/>
      <c r="K64" s="758"/>
      <c r="L64" s="757"/>
      <c r="M64" s="758"/>
      <c r="N64" s="755"/>
      <c r="O64" s="756"/>
      <c r="P64" s="757"/>
      <c r="Q64" s="758"/>
      <c r="R64" s="755"/>
      <c r="S64" s="756"/>
      <c r="T64" s="757"/>
      <c r="U64" s="758"/>
      <c r="V64" s="755"/>
      <c r="W64" s="756"/>
      <c r="X64" s="755"/>
      <c r="Y64" s="756"/>
      <c r="Z64" s="755"/>
      <c r="AA64" s="756"/>
      <c r="AB64" s="755"/>
      <c r="AC64" s="756"/>
    </row>
    <row r="65" spans="1:31" x14ac:dyDescent="0.35">
      <c r="D65" s="755"/>
      <c r="E65" s="756"/>
      <c r="F65" s="757"/>
      <c r="G65" s="758"/>
      <c r="H65" s="755"/>
      <c r="I65" s="756"/>
      <c r="J65" s="757"/>
      <c r="K65" s="758"/>
      <c r="L65" s="757"/>
      <c r="M65" s="758"/>
      <c r="N65" s="755"/>
      <c r="O65" s="756"/>
      <c r="P65" s="757"/>
      <c r="Q65" s="758"/>
      <c r="R65" s="755"/>
      <c r="S65" s="756"/>
      <c r="T65" s="757"/>
      <c r="U65" s="758"/>
      <c r="V65" s="755"/>
      <c r="W65" s="756"/>
      <c r="X65" s="755"/>
      <c r="Y65" s="756"/>
      <c r="Z65" s="755"/>
      <c r="AA65" s="756"/>
      <c r="AB65" s="755"/>
      <c r="AC65" s="756"/>
    </row>
    <row r="66" spans="1:31" x14ac:dyDescent="0.35">
      <c r="B66" s="773" t="s">
        <v>313</v>
      </c>
      <c r="D66" s="769">
        <f>D56</f>
        <v>670953.69999999995</v>
      </c>
      <c r="E66" s="756"/>
      <c r="F66" s="771">
        <f>F56</f>
        <v>250630.22999999998</v>
      </c>
      <c r="G66" s="758"/>
      <c r="H66" s="769">
        <f>H56</f>
        <v>1307529.5999999999</v>
      </c>
      <c r="I66" s="756"/>
      <c r="J66" s="771">
        <f>J56</f>
        <v>365973.33999999997</v>
      </c>
      <c r="K66" s="758"/>
      <c r="L66" s="771">
        <f>L56</f>
        <v>0</v>
      </c>
      <c r="M66" s="758"/>
      <c r="N66" s="769">
        <f>N56</f>
        <v>443830.6</v>
      </c>
      <c r="O66" s="756"/>
      <c r="P66" s="771">
        <f>P56</f>
        <v>115079.03</v>
      </c>
      <c r="Q66" s="758"/>
      <c r="R66" s="769">
        <f>R56</f>
        <v>1041295.7499999999</v>
      </c>
      <c r="S66" s="756"/>
      <c r="T66" s="771">
        <f>T56</f>
        <v>436123.94999999995</v>
      </c>
      <c r="U66" s="758"/>
      <c r="V66" s="769">
        <f>V56</f>
        <v>597628.89999999991</v>
      </c>
      <c r="W66" s="756"/>
      <c r="X66" s="769">
        <f>X56</f>
        <v>2704051.3499999992</v>
      </c>
      <c r="Y66" s="756"/>
      <c r="Z66" s="769">
        <f>Z56</f>
        <v>806743.04999999993</v>
      </c>
      <c r="AA66" s="756"/>
      <c r="AB66" s="769">
        <f>AB56</f>
        <v>135750.59999999998</v>
      </c>
      <c r="AC66" s="756"/>
    </row>
    <row r="67" spans="1:31" s="780" customFormat="1" x14ac:dyDescent="0.35">
      <c r="B67" s="780" t="s">
        <v>295</v>
      </c>
      <c r="D67" s="823">
        <f>IF(D63&gt;0,D63*E50,0)</f>
        <v>12870.739484719961</v>
      </c>
      <c r="E67" s="824"/>
      <c r="F67" s="825">
        <f>IF(F63&gt;0,F63*G50,0)</f>
        <v>19459.872664737381</v>
      </c>
      <c r="G67" s="826"/>
      <c r="H67" s="823">
        <f>IF(H63&gt;0,H63*I50,0)</f>
        <v>0</v>
      </c>
      <c r="I67" s="824"/>
      <c r="J67" s="825">
        <f>IF(J63&gt;0,J63*K50,0)</f>
        <v>27735.943678977186</v>
      </c>
      <c r="K67" s="826"/>
      <c r="L67" s="825">
        <f>IF(L63&gt;0,L63*M50,0)</f>
        <v>0</v>
      </c>
      <c r="M67" s="826"/>
      <c r="N67" s="823">
        <f>IF(N63&gt;0,N63*O50,0)</f>
        <v>0</v>
      </c>
      <c r="O67" s="824"/>
      <c r="P67" s="825">
        <f>IF(P63&gt;0,P63*Q50,0)</f>
        <v>0</v>
      </c>
      <c r="Q67" s="826"/>
      <c r="R67" s="823">
        <f>IF(R63&gt;0,R63*S50,0)</f>
        <v>0</v>
      </c>
      <c r="S67" s="824"/>
      <c r="T67" s="825">
        <f>IF(T63&gt;0,T63*U50,0)</f>
        <v>0</v>
      </c>
      <c r="U67" s="826"/>
      <c r="V67" s="823">
        <f>IF(V63&gt;0,V63*W50,0)</f>
        <v>0</v>
      </c>
      <c r="W67" s="824"/>
      <c r="X67" s="823">
        <f>IF(X63&gt;0,X63*Y50,0)</f>
        <v>0</v>
      </c>
      <c r="Y67" s="824"/>
      <c r="Z67" s="823">
        <f>IF(Z63&gt;0,Z63*AA50,0)</f>
        <v>0</v>
      </c>
      <c r="AA67" s="824"/>
      <c r="AB67" s="823">
        <f>IF(AB63&gt;0,AB63*AC50,0)</f>
        <v>0</v>
      </c>
      <c r="AC67" s="824"/>
    </row>
    <row r="68" spans="1:31" x14ac:dyDescent="0.35">
      <c r="B68" s="773" t="s">
        <v>314</v>
      </c>
      <c r="D68" s="786">
        <f>SUM(D66:D67)</f>
        <v>683824.43948471989</v>
      </c>
      <c r="E68" s="756"/>
      <c r="F68" s="787">
        <f>SUM(F66:F67)</f>
        <v>270090.10266473738</v>
      </c>
      <c r="G68" s="758"/>
      <c r="H68" s="786">
        <f>SUM(H66:H67)</f>
        <v>1307529.5999999999</v>
      </c>
      <c r="I68" s="756"/>
      <c r="J68" s="787">
        <f>SUM(J66:J67)</f>
        <v>393709.28367897717</v>
      </c>
      <c r="K68" s="758"/>
      <c r="L68" s="787">
        <f>SUM(L66:L67)</f>
        <v>0</v>
      </c>
      <c r="M68" s="758"/>
      <c r="N68" s="786">
        <f>SUM(N66:N67)</f>
        <v>443830.6</v>
      </c>
      <c r="O68" s="756"/>
      <c r="P68" s="787">
        <f>SUM(P66:P67)</f>
        <v>115079.03</v>
      </c>
      <c r="Q68" s="758"/>
      <c r="R68" s="786">
        <f>SUM(R66:R67)</f>
        <v>1041295.7499999999</v>
      </c>
      <c r="S68" s="756"/>
      <c r="T68" s="787">
        <f>SUM(T66:T67)</f>
        <v>436123.94999999995</v>
      </c>
      <c r="U68" s="758"/>
      <c r="V68" s="786">
        <f>SUM(V66:V67)</f>
        <v>597628.89999999991</v>
      </c>
      <c r="W68" s="756"/>
      <c r="X68" s="786">
        <f>SUM(X66:X67)</f>
        <v>2704051.3499999992</v>
      </c>
      <c r="Y68" s="756"/>
      <c r="Z68" s="786">
        <f>SUM(Z66:Z67)</f>
        <v>806743.04999999993</v>
      </c>
      <c r="AA68" s="756"/>
      <c r="AB68" s="786">
        <f>SUM(AB66:AB67)</f>
        <v>135750.59999999998</v>
      </c>
      <c r="AC68" s="756"/>
      <c r="AE68" s="773">
        <f>D68+F68+H68+J68+L68+N68+P68+R68+T68+V68+X68+Z68+AB68</f>
        <v>8935656.655828435</v>
      </c>
    </row>
    <row r="69" spans="1:31" x14ac:dyDescent="0.35">
      <c r="D69" s="755"/>
      <c r="E69" s="756"/>
      <c r="F69" s="757"/>
      <c r="G69" s="758"/>
      <c r="H69" s="755"/>
      <c r="I69" s="756"/>
      <c r="J69" s="757"/>
      <c r="K69" s="758"/>
      <c r="L69" s="757"/>
      <c r="M69" s="758"/>
      <c r="N69" s="755"/>
      <c r="O69" s="756"/>
      <c r="P69" s="757"/>
      <c r="Q69" s="758"/>
      <c r="R69" s="755"/>
      <c r="S69" s="756"/>
      <c r="T69" s="757"/>
      <c r="U69" s="758"/>
      <c r="V69" s="755"/>
      <c r="W69" s="756"/>
      <c r="X69" s="755"/>
      <c r="Y69" s="756"/>
      <c r="Z69" s="755"/>
      <c r="AA69" s="756"/>
      <c r="AB69" s="755"/>
      <c r="AC69" s="756"/>
    </row>
    <row r="70" spans="1:31" x14ac:dyDescent="0.35">
      <c r="A70" s="1273" t="s">
        <v>296</v>
      </c>
      <c r="B70" s="1273"/>
      <c r="D70" s="827">
        <f>IF(D63&lt;0,(-D63*E50),0)</f>
        <v>0</v>
      </c>
      <c r="E70" s="756"/>
      <c r="F70" s="752">
        <f>IF(F63&lt;0,(-F63*G50),0)</f>
        <v>0</v>
      </c>
      <c r="G70" s="758"/>
      <c r="H70" s="827">
        <f>IF(H63&lt;0,(-H63*I50),0)</f>
        <v>15504.713220864243</v>
      </c>
      <c r="I70" s="756"/>
      <c r="J70" s="752">
        <f>IF(J63&lt;0,(-J63*K50),0)</f>
        <v>0</v>
      </c>
      <c r="K70" s="758"/>
      <c r="L70" s="752">
        <f>IF(L63&lt;0,(-L63*M50),0)</f>
        <v>0</v>
      </c>
      <c r="M70" s="758"/>
      <c r="N70" s="827">
        <f>IF(N63&lt;0,(-N63*O50),0)</f>
        <v>28379.457449309499</v>
      </c>
      <c r="O70" s="756"/>
      <c r="P70" s="752">
        <f>IF(P63&lt;0,(-P63*Q50),0)</f>
        <v>6142.6148859053283</v>
      </c>
      <c r="Q70" s="758"/>
      <c r="R70" s="827">
        <f>IF(R63&lt;0,(-R63*S50),0)</f>
        <v>57566.524140622787</v>
      </c>
      <c r="S70" s="756"/>
      <c r="T70" s="752">
        <f>IF(T63&lt;0,(-T63*U50),0)</f>
        <v>50138.015078848162</v>
      </c>
      <c r="U70" s="758"/>
      <c r="V70" s="827">
        <f>IF(V63&lt;0,(-V63*W50),0)</f>
        <v>0</v>
      </c>
      <c r="W70" s="756"/>
      <c r="X70" s="827">
        <f>IF(X63&lt;0,(-X63*Y50),0)</f>
        <v>228098.0100177429</v>
      </c>
      <c r="Y70" s="756"/>
      <c r="Z70" s="827">
        <f>IF(Z63&lt;0,(-Z63*AA50),0)</f>
        <v>0</v>
      </c>
      <c r="AA70" s="756"/>
      <c r="AB70" s="827">
        <f>IF(AB63&lt;0,(-AB63*AC50),0)</f>
        <v>7140.0315580110328</v>
      </c>
      <c r="AC70" s="756"/>
      <c r="AE70" s="773">
        <f>D70+F70+H70+J70+L70+N70+P70+R70+T70+V70+X70+Z70+AB70</f>
        <v>392969.36635130394</v>
      </c>
    </row>
    <row r="71" spans="1:31" x14ac:dyDescent="0.35">
      <c r="A71" s="1273" t="s">
        <v>297</v>
      </c>
      <c r="B71" s="1273"/>
      <c r="C71" s="828">
        <v>0.1</v>
      </c>
      <c r="D71" s="750">
        <f>IF(D70&gt;0,D70*$C$71,0)</f>
        <v>0</v>
      </c>
      <c r="E71" s="756"/>
      <c r="F71" s="752">
        <f>IF(F70&gt;0,F70*$C$71,0)</f>
        <v>0</v>
      </c>
      <c r="G71" s="758"/>
      <c r="H71" s="750">
        <f>IF(H70&gt;0,H70*$C$71,0)</f>
        <v>1550.4713220864244</v>
      </c>
      <c r="I71" s="756"/>
      <c r="J71" s="752">
        <f>IF(J70&gt;0,J70*$C$71,0)</f>
        <v>0</v>
      </c>
      <c r="K71" s="758"/>
      <c r="L71" s="752">
        <f>IF(L70&gt;0,L70*$C$71,0)</f>
        <v>0</v>
      </c>
      <c r="M71" s="758"/>
      <c r="N71" s="750">
        <f>IF(N70&gt;0,N70*$C$71,0)</f>
        <v>2837.9457449309502</v>
      </c>
      <c r="O71" s="756"/>
      <c r="P71" s="752">
        <f>IF(P70&gt;0,P70*$C$71,0)</f>
        <v>614.26148859053285</v>
      </c>
      <c r="Q71" s="758"/>
      <c r="R71" s="750">
        <f>IF(R70&gt;0,R70*$C$71,0)</f>
        <v>5756.6524140622787</v>
      </c>
      <c r="S71" s="756"/>
      <c r="T71" s="752">
        <f>IF(T70&gt;0,T70*$C$71,0)</f>
        <v>5013.8015078848166</v>
      </c>
      <c r="U71" s="758"/>
      <c r="V71" s="750">
        <f>IF(V70&gt;0,V70*$C$71,0)</f>
        <v>0</v>
      </c>
      <c r="W71" s="756"/>
      <c r="X71" s="750">
        <f>IF(X70&gt;0,X70*$C$71,0)</f>
        <v>22809.801001774293</v>
      </c>
      <c r="Y71" s="756"/>
      <c r="Z71" s="750">
        <f>IF(Z70&gt;0,Z70*$C$71,0)</f>
        <v>0</v>
      </c>
      <c r="AA71" s="756"/>
      <c r="AB71" s="750">
        <f>IF(AB70&gt;0,AB70*$C$71,0)</f>
        <v>714.00315580110328</v>
      </c>
      <c r="AC71" s="756"/>
      <c r="AE71" s="773">
        <f>D71+F71+H71+J71+L71+N71+P71+R71+T71+V71+X71+Z71+AB71</f>
        <v>39296.936635130398</v>
      </c>
    </row>
    <row r="72" spans="1:31" s="829" customFormat="1" ht="15" thickBot="1" x14ac:dyDescent="0.4">
      <c r="A72" s="1274" t="s">
        <v>199</v>
      </c>
      <c r="B72" s="1274"/>
      <c r="D72" s="830">
        <f>D70-D71</f>
        <v>0</v>
      </c>
      <c r="E72" s="831"/>
      <c r="F72" s="832">
        <f>F70-F71</f>
        <v>0</v>
      </c>
      <c r="G72" s="833"/>
      <c r="H72" s="830">
        <f>H70-H71</f>
        <v>13954.241898777818</v>
      </c>
      <c r="I72" s="831"/>
      <c r="J72" s="832">
        <f>J70-J71</f>
        <v>0</v>
      </c>
      <c r="K72" s="833"/>
      <c r="L72" s="832">
        <f>L70-L71</f>
        <v>0</v>
      </c>
      <c r="M72" s="833"/>
      <c r="N72" s="830">
        <f>N70-N71</f>
        <v>25541.51170437855</v>
      </c>
      <c r="O72" s="831"/>
      <c r="P72" s="832">
        <f>P70-P71</f>
        <v>5528.3533973147951</v>
      </c>
      <c r="Q72" s="833"/>
      <c r="R72" s="830">
        <f>R70-R71</f>
        <v>51809.871726560508</v>
      </c>
      <c r="S72" s="831"/>
      <c r="T72" s="832">
        <f>T70-T71</f>
        <v>45124.213570963344</v>
      </c>
      <c r="U72" s="833"/>
      <c r="V72" s="830">
        <f>V70-V71</f>
        <v>0</v>
      </c>
      <c r="W72" s="831"/>
      <c r="X72" s="830">
        <f>X70-X71</f>
        <v>205288.2090159686</v>
      </c>
      <c r="Y72" s="831"/>
      <c r="Z72" s="830">
        <f>Z70-Z71</f>
        <v>0</v>
      </c>
      <c r="AA72" s="831"/>
      <c r="AB72" s="830">
        <f>AB70-AB71</f>
        <v>6426.0284022099295</v>
      </c>
      <c r="AC72" s="831"/>
      <c r="AE72" s="829">
        <f>D72+F72+H72+J72+L72+N72+P72+R72+T72+V72+X72+Z72+AB72</f>
        <v>353672.42971617356</v>
      </c>
    </row>
    <row r="73" spans="1:31" x14ac:dyDescent="0.35">
      <c r="D73" s="755"/>
      <c r="E73" s="756"/>
      <c r="F73" s="757"/>
      <c r="G73" s="758"/>
      <c r="H73" s="755"/>
      <c r="I73" s="756"/>
      <c r="J73" s="757"/>
      <c r="K73" s="758"/>
      <c r="L73" s="757"/>
      <c r="M73" s="758"/>
      <c r="N73" s="755"/>
      <c r="O73" s="756"/>
      <c r="P73" s="757"/>
      <c r="Q73" s="758"/>
      <c r="R73" s="755"/>
      <c r="S73" s="756"/>
      <c r="T73" s="757"/>
      <c r="U73" s="758"/>
      <c r="V73" s="755"/>
      <c r="W73" s="756"/>
      <c r="X73" s="755"/>
      <c r="Y73" s="756"/>
      <c r="Z73" s="755"/>
      <c r="AA73" s="756"/>
      <c r="AB73" s="755"/>
      <c r="AC73" s="756"/>
    </row>
    <row r="74" spans="1:31" ht="15" thickBot="1" x14ac:dyDescent="0.4">
      <c r="B74" s="773" t="s">
        <v>315</v>
      </c>
      <c r="D74" s="781">
        <f>D68-D72</f>
        <v>683824.43948471989</v>
      </c>
      <c r="E74" s="756"/>
      <c r="F74" s="783">
        <f>F68-F72</f>
        <v>270090.10266473738</v>
      </c>
      <c r="G74" s="758"/>
      <c r="H74" s="781">
        <f>H68-H72</f>
        <v>1293575.358101222</v>
      </c>
      <c r="I74" s="756"/>
      <c r="J74" s="783">
        <f>J68-J72</f>
        <v>393709.28367897717</v>
      </c>
      <c r="K74" s="758"/>
      <c r="L74" s="783">
        <f>L68-L72</f>
        <v>0</v>
      </c>
      <c r="M74" s="758"/>
      <c r="N74" s="781">
        <f>N68-N72</f>
        <v>418289.08829562145</v>
      </c>
      <c r="O74" s="756"/>
      <c r="P74" s="783">
        <f>P68-P72</f>
        <v>109550.6766026852</v>
      </c>
      <c r="Q74" s="758"/>
      <c r="R74" s="781">
        <f>R68-R72</f>
        <v>989485.87827343936</v>
      </c>
      <c r="S74" s="756"/>
      <c r="T74" s="783">
        <f>T68-T72</f>
        <v>390999.73642903659</v>
      </c>
      <c r="U74" s="758"/>
      <c r="V74" s="781">
        <f>V68-V72</f>
        <v>597628.89999999991</v>
      </c>
      <c r="W74" s="756"/>
      <c r="X74" s="781">
        <f>X68-X72</f>
        <v>2498763.1409840304</v>
      </c>
      <c r="Y74" s="756"/>
      <c r="Z74" s="781">
        <f>Z68-Z72</f>
        <v>806743.04999999993</v>
      </c>
      <c r="AA74" s="756"/>
      <c r="AB74" s="781">
        <f>AB68-AB72</f>
        <v>129324.57159779005</v>
      </c>
      <c r="AC74" s="756"/>
      <c r="AE74" s="773">
        <f>D74+F74+H74+J74+L74+N74+P74+R74+T74+V74+X74+Z74+AB74</f>
        <v>8581984.2261122614</v>
      </c>
    </row>
    <row r="75" spans="1:31" ht="15" thickTop="1" x14ac:dyDescent="0.35">
      <c r="D75" s="755"/>
      <c r="E75" s="756"/>
      <c r="F75" s="757"/>
      <c r="G75" s="758"/>
      <c r="H75" s="755"/>
      <c r="I75" s="756"/>
      <c r="J75" s="757"/>
      <c r="K75" s="758"/>
      <c r="L75" s="757"/>
      <c r="M75" s="758"/>
      <c r="N75" s="755"/>
      <c r="O75" s="756"/>
      <c r="P75" s="757"/>
      <c r="Q75" s="758"/>
      <c r="R75" s="755"/>
      <c r="S75" s="756"/>
      <c r="T75" s="757"/>
      <c r="U75" s="758"/>
      <c r="V75" s="755"/>
      <c r="W75" s="756"/>
      <c r="X75" s="755"/>
      <c r="Y75" s="756"/>
      <c r="Z75" s="755"/>
      <c r="AA75" s="756"/>
      <c r="AB75" s="755"/>
      <c r="AC75" s="756"/>
    </row>
    <row r="76" spans="1:31" x14ac:dyDescent="0.35">
      <c r="D76" s="755"/>
      <c r="E76" s="756"/>
      <c r="F76" s="757"/>
      <c r="G76" s="758"/>
      <c r="H76" s="755"/>
      <c r="I76" s="756"/>
      <c r="J76" s="757"/>
      <c r="K76" s="758"/>
      <c r="L76" s="757"/>
      <c r="M76" s="758"/>
      <c r="N76" s="755"/>
      <c r="O76" s="756"/>
      <c r="P76" s="757"/>
      <c r="Q76" s="758"/>
      <c r="R76" s="755"/>
      <c r="S76" s="756"/>
      <c r="T76" s="757"/>
      <c r="U76" s="758"/>
      <c r="V76" s="755"/>
      <c r="W76" s="756"/>
      <c r="X76" s="755"/>
      <c r="Y76" s="756"/>
      <c r="Z76" s="755"/>
      <c r="AA76" s="756"/>
      <c r="AB76" s="755"/>
      <c r="AC76" s="756"/>
    </row>
    <row r="77" spans="1:31" x14ac:dyDescent="0.35">
      <c r="B77" s="241" t="s">
        <v>298</v>
      </c>
      <c r="D77" s="755">
        <f>D31</f>
        <v>5946.2994737801728</v>
      </c>
      <c r="E77" s="756"/>
      <c r="F77" s="757">
        <f>F31</f>
        <v>6925.3872478137782</v>
      </c>
      <c r="G77" s="758"/>
      <c r="H77" s="755">
        <f>H31</f>
        <v>9715.4613447864249</v>
      </c>
      <c r="I77" s="756"/>
      <c r="J77" s="757">
        <f>J31</f>
        <v>8034.8833403872886</v>
      </c>
      <c r="K77" s="758"/>
      <c r="L77" s="757"/>
      <c r="M77" s="758"/>
      <c r="N77" s="755">
        <f>N31</f>
        <v>10618.930931906056</v>
      </c>
      <c r="O77" s="756"/>
      <c r="P77" s="757">
        <f>P31</f>
        <v>8791.8640739486036</v>
      </c>
      <c r="Q77" s="758"/>
      <c r="R77" s="755">
        <f>R31</f>
        <v>7858.0436981114581</v>
      </c>
      <c r="S77" s="756"/>
      <c r="T77" s="757">
        <f>T31</f>
        <v>9855.1617341403835</v>
      </c>
      <c r="U77" s="758"/>
      <c r="V77" s="755">
        <f>V31</f>
        <v>5527.7192268954277</v>
      </c>
      <c r="W77" s="756"/>
      <c r="X77" s="755">
        <f>X31</f>
        <v>7691.8457874036103</v>
      </c>
      <c r="Y77" s="756"/>
      <c r="Z77" s="755">
        <f>Z31</f>
        <v>9212.5246912470247</v>
      </c>
      <c r="AA77" s="756"/>
      <c r="AB77" s="755">
        <f>AB31</f>
        <v>20963.568319226517</v>
      </c>
      <c r="AC77" s="756"/>
    </row>
    <row r="78" spans="1:31" x14ac:dyDescent="0.35">
      <c r="B78" s="241" t="s">
        <v>316</v>
      </c>
      <c r="D78" s="834">
        <f>IF(D67&gt;0,D58,(D74/E50))</f>
        <v>5834.3799999999992</v>
      </c>
      <c r="E78" s="756"/>
      <c r="F78" s="835">
        <f>IF(F67&gt;0,F58,(F74/G50))</f>
        <v>6426.4161538461531</v>
      </c>
      <c r="G78" s="758"/>
      <c r="H78" s="834">
        <f>IF(H67&gt;0,H58,(H74/I50))</f>
        <v>10027.715954273039</v>
      </c>
      <c r="I78" s="756"/>
      <c r="J78" s="835">
        <f>IF(J67&gt;0,J58,(J74/K50))</f>
        <v>7468.8436734693869</v>
      </c>
      <c r="K78" s="758"/>
      <c r="L78" s="835"/>
      <c r="M78" s="758"/>
      <c r="N78" s="834">
        <f>IF(N67&gt;0,N58,(N74/O50))</f>
        <v>11007.607586726881</v>
      </c>
      <c r="O78" s="756"/>
      <c r="P78" s="835">
        <f>IF(P67&gt;0,P58,(P74/Q50))</f>
        <v>9129.2230502237671</v>
      </c>
      <c r="Q78" s="758"/>
      <c r="R78" s="834">
        <f>IF(R67&gt;0,R58,(R74/S50))</f>
        <v>8177.5692419292509</v>
      </c>
      <c r="S78" s="756"/>
      <c r="T78" s="835">
        <f>IF(T67&gt;0,T58,(T74/U50))</f>
        <v>10289.466748132541</v>
      </c>
      <c r="U78" s="758"/>
      <c r="V78" s="834">
        <f>IF(V67&gt;0,V58,(V74/W50))</f>
        <v>5638.0084905660369</v>
      </c>
      <c r="W78" s="756"/>
      <c r="X78" s="834">
        <f>IF(X67&gt;0,X58,(X74/Y50))</f>
        <v>8034.6081703666578</v>
      </c>
      <c r="Y78" s="756"/>
      <c r="Z78" s="834">
        <f>IF(Z67&gt;0,Z58,(Z74/AA50))</f>
        <v>9380.7331395348829</v>
      </c>
      <c r="AA78" s="756"/>
      <c r="AB78" s="834">
        <f>IF(AB67&gt;0,AB58,(AB74/AC50))</f>
        <v>21554.095266298344</v>
      </c>
      <c r="AC78" s="756"/>
    </row>
    <row r="79" spans="1:31" s="773" customFormat="1" x14ac:dyDescent="0.35">
      <c r="B79" s="773" t="s">
        <v>299</v>
      </c>
      <c r="D79" s="786">
        <f>D63</f>
        <v>111.91947378017358</v>
      </c>
      <c r="E79" s="770"/>
      <c r="F79" s="787">
        <f>F63</f>
        <v>498.97109396762517</v>
      </c>
      <c r="G79" s="772"/>
      <c r="H79" s="786">
        <f>H63</f>
        <v>-120.19157535553677</v>
      </c>
      <c r="I79" s="770"/>
      <c r="J79" s="787">
        <f>J63</f>
        <v>566.03966691790174</v>
      </c>
      <c r="K79" s="772"/>
      <c r="L79" s="787">
        <f>L63</f>
        <v>0</v>
      </c>
      <c r="M79" s="772"/>
      <c r="N79" s="786">
        <f>N63</f>
        <v>-746.82782761340786</v>
      </c>
      <c r="O79" s="770"/>
      <c r="P79" s="787">
        <f>P63</f>
        <v>-511.88457382544402</v>
      </c>
      <c r="Q79" s="772"/>
      <c r="R79" s="786">
        <f>R63</f>
        <v>-475.75639785638668</v>
      </c>
      <c r="S79" s="770"/>
      <c r="T79" s="787">
        <f>T63</f>
        <v>-1319.4214494433727</v>
      </c>
      <c r="U79" s="772"/>
      <c r="V79" s="786">
        <f>V63</f>
        <v>0</v>
      </c>
      <c r="W79" s="770"/>
      <c r="X79" s="786">
        <f>X63</f>
        <v>-733.4341158126781</v>
      </c>
      <c r="Y79" s="770"/>
      <c r="Z79" s="786">
        <f>Z63</f>
        <v>0</v>
      </c>
      <c r="AA79" s="770"/>
      <c r="AB79" s="786">
        <f>AB63</f>
        <v>-1190.0052596685055</v>
      </c>
      <c r="AC79" s="770"/>
    </row>
    <row r="80" spans="1:31" x14ac:dyDescent="0.35">
      <c r="D80" s="755"/>
      <c r="E80" s="756"/>
      <c r="F80" s="757"/>
      <c r="G80" s="758"/>
      <c r="H80" s="755"/>
      <c r="I80" s="756"/>
      <c r="J80" s="757"/>
      <c r="K80" s="758"/>
      <c r="L80" s="757"/>
      <c r="M80" s="758"/>
      <c r="N80" s="755"/>
      <c r="O80" s="756"/>
      <c r="P80" s="757"/>
      <c r="Q80" s="758"/>
      <c r="R80" s="755"/>
      <c r="S80" s="756"/>
      <c r="T80" s="757"/>
      <c r="U80" s="758"/>
      <c r="V80" s="755"/>
      <c r="W80" s="756"/>
      <c r="X80" s="755"/>
      <c r="Y80" s="756"/>
      <c r="Z80" s="755"/>
      <c r="AA80" s="756"/>
      <c r="AB80" s="755"/>
      <c r="AC80" s="756"/>
    </row>
    <row r="81" spans="1:32" s="788" customFormat="1" ht="18.5" x14ac:dyDescent="0.35">
      <c r="A81" s="1275" t="s">
        <v>317</v>
      </c>
      <c r="B81" s="1275"/>
      <c r="C81" s="1275"/>
      <c r="D81" s="836">
        <f>IF(D31&gt;D58,D31/D58,IF(D31&lt;D58,D78/D58))</f>
        <v>1.0191827535711033</v>
      </c>
      <c r="E81" s="756"/>
      <c r="F81" s="837">
        <f>IF(F31&gt;F58,F31/F58,IF(F31&lt;F58,F78/F58))</f>
        <v>1.0776437569591562</v>
      </c>
      <c r="G81" s="758"/>
      <c r="H81" s="836">
        <f>IF(H31&gt;H58,H31/H58,IF(H31&lt;H58,H78/H58))</f>
        <v>0.98932778126110654</v>
      </c>
      <c r="I81" s="756"/>
      <c r="J81" s="837">
        <f>IF(J31&gt;J58,J31/J58,IF(J31&lt;J58,J78/J58))</f>
        <v>1.0757867873079967</v>
      </c>
      <c r="K81" s="758"/>
      <c r="L81" s="837"/>
      <c r="M81" s="758"/>
      <c r="N81" s="836">
        <f>IF(N31&gt;N58,N31/N58,IF(N31&lt;N58,N78/N58))</f>
        <v>0.94245211640572213</v>
      </c>
      <c r="O81" s="756"/>
      <c r="P81" s="837">
        <f>IF(P31&gt;P58,P31/P58,IF(P31&lt;P58,P78/P58))</f>
        <v>0.95196037542795775</v>
      </c>
      <c r="Q81" s="758"/>
      <c r="R81" s="836">
        <f>IF(R31&gt;R58,R31/R58,IF(R31&lt;R58,R78/R58))</f>
        <v>0.95024480631313402</v>
      </c>
      <c r="S81" s="756"/>
      <c r="T81" s="837">
        <f>IF(T31&gt;T58,T31/T58,IF(T31&lt;T58,T78/T58))</f>
        <v>0.8965335116978479</v>
      </c>
      <c r="U81" s="758"/>
      <c r="V81" s="836">
        <f>IF(V31&gt;V58,V31/V58,IF(V31&lt;V58,V78/V58))</f>
        <v>1</v>
      </c>
      <c r="W81" s="756"/>
      <c r="X81" s="836">
        <f>IF(X31&gt;X58,X31/X58,IF(X31&lt;X58,X78/X58))</f>
        <v>0.92408124608433606</v>
      </c>
      <c r="Y81" s="756"/>
      <c r="Z81" s="836">
        <f>IF(Z31&gt;Z58,Z31/Z58,IF(Z31&lt;Z58,Z78/Z58))</f>
        <v>1</v>
      </c>
      <c r="AA81" s="756"/>
      <c r="AB81" s="836">
        <f>IF(AB31&gt;AB58,AB31/AB58,IF(AB31&lt;AB58,AB78/AB58))</f>
        <v>0.95266298342541467</v>
      </c>
      <c r="AC81" s="756"/>
    </row>
    <row r="82" spans="1:32" x14ac:dyDescent="0.35">
      <c r="D82" s="755"/>
      <c r="E82" s="756"/>
      <c r="F82" s="757"/>
      <c r="G82" s="758"/>
      <c r="H82" s="755"/>
      <c r="I82" s="756"/>
      <c r="J82" s="757"/>
      <c r="K82" s="758"/>
      <c r="L82" s="757"/>
      <c r="M82" s="758"/>
      <c r="N82" s="755"/>
      <c r="O82" s="756"/>
      <c r="P82" s="757"/>
      <c r="Q82" s="758"/>
      <c r="R82" s="755"/>
      <c r="S82" s="756"/>
      <c r="T82" s="757"/>
      <c r="U82" s="758"/>
      <c r="V82" s="755"/>
      <c r="W82" s="756"/>
      <c r="X82" s="755"/>
      <c r="Y82" s="756"/>
      <c r="Z82" s="755"/>
      <c r="AA82" s="756"/>
      <c r="AB82" s="755"/>
      <c r="AC82" s="756"/>
    </row>
    <row r="83" spans="1:32" x14ac:dyDescent="0.35">
      <c r="D83" s="755"/>
      <c r="E83" s="756"/>
      <c r="F83" s="757"/>
      <c r="G83" s="758"/>
      <c r="H83" s="755"/>
      <c r="I83" s="756"/>
      <c r="J83" s="757"/>
      <c r="K83" s="758"/>
      <c r="L83" s="757"/>
      <c r="M83" s="758"/>
      <c r="N83" s="755"/>
      <c r="O83" s="756"/>
      <c r="P83" s="757"/>
      <c r="Q83" s="758"/>
      <c r="R83" s="755"/>
      <c r="S83" s="756"/>
      <c r="T83" s="757"/>
      <c r="U83" s="758"/>
      <c r="V83" s="755"/>
      <c r="W83" s="756"/>
      <c r="X83" s="755"/>
      <c r="Y83" s="756"/>
      <c r="Z83" s="755"/>
      <c r="AA83" s="756"/>
      <c r="AB83" s="755"/>
      <c r="AC83" s="756"/>
    </row>
    <row r="84" spans="1:32" x14ac:dyDescent="0.35">
      <c r="D84" s="755">
        <f>D68</f>
        <v>683824.43948471989</v>
      </c>
      <c r="E84" s="756"/>
      <c r="F84" s="757">
        <f>F68</f>
        <v>270090.10266473738</v>
      </c>
      <c r="G84" s="758"/>
      <c r="H84" s="755">
        <f>H68</f>
        <v>1307529.5999999999</v>
      </c>
      <c r="I84" s="756"/>
      <c r="J84" s="757">
        <f>J68</f>
        <v>393709.28367897717</v>
      </c>
      <c r="K84" s="758"/>
      <c r="L84" s="757"/>
      <c r="M84" s="758"/>
      <c r="N84" s="755">
        <f>N68</f>
        <v>443830.6</v>
      </c>
      <c r="O84" s="756"/>
      <c r="P84" s="757">
        <f>P68</f>
        <v>115079.03</v>
      </c>
      <c r="Q84" s="758"/>
      <c r="R84" s="755">
        <f>R68</f>
        <v>1041295.7499999999</v>
      </c>
      <c r="S84" s="756"/>
      <c r="T84" s="757">
        <f>T68</f>
        <v>436123.94999999995</v>
      </c>
      <c r="U84" s="758"/>
      <c r="V84" s="755">
        <f>V68</f>
        <v>597628.89999999991</v>
      </c>
      <c r="W84" s="756"/>
      <c r="X84" s="755">
        <f>X68</f>
        <v>2704051.3499999992</v>
      </c>
      <c r="Y84" s="756"/>
      <c r="Z84" s="755">
        <f>Z68</f>
        <v>806743.04999999993</v>
      </c>
      <c r="AA84" s="756"/>
      <c r="AB84" s="755">
        <f>AB68</f>
        <v>135750.59999999998</v>
      </c>
      <c r="AC84" s="756"/>
      <c r="AE84" s="773">
        <f t="shared" ref="AE84:AE86" si="19">D84+F84+H84+J84+L84+N84+P84+R84+T84+V84+X84+Z84+AB84</f>
        <v>8935656.655828435</v>
      </c>
    </row>
    <row r="85" spans="1:32" x14ac:dyDescent="0.35">
      <c r="D85" s="755">
        <f>-D72</f>
        <v>0</v>
      </c>
      <c r="E85" s="756"/>
      <c r="F85" s="757">
        <f>-F72</f>
        <v>0</v>
      </c>
      <c r="G85" s="758"/>
      <c r="H85" s="755">
        <f>-H72</f>
        <v>-13954.241898777818</v>
      </c>
      <c r="I85" s="756"/>
      <c r="J85" s="757">
        <f>-J72</f>
        <v>0</v>
      </c>
      <c r="K85" s="758"/>
      <c r="L85" s="757"/>
      <c r="M85" s="758"/>
      <c r="N85" s="755">
        <f>-N72</f>
        <v>-25541.51170437855</v>
      </c>
      <c r="O85" s="756"/>
      <c r="P85" s="757">
        <f>-P72</f>
        <v>-5528.3533973147951</v>
      </c>
      <c r="Q85" s="758"/>
      <c r="R85" s="755">
        <f>-R72</f>
        <v>-51809.871726560508</v>
      </c>
      <c r="S85" s="756"/>
      <c r="T85" s="757">
        <f>-T72</f>
        <v>-45124.213570963344</v>
      </c>
      <c r="U85" s="758"/>
      <c r="V85" s="755">
        <f>-V72</f>
        <v>0</v>
      </c>
      <c r="W85" s="756"/>
      <c r="X85" s="755">
        <f>-X72</f>
        <v>-205288.2090159686</v>
      </c>
      <c r="Y85" s="756"/>
      <c r="Z85" s="755">
        <f>-Z72</f>
        <v>0</v>
      </c>
      <c r="AA85" s="756"/>
      <c r="AB85" s="755">
        <f>-AB72</f>
        <v>-6426.0284022099295</v>
      </c>
      <c r="AC85" s="756"/>
      <c r="AE85" s="773">
        <f t="shared" si="19"/>
        <v>-353672.42971617356</v>
      </c>
    </row>
    <row r="86" spans="1:32" ht="15" thickBot="1" x14ac:dyDescent="0.4">
      <c r="D86" s="781">
        <f>SUM(D84:D85)</f>
        <v>683824.43948471989</v>
      </c>
      <c r="E86" s="756"/>
      <c r="F86" s="783">
        <f>SUM(F84:F85)</f>
        <v>270090.10266473738</v>
      </c>
      <c r="G86" s="758"/>
      <c r="H86" s="781">
        <f>SUM(H84:H85)</f>
        <v>1293575.358101222</v>
      </c>
      <c r="I86" s="756"/>
      <c r="J86" s="783">
        <f>SUM(J84:J85)</f>
        <v>393709.28367897717</v>
      </c>
      <c r="K86" s="758"/>
      <c r="L86" s="783">
        <f>SUM(L84:L85)</f>
        <v>0</v>
      </c>
      <c r="M86" s="758"/>
      <c r="N86" s="781">
        <f>SUM(N84:N85)</f>
        <v>418289.08829562145</v>
      </c>
      <c r="O86" s="756"/>
      <c r="P86" s="783">
        <f>SUM(P84:P85)</f>
        <v>109550.6766026852</v>
      </c>
      <c r="Q86" s="758"/>
      <c r="R86" s="781">
        <f>SUM(R84:R85)</f>
        <v>989485.87827343936</v>
      </c>
      <c r="S86" s="756"/>
      <c r="T86" s="783">
        <f>SUM(T84:T85)</f>
        <v>390999.73642903659</v>
      </c>
      <c r="U86" s="758"/>
      <c r="V86" s="781">
        <f>SUM(V84:V85)</f>
        <v>597628.89999999991</v>
      </c>
      <c r="W86" s="756"/>
      <c r="X86" s="781">
        <f>SUM(X84:X85)</f>
        <v>2498763.1409840304</v>
      </c>
      <c r="Y86" s="756"/>
      <c r="Z86" s="781">
        <f>SUM(Z84:Z85)</f>
        <v>806743.04999999993</v>
      </c>
      <c r="AA86" s="756"/>
      <c r="AB86" s="781">
        <f>SUM(AB84:AB85)</f>
        <v>129324.57159779005</v>
      </c>
      <c r="AC86" s="756"/>
      <c r="AE86" s="773">
        <f t="shared" si="19"/>
        <v>8581984.2261122614</v>
      </c>
    </row>
    <row r="87" spans="1:32" ht="15" thickTop="1" x14ac:dyDescent="0.35">
      <c r="D87" s="755"/>
      <c r="E87" s="756"/>
      <c r="F87" s="757"/>
      <c r="G87" s="758"/>
      <c r="H87" s="755"/>
      <c r="I87" s="756"/>
      <c r="J87" s="757"/>
      <c r="K87" s="758"/>
      <c r="L87" s="757"/>
      <c r="M87" s="758"/>
      <c r="N87" s="755"/>
      <c r="O87" s="756"/>
      <c r="P87" s="757"/>
      <c r="Q87" s="758"/>
      <c r="R87" s="755"/>
      <c r="S87" s="756"/>
      <c r="T87" s="757"/>
      <c r="U87" s="758"/>
      <c r="V87" s="755"/>
      <c r="W87" s="756"/>
      <c r="X87" s="755"/>
      <c r="Y87" s="756"/>
      <c r="Z87" s="755"/>
      <c r="AA87" s="756"/>
      <c r="AB87" s="755"/>
      <c r="AC87" s="756"/>
      <c r="AE87" s="874"/>
      <c r="AF87" s="838"/>
    </row>
    <row r="88" spans="1:32" ht="15" thickBot="1" x14ac:dyDescent="0.4">
      <c r="D88" s="755"/>
      <c r="E88" s="756"/>
      <c r="F88" s="757"/>
      <c r="G88" s="758"/>
      <c r="H88" s="755"/>
      <c r="I88" s="756"/>
      <c r="J88" s="757"/>
      <c r="K88" s="758"/>
      <c r="L88" s="757"/>
      <c r="M88" s="758"/>
      <c r="N88" s="755"/>
      <c r="O88" s="756"/>
      <c r="P88" s="757"/>
      <c r="Q88" s="758"/>
      <c r="R88" s="755"/>
      <c r="S88" s="756"/>
      <c r="T88" s="757"/>
      <c r="U88" s="758"/>
      <c r="V88" s="755"/>
      <c r="W88" s="756"/>
      <c r="X88" s="755"/>
      <c r="Y88" s="756"/>
      <c r="Z88" s="755"/>
      <c r="AA88" s="756"/>
      <c r="AB88" s="755"/>
      <c r="AC88" s="756"/>
      <c r="AE88" s="874"/>
    </row>
    <row r="89" spans="1:32" ht="15" thickBot="1" x14ac:dyDescent="0.4">
      <c r="A89" s="839" t="s">
        <v>301</v>
      </c>
      <c r="D89" s="755"/>
      <c r="E89" s="756"/>
      <c r="F89" s="757"/>
      <c r="G89" s="758"/>
      <c r="H89" s="755"/>
      <c r="I89" s="756"/>
      <c r="J89" s="757"/>
      <c r="K89" s="758"/>
      <c r="L89" s="757"/>
      <c r="M89" s="758"/>
      <c r="N89" s="755"/>
      <c r="O89" s="756"/>
      <c r="P89" s="757"/>
      <c r="Q89" s="758"/>
      <c r="R89" s="755"/>
      <c r="S89" s="756"/>
      <c r="T89" s="757"/>
      <c r="U89" s="758"/>
      <c r="V89" s="755"/>
      <c r="W89" s="756"/>
      <c r="X89" s="755"/>
      <c r="Y89" s="756"/>
      <c r="Z89" s="755"/>
      <c r="AA89" s="756"/>
      <c r="AB89" s="755"/>
      <c r="AC89" s="756"/>
    </row>
    <row r="90" spans="1:32" x14ac:dyDescent="0.35">
      <c r="A90" s="840" t="s">
        <v>32</v>
      </c>
      <c r="D90" s="841">
        <f>(D39+($E$52*E39))*$D$81</f>
        <v>141493.03976000092</v>
      </c>
      <c r="E90" s="756">
        <f>E39</f>
        <v>61</v>
      </c>
      <c r="F90" s="842">
        <f>(F39+($G$52*G39))*$F$81</f>
        <v>141000.96746011177</v>
      </c>
      <c r="G90" s="758">
        <f>G39</f>
        <v>29</v>
      </c>
      <c r="H90" s="841">
        <f>(H39+($I$52*I39))*$H$81</f>
        <v>22051.126916528803</v>
      </c>
      <c r="I90" s="756">
        <f>I39</f>
        <v>10</v>
      </c>
      <c r="J90" s="842">
        <f>(J39+($K$52*K39))*$J$81</f>
        <v>140757.99800414205</v>
      </c>
      <c r="K90" s="758">
        <f>K39</f>
        <v>29</v>
      </c>
      <c r="L90" s="842">
        <f>(L39+($M$52*M39))*$L$81</f>
        <v>0</v>
      </c>
      <c r="M90" s="758">
        <f>M39</f>
        <v>0</v>
      </c>
      <c r="N90" s="841">
        <f>(N39+($O$52*O39))*$N$81</f>
        <v>13695.337174761391</v>
      </c>
      <c r="O90" s="756">
        <f>O39</f>
        <v>4</v>
      </c>
      <c r="P90" s="842">
        <f>(P39+($Q$52*Q39))*$P$81</f>
        <v>14571.809780335818</v>
      </c>
      <c r="Q90" s="758">
        <f>Q39</f>
        <v>4</v>
      </c>
      <c r="R90" s="841">
        <f>(R39+($S$52*S39))*$R$81</f>
        <v>33166.869597150471</v>
      </c>
      <c r="S90" s="756">
        <f>S39</f>
        <v>15</v>
      </c>
      <c r="T90" s="842">
        <f t="shared" ref="T90:T99" si="20">(T39+($U$53*U39))*$T$81</f>
        <v>5957.0886411572865</v>
      </c>
      <c r="U90" s="758">
        <f>U39</f>
        <v>2</v>
      </c>
      <c r="V90" s="841">
        <f>(V39+($W$52*W39))*$V$81</f>
        <v>136509.29999999999</v>
      </c>
      <c r="W90" s="756">
        <f>W39</f>
        <v>57</v>
      </c>
      <c r="X90" s="841">
        <f>(X39+($Y$52*Y39))*$X$81</f>
        <v>94960.15978574472</v>
      </c>
      <c r="Y90" s="756">
        <f>Y39</f>
        <v>53</v>
      </c>
      <c r="Z90" s="841">
        <f>(Z39+($AA$52*AA39))*$Z$81</f>
        <v>19759.199999999997</v>
      </c>
      <c r="AA90" s="756">
        <f>AA39</f>
        <v>8</v>
      </c>
      <c r="AB90" s="841">
        <f>(AB39+($AC$52*AC39))*$AB$81</f>
        <v>0</v>
      </c>
      <c r="AC90" s="756">
        <f>AC39</f>
        <v>0</v>
      </c>
      <c r="AD90" s="241">
        <f>E90+G90+I90+K90+M90+O90+Q90+S90+U90+W90+Y90+AA90+AC90</f>
        <v>272</v>
      </c>
      <c r="AE90" s="773">
        <f t="shared" ref="AE90:AE99" si="21">D90+F90+H90+J90+L90+N90+P90+R90+T90+V90+X90+Z90+AB90</f>
        <v>763922.89711993327</v>
      </c>
    </row>
    <row r="91" spans="1:32" s="767" customFormat="1" ht="15" thickBot="1" x14ac:dyDescent="0.4">
      <c r="A91" s="843" t="s">
        <v>163</v>
      </c>
      <c r="D91" s="823">
        <f>(D40+($E$53*E40))*$D$81</f>
        <v>0</v>
      </c>
      <c r="E91" s="766">
        <f t="shared" ref="E91:E99" si="22">E40</f>
        <v>0</v>
      </c>
      <c r="F91" s="825">
        <f>(F40+($G$53*G40))*$F$81</f>
        <v>0</v>
      </c>
      <c r="G91" s="779">
        <f t="shared" ref="G91:G99" si="23">G40</f>
        <v>0</v>
      </c>
      <c r="H91" s="823">
        <f>(H40+($I$53*I40))*$H$81</f>
        <v>1102.5563458264401</v>
      </c>
      <c r="I91" s="766">
        <f t="shared" ref="I91:I99" si="24">I40</f>
        <v>1</v>
      </c>
      <c r="J91" s="825">
        <f>(J40+($K$53*K40))*$J$81</f>
        <v>0</v>
      </c>
      <c r="K91" s="779">
        <f t="shared" ref="K91:K99" si="25">K40</f>
        <v>0</v>
      </c>
      <c r="L91" s="825">
        <f>(L40+($M$53*M40))*$L$81</f>
        <v>0</v>
      </c>
      <c r="M91" s="779">
        <f t="shared" ref="M91:M100" si="26">M40</f>
        <v>0</v>
      </c>
      <c r="N91" s="823">
        <f>(N40+($O$53*O40))*$N$81</f>
        <v>0</v>
      </c>
      <c r="O91" s="766">
        <f t="shared" ref="O91:O99" si="27">O40</f>
        <v>0</v>
      </c>
      <c r="P91" s="825">
        <f>(P40+($Q$53*Q40))*$P$81</f>
        <v>0</v>
      </c>
      <c r="Q91" s="779">
        <f t="shared" ref="Q91:Q99" si="28">Q40</f>
        <v>0</v>
      </c>
      <c r="R91" s="823">
        <f>(R40+($S$53*S40))*$R$81</f>
        <v>0</v>
      </c>
      <c r="S91" s="766">
        <f t="shared" ref="S91:S99" si="29">S40</f>
        <v>0</v>
      </c>
      <c r="T91" s="825">
        <f t="shared" si="20"/>
        <v>0</v>
      </c>
      <c r="U91" s="779">
        <f t="shared" ref="U91:U99" si="30">U40</f>
        <v>0</v>
      </c>
      <c r="V91" s="823">
        <f>(V40+($W$53*W40))*$V$81</f>
        <v>0</v>
      </c>
      <c r="W91" s="766">
        <f t="shared" ref="W91:W99" si="31">W40</f>
        <v>0</v>
      </c>
      <c r="X91" s="823">
        <f>(X40+($Y$53*Y40))*$X$81</f>
        <v>5375.1033840987575</v>
      </c>
      <c r="Y91" s="766">
        <f t="shared" ref="Y91:Y99" si="32">Y40</f>
        <v>6</v>
      </c>
      <c r="Z91" s="823">
        <f>(Z40+($AA$53*AA40))*$Z$81</f>
        <v>0</v>
      </c>
      <c r="AA91" s="766">
        <f t="shared" ref="AA91:AA99" si="33">AA40</f>
        <v>0</v>
      </c>
      <c r="AB91" s="823">
        <f>(AB40+($AC$53*AC40))*$AB$81</f>
        <v>0</v>
      </c>
      <c r="AC91" s="766">
        <f t="shared" ref="AC91:AC99" si="34">AC40</f>
        <v>0</v>
      </c>
      <c r="AE91" s="773">
        <f t="shared" si="21"/>
        <v>6477.6597299251971</v>
      </c>
    </row>
    <row r="92" spans="1:32" x14ac:dyDescent="0.35">
      <c r="A92" s="840" t="s">
        <v>33</v>
      </c>
      <c r="D92" s="841">
        <f>(D41+($E$52*E41))*$D$81</f>
        <v>232667.19244724</v>
      </c>
      <c r="E92" s="756">
        <f t="shared" si="22"/>
        <v>30</v>
      </c>
      <c r="F92" s="842">
        <f>(F41+($G$52*G41))*$F$81</f>
        <v>78292.995783471735</v>
      </c>
      <c r="G92" s="758">
        <f t="shared" si="23"/>
        <v>7</v>
      </c>
      <c r="H92" s="841">
        <f>(H41+($I$52*I41))*$H$81</f>
        <v>344166.95281400124</v>
      </c>
      <c r="I92" s="756">
        <f t="shared" si="24"/>
        <v>46</v>
      </c>
      <c r="J92" s="842">
        <f>(J41+($K$52*K41))*$J$81</f>
        <v>167481.60682979212</v>
      </c>
      <c r="K92" s="758">
        <f t="shared" si="25"/>
        <v>15</v>
      </c>
      <c r="L92" s="842">
        <f>(L41+($M$52*M41))*$L$81</f>
        <v>0</v>
      </c>
      <c r="M92" s="758">
        <f t="shared" si="26"/>
        <v>0</v>
      </c>
      <c r="N92" s="841">
        <f>(N41+($O$52*O41))*$N$81</f>
        <v>84505.911469635481</v>
      </c>
      <c r="O92" s="756">
        <f t="shared" si="27"/>
        <v>10</v>
      </c>
      <c r="P92" s="842">
        <f>(P41+($Q$52*Q41))*$P$81</f>
        <v>36912.682419784251</v>
      </c>
      <c r="Q92" s="758">
        <f t="shared" si="28"/>
        <v>4</v>
      </c>
      <c r="R92" s="841">
        <f>(R41+($S$52*S41))*$R$81</f>
        <v>436766.72179454361</v>
      </c>
      <c r="S92" s="756">
        <f t="shared" si="29"/>
        <v>60</v>
      </c>
      <c r="T92" s="842">
        <f t="shared" si="20"/>
        <v>148294.24543900322</v>
      </c>
      <c r="U92" s="758">
        <f t="shared" si="30"/>
        <v>18</v>
      </c>
      <c r="V92" s="841">
        <f>(V41+($W$52*W41))*$V$81</f>
        <v>255043.8</v>
      </c>
      <c r="W92" s="756">
        <f t="shared" si="31"/>
        <v>33</v>
      </c>
      <c r="X92" s="841">
        <f>(X41+($Y$52*Y41))*$X$81</f>
        <v>739252.05973002361</v>
      </c>
      <c r="Y92" s="756">
        <f t="shared" si="32"/>
        <v>110</v>
      </c>
      <c r="Z92" s="841">
        <f>(Z41+($AA$52*AA41))*$Z$81</f>
        <v>358965.6</v>
      </c>
      <c r="AA92" s="756">
        <f t="shared" si="33"/>
        <v>46</v>
      </c>
      <c r="AB92" s="841">
        <f>(AB41+($AC$52*AC41))*$AB$81</f>
        <v>0</v>
      </c>
      <c r="AC92" s="756">
        <f t="shared" si="34"/>
        <v>0</v>
      </c>
      <c r="AE92" s="773">
        <f t="shared" si="21"/>
        <v>2882349.7687274953</v>
      </c>
    </row>
    <row r="93" spans="1:32" s="767" customFormat="1" ht="15" thickBot="1" x14ac:dyDescent="0.4">
      <c r="A93" s="843" t="s">
        <v>164</v>
      </c>
      <c r="D93" s="823">
        <f>(D42+($E$53*E42))*$D$81</f>
        <v>0</v>
      </c>
      <c r="E93" s="766">
        <f t="shared" si="22"/>
        <v>0</v>
      </c>
      <c r="F93" s="825">
        <f>(F42+($G$53*G42))*$F$81</f>
        <v>0</v>
      </c>
      <c r="G93" s="779">
        <f t="shared" si="23"/>
        <v>0</v>
      </c>
      <c r="H93" s="823">
        <f>(H42+($I$53*I42))*$H$81</f>
        <v>0</v>
      </c>
      <c r="I93" s="766">
        <f t="shared" si="24"/>
        <v>0</v>
      </c>
      <c r="J93" s="825">
        <f>(J42+($K$53*K42))*$J$81</f>
        <v>0</v>
      </c>
      <c r="K93" s="779">
        <f t="shared" si="25"/>
        <v>0</v>
      </c>
      <c r="L93" s="825">
        <f>(L42+($M$53*M42))*$L$81</f>
        <v>0</v>
      </c>
      <c r="M93" s="779">
        <f t="shared" si="26"/>
        <v>0</v>
      </c>
      <c r="N93" s="823">
        <f>(N42+($O$53*O42))*$N$81</f>
        <v>0</v>
      </c>
      <c r="O93" s="766">
        <f t="shared" si="27"/>
        <v>0</v>
      </c>
      <c r="P93" s="825">
        <f>(P42+($Q$53*Q42))*$P$81</f>
        <v>0</v>
      </c>
      <c r="Q93" s="779">
        <f t="shared" si="28"/>
        <v>0</v>
      </c>
      <c r="R93" s="823">
        <f>(R42+($S$53*S42))*$R$81</f>
        <v>10919.168044863591</v>
      </c>
      <c r="S93" s="766">
        <f t="shared" si="29"/>
        <v>3</v>
      </c>
      <c r="T93" s="825">
        <f t="shared" si="20"/>
        <v>0</v>
      </c>
      <c r="U93" s="779">
        <f t="shared" si="30"/>
        <v>0</v>
      </c>
      <c r="V93" s="823">
        <f>(V42+($W$53*W42))*$V$81</f>
        <v>0</v>
      </c>
      <c r="W93" s="766">
        <f t="shared" si="31"/>
        <v>0</v>
      </c>
      <c r="X93" s="823">
        <f>(X42+($Y$53*Y42))*$X$81</f>
        <v>0</v>
      </c>
      <c r="Y93" s="766">
        <f t="shared" si="32"/>
        <v>0</v>
      </c>
      <c r="Z93" s="823">
        <f>(Z42+($AA$53*AA42))*$Z$81</f>
        <v>0</v>
      </c>
      <c r="AA93" s="766">
        <f t="shared" si="33"/>
        <v>0</v>
      </c>
      <c r="AB93" s="823">
        <f>(AB42+($AC$53*AC42))*$AB$81</f>
        <v>0</v>
      </c>
      <c r="AC93" s="766">
        <f t="shared" si="34"/>
        <v>0</v>
      </c>
      <c r="AE93" s="773">
        <f t="shared" si="21"/>
        <v>10919.168044863591</v>
      </c>
    </row>
    <row r="94" spans="1:32" x14ac:dyDescent="0.35">
      <c r="A94" s="840" t="s">
        <v>34</v>
      </c>
      <c r="D94" s="841">
        <f>(D43+($E$52*E43))*$D$81</f>
        <v>228545.61739179847</v>
      </c>
      <c r="E94" s="756">
        <f t="shared" si="22"/>
        <v>18</v>
      </c>
      <c r="F94" s="842">
        <f>(F43+($G$52*G43))*$F$81</f>
        <v>50796.139421153865</v>
      </c>
      <c r="G94" s="758">
        <f t="shared" si="23"/>
        <v>3</v>
      </c>
      <c r="H94" s="841">
        <f>(H43+($I$52*I43))*$H$81</f>
        <v>429749.14826310572</v>
      </c>
      <c r="I94" s="756">
        <f t="shared" si="24"/>
        <v>35</v>
      </c>
      <c r="J94" s="842">
        <f>(J43+($K$52*K43))*$J$81</f>
        <v>67611.478323447896</v>
      </c>
      <c r="K94" s="758">
        <f t="shared" si="25"/>
        <v>4</v>
      </c>
      <c r="L94" s="842">
        <f>(L43+($M$52*M43))*$L$81</f>
        <v>0</v>
      </c>
      <c r="M94" s="758">
        <f t="shared" si="26"/>
        <v>0</v>
      </c>
      <c r="N94" s="841">
        <f>(N43+($O$52*O43))*$N$81</f>
        <v>182279.66383403068</v>
      </c>
      <c r="O94" s="756">
        <f t="shared" si="27"/>
        <v>14</v>
      </c>
      <c r="P94" s="842">
        <f>(P43+($Q$52*Q43))*$P$81</f>
        <v>42915.611272780385</v>
      </c>
      <c r="Q94" s="758">
        <f t="shared" si="28"/>
        <v>3</v>
      </c>
      <c r="R94" s="841">
        <f>(R43+($S$52*S43))*$R$81</f>
        <v>451691.2667224977</v>
      </c>
      <c r="S94" s="756">
        <f t="shared" si="29"/>
        <v>38</v>
      </c>
      <c r="T94" s="842">
        <f t="shared" si="20"/>
        <v>195299.96365474747</v>
      </c>
      <c r="U94" s="758">
        <f t="shared" si="30"/>
        <v>15</v>
      </c>
      <c r="V94" s="841">
        <f>(V43+($W$52*W43))*$V$81</f>
        <v>125769.99999999999</v>
      </c>
      <c r="W94" s="756">
        <f t="shared" si="31"/>
        <v>10</v>
      </c>
      <c r="X94" s="841">
        <f>(X43+($Y$52*Y43))*$X$81</f>
        <v>1030472.5681085177</v>
      </c>
      <c r="Y94" s="756">
        <f t="shared" si="32"/>
        <v>92</v>
      </c>
      <c r="Z94" s="841">
        <f>(Z43+($AA$52*AA43))*$Z$81</f>
        <v>164475.99999999997</v>
      </c>
      <c r="AA94" s="756">
        <f t="shared" si="33"/>
        <v>13</v>
      </c>
      <c r="AB94" s="841">
        <f>(AB43+($AC$52*AC43))*$AB$81</f>
        <v>0</v>
      </c>
      <c r="AC94" s="756">
        <f t="shared" si="34"/>
        <v>0</v>
      </c>
      <c r="AE94" s="773">
        <f t="shared" si="21"/>
        <v>2969607.4569920795</v>
      </c>
    </row>
    <row r="95" spans="1:32" s="767" customFormat="1" ht="15" thickBot="1" x14ac:dyDescent="0.4">
      <c r="A95" s="843" t="s">
        <v>165</v>
      </c>
      <c r="D95" s="823">
        <f>(D44+($E$53*E44))*$D$81</f>
        <v>0</v>
      </c>
      <c r="E95" s="766">
        <f t="shared" si="22"/>
        <v>0</v>
      </c>
      <c r="F95" s="825">
        <f>(F44+($G$53*G44))*$F$81</f>
        <v>0</v>
      </c>
      <c r="G95" s="779">
        <f t="shared" si="23"/>
        <v>0</v>
      </c>
      <c r="H95" s="823">
        <f>(H44+($I$53*I44))*$H$81</f>
        <v>0</v>
      </c>
      <c r="I95" s="766">
        <f t="shared" si="24"/>
        <v>0</v>
      </c>
      <c r="J95" s="825">
        <f>(J44+($K$53*K44))*$J$81</f>
        <v>0</v>
      </c>
      <c r="K95" s="779">
        <f t="shared" si="25"/>
        <v>0</v>
      </c>
      <c r="L95" s="825">
        <f>(L44+($M$53*M44))*$L$81</f>
        <v>0</v>
      </c>
      <c r="M95" s="779">
        <f t="shared" si="26"/>
        <v>0</v>
      </c>
      <c r="N95" s="823">
        <f>(N44+($O$53*O44))*$N$81</f>
        <v>0</v>
      </c>
      <c r="O95" s="766">
        <f t="shared" si="27"/>
        <v>0</v>
      </c>
      <c r="P95" s="825">
        <f>(P44+($Q$53*Q44))*$P$81</f>
        <v>0</v>
      </c>
      <c r="Q95" s="779">
        <f t="shared" si="28"/>
        <v>0</v>
      </c>
      <c r="R95" s="823">
        <f>(R44+($S$53*S44))*$R$81</f>
        <v>0</v>
      </c>
      <c r="S95" s="766">
        <f t="shared" si="29"/>
        <v>0</v>
      </c>
      <c r="T95" s="825">
        <f t="shared" si="20"/>
        <v>0</v>
      </c>
      <c r="U95" s="779">
        <f t="shared" si="30"/>
        <v>0</v>
      </c>
      <c r="V95" s="823">
        <f>(V44+($W$53*W44))*$V$81</f>
        <v>0</v>
      </c>
      <c r="W95" s="766">
        <f t="shared" si="31"/>
        <v>0</v>
      </c>
      <c r="X95" s="823">
        <f>(X44+($Y$53*Y44))*$X$81</f>
        <v>0</v>
      </c>
      <c r="Y95" s="766">
        <f t="shared" si="32"/>
        <v>0</v>
      </c>
      <c r="Z95" s="823">
        <f>(Z44+($AA$53*AA44))*$Z$81</f>
        <v>0</v>
      </c>
      <c r="AA95" s="766">
        <f t="shared" si="33"/>
        <v>0</v>
      </c>
      <c r="AB95" s="823">
        <f>(AB44+($AC$53*AC44))*$AB$81</f>
        <v>0</v>
      </c>
      <c r="AC95" s="766">
        <f t="shared" si="34"/>
        <v>0</v>
      </c>
      <c r="AE95" s="773">
        <f t="shared" si="21"/>
        <v>0</v>
      </c>
    </row>
    <row r="96" spans="1:32" x14ac:dyDescent="0.35">
      <c r="A96" s="840" t="s">
        <v>35</v>
      </c>
      <c r="D96" s="841">
        <f>(D45+($E$52*E45))*$D$81</f>
        <v>81118.589885680529</v>
      </c>
      <c r="E96" s="756">
        <f t="shared" si="22"/>
        <v>6</v>
      </c>
      <c r="F96" s="842">
        <f>(F45+($G$52*G45))*$F$81</f>
        <v>0</v>
      </c>
      <c r="G96" s="758">
        <f t="shared" si="23"/>
        <v>0</v>
      </c>
      <c r="H96" s="841">
        <f>(H45+($I$52*I45))*$H$81</f>
        <v>444625.86797548522</v>
      </c>
      <c r="I96" s="756">
        <f t="shared" si="24"/>
        <v>34</v>
      </c>
      <c r="J96" s="842">
        <f>(J45+($K$52*K45))*$J$81</f>
        <v>17858.200521595096</v>
      </c>
      <c r="K96" s="758">
        <f t="shared" si="25"/>
        <v>1</v>
      </c>
      <c r="L96" s="842">
        <f>(L45+($M$52*M45))*$L$81</f>
        <v>0</v>
      </c>
      <c r="M96" s="758">
        <f t="shared" si="26"/>
        <v>0</v>
      </c>
      <c r="N96" s="841">
        <f>(N45+($O$52*O45))*$N$81</f>
        <v>137808.1758171939</v>
      </c>
      <c r="O96" s="756">
        <f t="shared" si="27"/>
        <v>10</v>
      </c>
      <c r="P96" s="842">
        <f>(P45+($Q$52*Q45))*$P$81</f>
        <v>15150.573129784754</v>
      </c>
      <c r="Q96" s="758">
        <f t="shared" si="28"/>
        <v>1</v>
      </c>
      <c r="R96" s="841">
        <f>(R45+($S$52*S45))*$R$81</f>
        <v>50614.979657230346</v>
      </c>
      <c r="S96" s="756">
        <f t="shared" si="29"/>
        <v>4</v>
      </c>
      <c r="T96" s="842">
        <f t="shared" si="20"/>
        <v>41448.438694128614</v>
      </c>
      <c r="U96" s="758">
        <f t="shared" si="30"/>
        <v>3</v>
      </c>
      <c r="V96" s="841">
        <f>(V45+($W$52*W45))*$V$81</f>
        <v>80305.799999999988</v>
      </c>
      <c r="W96" s="756">
        <f t="shared" si="31"/>
        <v>6</v>
      </c>
      <c r="X96" s="841">
        <f>(X45+($Y$52*Y45))*$X$81</f>
        <v>501765.5820975891</v>
      </c>
      <c r="Y96" s="756">
        <f t="shared" si="32"/>
        <v>42</v>
      </c>
      <c r="Z96" s="841">
        <f>(Z45+($AA$52*AA45))*$Z$81</f>
        <v>228808.09999999998</v>
      </c>
      <c r="AA96" s="756">
        <f t="shared" si="33"/>
        <v>17</v>
      </c>
      <c r="AB96" s="841">
        <f>(AB45+($AC$52*AC45))*$AB$81</f>
        <v>0</v>
      </c>
      <c r="AC96" s="756">
        <f t="shared" si="34"/>
        <v>0</v>
      </c>
      <c r="AE96" s="773">
        <f t="shared" si="21"/>
        <v>1599504.3077786877</v>
      </c>
    </row>
    <row r="97" spans="1:31" s="767" customFormat="1" ht="15" thickBot="1" x14ac:dyDescent="0.4">
      <c r="A97" s="843" t="s">
        <v>166</v>
      </c>
      <c r="D97" s="823">
        <f>(D46+($E$53*E46))*$D$81</f>
        <v>0</v>
      </c>
      <c r="E97" s="766">
        <f t="shared" si="22"/>
        <v>0</v>
      </c>
      <c r="F97" s="825">
        <f>(F46+($G$53*G46))*$F$81</f>
        <v>0</v>
      </c>
      <c r="G97" s="779">
        <f t="shared" si="23"/>
        <v>0</v>
      </c>
      <c r="H97" s="823">
        <f>(H46+($I$53*I46))*$H$81</f>
        <v>6538.6157055218418</v>
      </c>
      <c r="I97" s="766">
        <f t="shared" si="24"/>
        <v>1</v>
      </c>
      <c r="J97" s="825">
        <f>(J46+($K$53*K46))*$J$81</f>
        <v>0</v>
      </c>
      <c r="K97" s="779">
        <f t="shared" si="25"/>
        <v>0</v>
      </c>
      <c r="L97" s="825">
        <f>(L46+($M$53*M46))*$L$81</f>
        <v>0</v>
      </c>
      <c r="M97" s="779">
        <f t="shared" si="26"/>
        <v>0</v>
      </c>
      <c r="N97" s="823">
        <f>(N46+($O$53*O46))*$N$81</f>
        <v>0</v>
      </c>
      <c r="O97" s="766">
        <f t="shared" si="27"/>
        <v>0</v>
      </c>
      <c r="P97" s="825">
        <f>(P46+($Q$53*Q46))*$P$81</f>
        <v>0</v>
      </c>
      <c r="Q97" s="779">
        <f t="shared" si="28"/>
        <v>0</v>
      </c>
      <c r="R97" s="823">
        <f>(R46+($S$53*S46))*$R$81</f>
        <v>6326.8724571537932</v>
      </c>
      <c r="S97" s="766">
        <f t="shared" si="29"/>
        <v>1</v>
      </c>
      <c r="T97" s="825">
        <f t="shared" si="20"/>
        <v>0</v>
      </c>
      <c r="U97" s="779">
        <f t="shared" si="30"/>
        <v>0</v>
      </c>
      <c r="V97" s="823">
        <f>(V46+($W$53*W46))*$V$81</f>
        <v>0</v>
      </c>
      <c r="W97" s="766">
        <f t="shared" si="31"/>
        <v>0</v>
      </c>
      <c r="X97" s="823">
        <f>(X46+($Y$53*Y46))*$X$81</f>
        <v>11946.799573752121</v>
      </c>
      <c r="Y97" s="766">
        <f t="shared" si="32"/>
        <v>2</v>
      </c>
      <c r="Z97" s="823">
        <f>(Z46+($AA$53*AA46))*$Z$81</f>
        <v>0</v>
      </c>
      <c r="AA97" s="766">
        <f t="shared" si="33"/>
        <v>0</v>
      </c>
      <c r="AB97" s="823">
        <f>(AB46+($AC$53*AC46))*$AB$81</f>
        <v>0</v>
      </c>
      <c r="AC97" s="766">
        <f t="shared" si="34"/>
        <v>0</v>
      </c>
      <c r="AE97" s="773">
        <f t="shared" si="21"/>
        <v>24812.287736427759</v>
      </c>
    </row>
    <row r="98" spans="1:31" x14ac:dyDescent="0.35">
      <c r="A98" s="840" t="s">
        <v>36</v>
      </c>
      <c r="D98" s="841">
        <f>(D47+($E$52*E47))*$D$81</f>
        <v>0</v>
      </c>
      <c r="E98" s="756">
        <f t="shared" si="22"/>
        <v>0</v>
      </c>
      <c r="F98" s="842">
        <f>(F47+($G$52*G47))*$F$81</f>
        <v>0</v>
      </c>
      <c r="G98" s="758">
        <f t="shared" si="23"/>
        <v>0</v>
      </c>
      <c r="H98" s="841">
        <f>(H47+($I$52*I47))*$H$81</f>
        <v>45341.090080752765</v>
      </c>
      <c r="I98" s="756">
        <f t="shared" si="24"/>
        <v>2</v>
      </c>
      <c r="J98" s="842">
        <f>(J47+($K$52*K47))*$J$81</f>
        <v>0</v>
      </c>
      <c r="K98" s="758">
        <f t="shared" si="25"/>
        <v>0</v>
      </c>
      <c r="L98" s="842">
        <f>(L47+($M$52*M47))*$L$81</f>
        <v>0</v>
      </c>
      <c r="M98" s="758">
        <f t="shared" si="26"/>
        <v>0</v>
      </c>
      <c r="N98" s="841">
        <f>(N47+($O$52*O47))*$N$81</f>
        <v>0</v>
      </c>
      <c r="O98" s="756">
        <f t="shared" si="27"/>
        <v>0</v>
      </c>
      <c r="P98" s="842">
        <f>(P47+($Q$52*Q47))*$P$81</f>
        <v>0</v>
      </c>
      <c r="Q98" s="758">
        <f t="shared" si="28"/>
        <v>0</v>
      </c>
      <c r="R98" s="841">
        <f>(R47+($S$52*S47))*$R$81</f>
        <v>0</v>
      </c>
      <c r="S98" s="756">
        <f t="shared" si="29"/>
        <v>0</v>
      </c>
      <c r="T98" s="842">
        <f t="shared" si="20"/>
        <v>0</v>
      </c>
      <c r="U98" s="758">
        <f t="shared" si="30"/>
        <v>0</v>
      </c>
      <c r="V98" s="841">
        <f>(V47+($W$52*W47))*$V$81</f>
        <v>0</v>
      </c>
      <c r="W98" s="756">
        <f t="shared" si="31"/>
        <v>0</v>
      </c>
      <c r="X98" s="841">
        <f>(X47+($Y$52*Y47))*$X$81</f>
        <v>104537.15300391355</v>
      </c>
      <c r="Y98" s="756">
        <f t="shared" si="32"/>
        <v>5</v>
      </c>
      <c r="Z98" s="841">
        <f>(Z47+($AA$52*AA47))*$Z$81</f>
        <v>23156.1</v>
      </c>
      <c r="AA98" s="756">
        <f t="shared" si="33"/>
        <v>1</v>
      </c>
      <c r="AB98" s="841">
        <f>(AB47+($AC$52*AC47))*$AB$81</f>
        <v>129324.57159779007</v>
      </c>
      <c r="AC98" s="756">
        <f t="shared" si="34"/>
        <v>6</v>
      </c>
      <c r="AE98" s="773">
        <f t="shared" si="21"/>
        <v>302358.91468245641</v>
      </c>
    </row>
    <row r="99" spans="1:31" s="767" customFormat="1" ht="15" thickBot="1" x14ac:dyDescent="0.4">
      <c r="A99" s="843" t="s">
        <v>167</v>
      </c>
      <c r="D99" s="823">
        <f>(D48+($E$53*E48))*$D$81</f>
        <v>0</v>
      </c>
      <c r="E99" s="766">
        <f t="shared" si="22"/>
        <v>0</v>
      </c>
      <c r="F99" s="825">
        <f>(F48+($G$53*G48))*$F$81</f>
        <v>0</v>
      </c>
      <c r="G99" s="779">
        <f t="shared" si="23"/>
        <v>0</v>
      </c>
      <c r="H99" s="823">
        <f>(H48+($I$53*I48))*$H$81</f>
        <v>0</v>
      </c>
      <c r="I99" s="766">
        <f t="shared" si="24"/>
        <v>0</v>
      </c>
      <c r="J99" s="825">
        <f>(J48+($K$53*K48))*$J$81</f>
        <v>0</v>
      </c>
      <c r="K99" s="779">
        <f t="shared" si="25"/>
        <v>0</v>
      </c>
      <c r="L99" s="825">
        <f>(L48+($M$53*M48))*$L$81</f>
        <v>0</v>
      </c>
      <c r="M99" s="779">
        <f t="shared" si="26"/>
        <v>0</v>
      </c>
      <c r="N99" s="823">
        <f>(N48+($O$53*O48))*$N$81</f>
        <v>0</v>
      </c>
      <c r="O99" s="766">
        <f t="shared" si="27"/>
        <v>0</v>
      </c>
      <c r="P99" s="825">
        <f>(P48+($Q$53*Q48))*$P$81</f>
        <v>0</v>
      </c>
      <c r="Q99" s="779">
        <f t="shared" si="28"/>
        <v>0</v>
      </c>
      <c r="R99" s="823">
        <f>(R48+($S$53*S48))*$R$81</f>
        <v>0</v>
      </c>
      <c r="S99" s="766">
        <f t="shared" si="29"/>
        <v>0</v>
      </c>
      <c r="T99" s="825">
        <f t="shared" si="20"/>
        <v>0</v>
      </c>
      <c r="U99" s="779">
        <f t="shared" si="30"/>
        <v>0</v>
      </c>
      <c r="V99" s="823">
        <f>(V48+($W$53*W48))*$V$81</f>
        <v>0</v>
      </c>
      <c r="W99" s="766">
        <f t="shared" si="31"/>
        <v>0</v>
      </c>
      <c r="X99" s="823">
        <f>(X48+($Y$53*Y48))*$X$81</f>
        <v>10453.715300391355</v>
      </c>
      <c r="Y99" s="766">
        <f t="shared" si="32"/>
        <v>1</v>
      </c>
      <c r="Z99" s="823">
        <f>(Z48+($AA$53*AA48))*$Z$81</f>
        <v>11578.05</v>
      </c>
      <c r="AA99" s="766">
        <f t="shared" si="33"/>
        <v>1</v>
      </c>
      <c r="AB99" s="823">
        <f>(AB48+($AC$53*AC48))*$AB$81</f>
        <v>0</v>
      </c>
      <c r="AC99" s="766">
        <f t="shared" si="34"/>
        <v>0</v>
      </c>
      <c r="AE99" s="773">
        <f t="shared" si="21"/>
        <v>22031.765300391355</v>
      </c>
    </row>
    <row r="100" spans="1:31" ht="15" thickBot="1" x14ac:dyDescent="0.4">
      <c r="A100" s="844" t="s">
        <v>8</v>
      </c>
      <c r="D100" s="755"/>
      <c r="E100" s="756"/>
      <c r="F100" s="757"/>
      <c r="G100" s="758"/>
      <c r="H100" s="755"/>
      <c r="I100" s="756"/>
      <c r="J100" s="757"/>
      <c r="K100" s="758"/>
      <c r="L100" s="842">
        <f>L49*$L$81</f>
        <v>0</v>
      </c>
      <c r="M100" s="758">
        <f t="shared" si="26"/>
        <v>0</v>
      </c>
      <c r="N100" s="755"/>
      <c r="O100" s="756"/>
      <c r="P100" s="757"/>
      <c r="Q100" s="758"/>
      <c r="R100" s="755"/>
      <c r="S100" s="756"/>
      <c r="T100" s="757"/>
      <c r="U100" s="758"/>
      <c r="V100" s="755"/>
      <c r="W100" s="756"/>
      <c r="X100" s="755"/>
      <c r="Y100" s="756"/>
      <c r="Z100" s="755"/>
      <c r="AA100" s="756"/>
      <c r="AB100" s="755"/>
      <c r="AC100" s="756"/>
    </row>
    <row r="101" spans="1:31" ht="15" thickBot="1" x14ac:dyDescent="0.4">
      <c r="D101" s="781">
        <f>SUM(D90:D100)</f>
        <v>683824.43948471989</v>
      </c>
      <c r="E101" s="782">
        <f t="shared" ref="E101:AC101" si="35">SUM(E90:E100)</f>
        <v>115</v>
      </c>
      <c r="F101" s="783">
        <f t="shared" si="35"/>
        <v>270090.10266473738</v>
      </c>
      <c r="G101" s="784">
        <f t="shared" si="35"/>
        <v>39</v>
      </c>
      <c r="H101" s="781">
        <f t="shared" si="35"/>
        <v>1293575.358101222</v>
      </c>
      <c r="I101" s="782">
        <f t="shared" si="35"/>
        <v>129</v>
      </c>
      <c r="J101" s="783">
        <f t="shared" si="35"/>
        <v>393709.28367897717</v>
      </c>
      <c r="K101" s="784">
        <f t="shared" si="35"/>
        <v>49</v>
      </c>
      <c r="L101" s="783">
        <f t="shared" si="35"/>
        <v>0</v>
      </c>
      <c r="M101" s="784">
        <f>SUM(M90:M100)-M100</f>
        <v>0</v>
      </c>
      <c r="N101" s="781">
        <f t="shared" si="35"/>
        <v>418289.08829562145</v>
      </c>
      <c r="O101" s="782">
        <f t="shared" si="35"/>
        <v>38</v>
      </c>
      <c r="P101" s="783">
        <f t="shared" si="35"/>
        <v>109550.67660268521</v>
      </c>
      <c r="Q101" s="784">
        <f t="shared" si="35"/>
        <v>12</v>
      </c>
      <c r="R101" s="781">
        <f t="shared" si="35"/>
        <v>989485.87827343948</v>
      </c>
      <c r="S101" s="782">
        <f t="shared" si="35"/>
        <v>121</v>
      </c>
      <c r="T101" s="783">
        <f t="shared" si="35"/>
        <v>390999.73642903654</v>
      </c>
      <c r="U101" s="784">
        <f t="shared" si="35"/>
        <v>38</v>
      </c>
      <c r="V101" s="781">
        <f t="shared" si="35"/>
        <v>597628.89999999991</v>
      </c>
      <c r="W101" s="782">
        <f t="shared" si="35"/>
        <v>106</v>
      </c>
      <c r="X101" s="781">
        <f t="shared" si="35"/>
        <v>2498763.1409840309</v>
      </c>
      <c r="Y101" s="782">
        <f t="shared" si="35"/>
        <v>311</v>
      </c>
      <c r="Z101" s="781">
        <f t="shared" si="35"/>
        <v>806743.04999999993</v>
      </c>
      <c r="AA101" s="782">
        <f t="shared" si="35"/>
        <v>86</v>
      </c>
      <c r="AB101" s="781">
        <f t="shared" si="35"/>
        <v>129324.57159779007</v>
      </c>
      <c r="AC101" s="782">
        <f t="shared" si="35"/>
        <v>6</v>
      </c>
      <c r="AD101" s="241">
        <f>E101+G101+I101+K101+M101+O101+Q101+S101+U101+W101+Y101+AA101+AC101</f>
        <v>1050</v>
      </c>
      <c r="AE101" s="773">
        <f>D101+F101+H101+J101+L101+N101+P101+R101+T101+V101+X101+Z101+AB101</f>
        <v>8581984.2261122614</v>
      </c>
    </row>
    <row r="102" spans="1:31" ht="15" thickTop="1" x14ac:dyDescent="0.35">
      <c r="D102" s="755"/>
      <c r="E102" s="756"/>
      <c r="F102" s="757"/>
      <c r="G102" s="758"/>
      <c r="H102" s="755"/>
      <c r="I102" s="756"/>
      <c r="J102" s="757"/>
      <c r="K102" s="758"/>
      <c r="L102" s="757"/>
      <c r="M102" s="758"/>
      <c r="N102" s="755"/>
      <c r="O102" s="756"/>
      <c r="P102" s="757"/>
      <c r="Q102" s="758"/>
      <c r="R102" s="755"/>
      <c r="S102" s="756"/>
      <c r="T102" s="757"/>
      <c r="U102" s="758"/>
      <c r="V102" s="755"/>
      <c r="W102" s="756"/>
      <c r="X102" s="755"/>
      <c r="Y102" s="756"/>
      <c r="Z102" s="755"/>
      <c r="AA102" s="756"/>
      <c r="AB102" s="755"/>
      <c r="AC102" s="756"/>
    </row>
    <row r="103" spans="1:31" ht="15" thickBot="1" x14ac:dyDescent="0.4">
      <c r="D103" s="789">
        <f>D86-D101</f>
        <v>0</v>
      </c>
      <c r="E103" s="790"/>
      <c r="F103" s="791">
        <f>F86-F101</f>
        <v>0</v>
      </c>
      <c r="G103" s="792"/>
      <c r="H103" s="789">
        <f>H86-H101</f>
        <v>0</v>
      </c>
      <c r="I103" s="790"/>
      <c r="J103" s="791">
        <f>J86-J101</f>
        <v>0</v>
      </c>
      <c r="K103" s="792"/>
      <c r="L103" s="791">
        <f>L86-L101</f>
        <v>0</v>
      </c>
      <c r="M103" s="792"/>
      <c r="N103" s="789" t="s">
        <v>193</v>
      </c>
      <c r="O103" s="790"/>
      <c r="P103" s="791">
        <f>P86-P101</f>
        <v>0</v>
      </c>
      <c r="Q103" s="792"/>
      <c r="R103" s="789">
        <f>R86-R101</f>
        <v>0</v>
      </c>
      <c r="S103" s="790"/>
      <c r="T103" s="791">
        <f>T86-T101</f>
        <v>0</v>
      </c>
      <c r="U103" s="792"/>
      <c r="V103" s="789">
        <f>V86-V101</f>
        <v>0</v>
      </c>
      <c r="W103" s="790"/>
      <c r="X103" s="789">
        <f>X86-X101</f>
        <v>0</v>
      </c>
      <c r="Y103" s="790"/>
      <c r="Z103" s="789">
        <f>Z86-Z101</f>
        <v>0</v>
      </c>
      <c r="AA103" s="790"/>
      <c r="AB103" s="789">
        <f>AB86-AB101</f>
        <v>0</v>
      </c>
      <c r="AC103" s="790"/>
    </row>
    <row r="106" spans="1:31" s="788" customFormat="1" ht="18.5" x14ac:dyDescent="0.35">
      <c r="A106" s="1276" t="s">
        <v>317</v>
      </c>
      <c r="B106" s="1276"/>
      <c r="C106" s="1276"/>
      <c r="D106" s="845">
        <f>D81</f>
        <v>1.0191827535711033</v>
      </c>
      <c r="E106" s="846"/>
      <c r="F106" s="847">
        <f>F81</f>
        <v>1.0776437569591562</v>
      </c>
      <c r="G106" s="848"/>
      <c r="H106" s="845">
        <f>H81</f>
        <v>0.98932778126110654</v>
      </c>
      <c r="I106" s="846"/>
      <c r="J106" s="847">
        <f>J81</f>
        <v>1.0757867873079967</v>
      </c>
      <c r="K106" s="848"/>
      <c r="L106" s="847">
        <f>L81</f>
        <v>0</v>
      </c>
      <c r="M106" s="848"/>
      <c r="N106" s="845">
        <f>N81</f>
        <v>0.94245211640572213</v>
      </c>
      <c r="O106" s="846"/>
      <c r="P106" s="847">
        <f>P81</f>
        <v>0.95196037542795775</v>
      </c>
      <c r="Q106" s="848"/>
      <c r="R106" s="845">
        <f>R81</f>
        <v>0.95024480631313402</v>
      </c>
      <c r="S106" s="846"/>
      <c r="T106" s="847">
        <f>T81</f>
        <v>0.8965335116978479</v>
      </c>
      <c r="U106" s="848"/>
      <c r="V106" s="845">
        <f>V81</f>
        <v>1</v>
      </c>
      <c r="W106" s="846"/>
      <c r="X106" s="845">
        <f>X81</f>
        <v>0.92408124608433606</v>
      </c>
      <c r="Y106" s="846"/>
      <c r="Z106" s="845">
        <f>Z81</f>
        <v>1</v>
      </c>
      <c r="AA106" s="846"/>
      <c r="AB106" s="845">
        <f>AB81</f>
        <v>0.95266298342541467</v>
      </c>
      <c r="AC106" s="846"/>
    </row>
    <row r="107" spans="1:31" s="788" customFormat="1" ht="15.5" x14ac:dyDescent="0.35">
      <c r="A107" s="849" t="s">
        <v>300</v>
      </c>
      <c r="D107" s="788">
        <v>0.96479999999999999</v>
      </c>
      <c r="E107" s="846"/>
      <c r="F107" s="850">
        <v>1</v>
      </c>
      <c r="G107" s="848"/>
      <c r="H107" s="788">
        <v>0.9274</v>
      </c>
      <c r="I107" s="846"/>
      <c r="J107" s="850">
        <v>1.121</v>
      </c>
      <c r="K107" s="848"/>
      <c r="L107" s="850">
        <v>1</v>
      </c>
      <c r="M107" s="848"/>
      <c r="N107" s="788">
        <v>0.9684500211167395</v>
      </c>
      <c r="O107" s="846"/>
      <c r="P107" s="850">
        <v>0.93469999999999998</v>
      </c>
      <c r="Q107" s="848"/>
      <c r="R107" s="788">
        <v>0.9254</v>
      </c>
      <c r="S107" s="846"/>
      <c r="T107" s="850">
        <v>0.89910000000000001</v>
      </c>
      <c r="U107" s="848"/>
      <c r="V107" s="788">
        <v>1</v>
      </c>
      <c r="W107" s="846"/>
      <c r="X107" s="788">
        <v>0.88790000000000002</v>
      </c>
      <c r="Y107" s="846"/>
      <c r="Z107" s="788">
        <v>1.0193000000000001</v>
      </c>
      <c r="AA107" s="846"/>
      <c r="AB107" s="788">
        <v>0.94740000000000002</v>
      </c>
      <c r="AC107" s="846"/>
    </row>
    <row r="109" spans="1:31" s="829" customFormat="1" x14ac:dyDescent="0.35">
      <c r="D109" s="829" t="str">
        <f>IF(D85&lt;-10,"Capped","")</f>
        <v/>
      </c>
      <c r="E109" s="851"/>
      <c r="F109" s="852" t="str">
        <f>IF(F85&lt;-10,"Capped","")</f>
        <v/>
      </c>
      <c r="G109" s="853"/>
      <c r="H109" s="829" t="str">
        <f>IF(H85&lt;-10,"Capped","")</f>
        <v>Capped</v>
      </c>
      <c r="I109" s="851"/>
      <c r="J109" s="852" t="str">
        <f>IF(J85&lt;-10,"Capped","")</f>
        <v/>
      </c>
      <c r="K109" s="853"/>
      <c r="L109" s="852" t="str">
        <f>IF(L85&lt;-10,"Capped","")</f>
        <v/>
      </c>
      <c r="M109" s="853"/>
      <c r="N109" s="829" t="str">
        <f>IF(N85&lt;-10,"Capped","")</f>
        <v>Capped</v>
      </c>
      <c r="O109" s="851"/>
      <c r="P109" s="852" t="str">
        <f>IF(P85&lt;-10,"Capped","")</f>
        <v>Capped</v>
      </c>
      <c r="Q109" s="853"/>
      <c r="R109" s="829" t="str">
        <f>IF(R85&lt;-10,"Capped","")</f>
        <v>Capped</v>
      </c>
      <c r="S109" s="851"/>
      <c r="T109" s="852" t="str">
        <f>IF(T85&lt;-10,"Capped","")</f>
        <v>Capped</v>
      </c>
      <c r="U109" s="853"/>
      <c r="V109" s="829" t="str">
        <f>IF(V85&lt;-10,"Capped","")</f>
        <v/>
      </c>
      <c r="W109" s="851"/>
      <c r="X109" s="829" t="str">
        <f>IF(X85&lt;-10,"Capped","")</f>
        <v>Capped</v>
      </c>
      <c r="Y109" s="851"/>
      <c r="Z109" s="829" t="str">
        <f>IF(Z85&lt;-10,"Capped","")</f>
        <v/>
      </c>
      <c r="AA109" s="851"/>
      <c r="AB109" s="829" t="str">
        <f>IF(AB85&lt;-10,"Capped","")</f>
        <v>Capped</v>
      </c>
      <c r="AC109" s="851"/>
    </row>
    <row r="110" spans="1:31" x14ac:dyDescent="0.35">
      <c r="B110" s="854" t="s">
        <v>319</v>
      </c>
      <c r="D110" s="241">
        <f>D101/E50</f>
        <v>5946.2994737801728</v>
      </c>
      <c r="F110" s="855">
        <f>F101/G50</f>
        <v>6925.3872478137791</v>
      </c>
      <c r="H110" s="241">
        <f>H101/I50</f>
        <v>10027.715954273039</v>
      </c>
      <c r="J110" s="855">
        <f>J101/K50</f>
        <v>8034.8833403872895</v>
      </c>
      <c r="N110" s="241">
        <f>N101/O50</f>
        <v>11007.607586726881</v>
      </c>
      <c r="P110" s="855">
        <f>P101/Q50</f>
        <v>9129.2230502237671</v>
      </c>
      <c r="R110" s="241">
        <f>R101/S50</f>
        <v>8177.5692419292518</v>
      </c>
      <c r="T110" s="855">
        <f>T101/U50</f>
        <v>10289.46674813254</v>
      </c>
      <c r="V110" s="241">
        <f>V101/W50</f>
        <v>5638.0084905660369</v>
      </c>
      <c r="X110" s="241">
        <f>X101/Y50</f>
        <v>8034.6081703666587</v>
      </c>
      <c r="Z110" s="241">
        <f>Z101/AA50</f>
        <v>9380.7331395348829</v>
      </c>
      <c r="AB110" s="241">
        <f>AB101/AC50</f>
        <v>21554.095266298344</v>
      </c>
    </row>
    <row r="111" spans="1:31" x14ac:dyDescent="0.35">
      <c r="B111" s="854" t="s">
        <v>302</v>
      </c>
      <c r="D111" s="241">
        <f>D31</f>
        <v>5946.2994737801728</v>
      </c>
      <c r="F111" s="855">
        <f>F31</f>
        <v>6925.3872478137782</v>
      </c>
      <c r="H111" s="241">
        <f>H31</f>
        <v>9715.4613447864249</v>
      </c>
      <c r="J111" s="855">
        <f>J31</f>
        <v>8034.8833403872886</v>
      </c>
      <c r="L111" s="855">
        <f>L31</f>
        <v>31345.962216363805</v>
      </c>
      <c r="N111" s="241">
        <f>N31</f>
        <v>10618.930931906056</v>
      </c>
      <c r="P111" s="855">
        <f>P31</f>
        <v>8791.8640739486036</v>
      </c>
      <c r="R111" s="241">
        <f>R31</f>
        <v>7858.0436981114581</v>
      </c>
      <c r="T111" s="855">
        <f>T31</f>
        <v>9855.1617341403835</v>
      </c>
      <c r="V111" s="241">
        <f>V31</f>
        <v>5527.7192268954277</v>
      </c>
      <c r="X111" s="241">
        <f>X31</f>
        <v>7691.8457874036103</v>
      </c>
      <c r="Z111" s="241">
        <f>Z31</f>
        <v>9212.5246912470247</v>
      </c>
      <c r="AB111" s="241">
        <f>AB31</f>
        <v>20963.568319226517</v>
      </c>
    </row>
    <row r="114" spans="1:29" x14ac:dyDescent="0.35">
      <c r="A114" s="241" t="s">
        <v>318</v>
      </c>
      <c r="D114" s="241">
        <f>D23</f>
        <v>704876.67341678345</v>
      </c>
      <c r="E114" s="846">
        <f t="shared" ref="E114:AC114" si="36">E23</f>
        <v>113.88933996790851</v>
      </c>
      <c r="F114" s="855">
        <f t="shared" si="36"/>
        <v>308105.26575342467</v>
      </c>
      <c r="G114" s="848">
        <f t="shared" si="36"/>
        <v>42.89287301707715</v>
      </c>
      <c r="H114" s="241">
        <f t="shared" si="36"/>
        <v>1239941.1275650924</v>
      </c>
      <c r="I114" s="846">
        <f t="shared" si="36"/>
        <v>123.79978674763706</v>
      </c>
      <c r="J114" s="855">
        <f t="shared" si="36"/>
        <v>331111.52955259057</v>
      </c>
      <c r="K114" s="848">
        <f t="shared" si="36"/>
        <v>39.847221157078749</v>
      </c>
      <c r="L114" s="855">
        <f t="shared" si="36"/>
        <v>438854.24153564847</v>
      </c>
      <c r="M114" s="848">
        <f t="shared" si="36"/>
        <v>13.724661750071128</v>
      </c>
      <c r="N114" s="241">
        <f t="shared" si="36"/>
        <v>418275.68668316398</v>
      </c>
      <c r="O114" s="846">
        <f t="shared" si="36"/>
        <v>38.258352104594096</v>
      </c>
      <c r="P114" s="855">
        <f t="shared" si="36"/>
        <v>144704.72006383564</v>
      </c>
      <c r="Q114" s="848">
        <f t="shared" si="36"/>
        <v>15.940093484326136</v>
      </c>
      <c r="R114" s="241">
        <f t="shared" si="36"/>
        <v>961524.84396161931</v>
      </c>
      <c r="S114" s="846">
        <f t="shared" si="36"/>
        <v>118.26883156563578</v>
      </c>
      <c r="T114" s="855">
        <f t="shared" si="36"/>
        <v>438174.95013493154</v>
      </c>
      <c r="U114" s="848">
        <f t="shared" si="36"/>
        <v>43.137965917148641</v>
      </c>
      <c r="V114" s="241">
        <f t="shared" si="36"/>
        <v>616826.98082191788</v>
      </c>
      <c r="W114" s="846">
        <f t="shared" si="36"/>
        <v>107.010324362554</v>
      </c>
      <c r="X114" s="241">
        <f t="shared" si="36"/>
        <v>2460330.0549318623</v>
      </c>
      <c r="Y114" s="846">
        <f t="shared" si="36"/>
        <v>309.03758755376731</v>
      </c>
      <c r="Z114" s="241">
        <f t="shared" si="36"/>
        <v>826337.66274536157</v>
      </c>
      <c r="AA114" s="846">
        <f t="shared" si="36"/>
        <v>86.936229771990014</v>
      </c>
      <c r="AB114" s="241">
        <f t="shared" si="36"/>
        <v>128610</v>
      </c>
      <c r="AC114" s="846">
        <f t="shared" si="36"/>
        <v>5.9999734807801959</v>
      </c>
    </row>
    <row r="115" spans="1:29" x14ac:dyDescent="0.35">
      <c r="A115" s="241" t="s">
        <v>306</v>
      </c>
      <c r="D115" s="241">
        <f>D101</f>
        <v>683824.43948471989</v>
      </c>
      <c r="E115" s="846">
        <f t="shared" ref="E115:AC115" si="37">E101</f>
        <v>115</v>
      </c>
      <c r="F115" s="855">
        <f t="shared" si="37"/>
        <v>270090.10266473738</v>
      </c>
      <c r="G115" s="848">
        <f t="shared" si="37"/>
        <v>39</v>
      </c>
      <c r="H115" s="241">
        <f t="shared" si="37"/>
        <v>1293575.358101222</v>
      </c>
      <c r="I115" s="846">
        <f t="shared" si="37"/>
        <v>129</v>
      </c>
      <c r="J115" s="855">
        <f t="shared" si="37"/>
        <v>393709.28367897717</v>
      </c>
      <c r="K115" s="848">
        <f t="shared" si="37"/>
        <v>49</v>
      </c>
      <c r="L115" s="855">
        <f t="shared" si="37"/>
        <v>0</v>
      </c>
      <c r="M115" s="848">
        <f t="shared" si="37"/>
        <v>0</v>
      </c>
      <c r="N115" s="241">
        <f t="shared" si="37"/>
        <v>418289.08829562145</v>
      </c>
      <c r="O115" s="846">
        <f t="shared" si="37"/>
        <v>38</v>
      </c>
      <c r="P115" s="855">
        <f t="shared" si="37"/>
        <v>109550.67660268521</v>
      </c>
      <c r="Q115" s="848">
        <f t="shared" si="37"/>
        <v>12</v>
      </c>
      <c r="R115" s="241">
        <f t="shared" si="37"/>
        <v>989485.87827343948</v>
      </c>
      <c r="S115" s="846">
        <f t="shared" si="37"/>
        <v>121</v>
      </c>
      <c r="T115" s="855">
        <f t="shared" si="37"/>
        <v>390999.73642903654</v>
      </c>
      <c r="U115" s="848">
        <f t="shared" si="37"/>
        <v>38</v>
      </c>
      <c r="V115" s="241">
        <f t="shared" si="37"/>
        <v>597628.89999999991</v>
      </c>
      <c r="W115" s="846">
        <f t="shared" si="37"/>
        <v>106</v>
      </c>
      <c r="X115" s="241">
        <f t="shared" si="37"/>
        <v>2498763.1409840309</v>
      </c>
      <c r="Y115" s="846">
        <f t="shared" si="37"/>
        <v>311</v>
      </c>
      <c r="Z115" s="241">
        <f t="shared" si="37"/>
        <v>806743.04999999993</v>
      </c>
      <c r="AA115" s="846">
        <f t="shared" si="37"/>
        <v>86</v>
      </c>
      <c r="AB115" s="241">
        <f t="shared" si="37"/>
        <v>129324.57159779007</v>
      </c>
      <c r="AC115" s="846">
        <f t="shared" si="37"/>
        <v>6</v>
      </c>
    </row>
    <row r="116" spans="1:29" x14ac:dyDescent="0.35">
      <c r="D116" s="241">
        <f>D115-D114</f>
        <v>-21052.233932063566</v>
      </c>
      <c r="E116" s="846">
        <f t="shared" ref="E116:AC116" si="38">E115-E114</f>
        <v>1.1106600320914879</v>
      </c>
      <c r="F116" s="855">
        <f t="shared" si="38"/>
        <v>-38015.163088687288</v>
      </c>
      <c r="G116" s="848">
        <f t="shared" si="38"/>
        <v>-3.8928730170771502</v>
      </c>
      <c r="H116" s="241">
        <f t="shared" si="38"/>
        <v>53634.230536129558</v>
      </c>
      <c r="I116" s="846">
        <f t="shared" si="38"/>
        <v>5.2002132523629427</v>
      </c>
      <c r="J116" s="855">
        <f t="shared" si="38"/>
        <v>62597.754126386601</v>
      </c>
      <c r="K116" s="848">
        <f t="shared" si="38"/>
        <v>9.1527788429212507</v>
      </c>
      <c r="L116" s="855">
        <f t="shared" si="38"/>
        <v>-438854.24153564847</v>
      </c>
      <c r="M116" s="848">
        <f t="shared" si="38"/>
        <v>-13.724661750071128</v>
      </c>
      <c r="N116" s="241">
        <f t="shared" si="38"/>
        <v>13.401612457470037</v>
      </c>
      <c r="O116" s="846">
        <f t="shared" si="38"/>
        <v>-0.25835210459409552</v>
      </c>
      <c r="P116" s="855">
        <f t="shared" si="38"/>
        <v>-35154.043461150432</v>
      </c>
      <c r="Q116" s="848">
        <f t="shared" si="38"/>
        <v>-3.9400934843261357</v>
      </c>
      <c r="R116" s="241">
        <f t="shared" si="38"/>
        <v>27961.034311820171</v>
      </c>
      <c r="S116" s="846">
        <f t="shared" si="38"/>
        <v>2.7311684343642213</v>
      </c>
      <c r="T116" s="855">
        <f t="shared" si="38"/>
        <v>-47175.213705895003</v>
      </c>
      <c r="U116" s="848">
        <f t="shared" si="38"/>
        <v>-5.1379659171486409</v>
      </c>
      <c r="V116" s="241">
        <f t="shared" si="38"/>
        <v>-19198.080821917974</v>
      </c>
      <c r="W116" s="846">
        <f t="shared" si="38"/>
        <v>-1.0103243625540017</v>
      </c>
      <c r="X116" s="241">
        <f t="shared" si="38"/>
        <v>38433.086052168626</v>
      </c>
      <c r="Y116" s="846">
        <f t="shared" si="38"/>
        <v>1.9624124462326904</v>
      </c>
      <c r="Z116" s="241">
        <f t="shared" si="38"/>
        <v>-19594.612745361635</v>
      </c>
      <c r="AA116" s="846">
        <f t="shared" si="38"/>
        <v>-0.93622977199001411</v>
      </c>
      <c r="AB116" s="241">
        <f t="shared" si="38"/>
        <v>714.57159779006906</v>
      </c>
      <c r="AC116" s="846">
        <f t="shared" si="38"/>
        <v>2.6519219804121974E-5</v>
      </c>
    </row>
    <row r="121" spans="1:29" x14ac:dyDescent="0.35">
      <c r="X121" s="241">
        <f>X56</f>
        <v>2704051.3499999992</v>
      </c>
    </row>
    <row r="122" spans="1:29" x14ac:dyDescent="0.35">
      <c r="X122" s="241">
        <f>X60*Y50</f>
        <v>311887.31011747662</v>
      </c>
    </row>
    <row r="123" spans="1:29" x14ac:dyDescent="0.35">
      <c r="X123" s="241">
        <f>X122*C71</f>
        <v>31188.731011747663</v>
      </c>
    </row>
    <row r="124" spans="1:29" x14ac:dyDescent="0.35">
      <c r="W124" s="846" t="s">
        <v>303</v>
      </c>
      <c r="X124" s="241">
        <f>X122-X123</f>
        <v>280698.57910572895</v>
      </c>
    </row>
    <row r="125" spans="1:29" x14ac:dyDescent="0.35">
      <c r="X125" s="241">
        <f>X121-X124</f>
        <v>2423352.7708942704</v>
      </c>
    </row>
    <row r="126" spans="1:29" x14ac:dyDescent="0.35">
      <c r="X126" s="241">
        <f>X115-X125</f>
        <v>75410.370089760516</v>
      </c>
    </row>
  </sheetData>
  <mergeCells count="22">
    <mergeCell ref="N2:O2"/>
    <mergeCell ref="D2:E2"/>
    <mergeCell ref="F2:G2"/>
    <mergeCell ref="H2:I2"/>
    <mergeCell ref="J2:K2"/>
    <mergeCell ref="L2:M2"/>
    <mergeCell ref="A71:B71"/>
    <mergeCell ref="A72:B72"/>
    <mergeCell ref="A81:C81"/>
    <mergeCell ref="A106:C106"/>
    <mergeCell ref="AB2:AC2"/>
    <mergeCell ref="D35:I35"/>
    <mergeCell ref="J35:Q35"/>
    <mergeCell ref="R35:Y35"/>
    <mergeCell ref="Z35:AC35"/>
    <mergeCell ref="A70:B70"/>
    <mergeCell ref="P2:Q2"/>
    <mergeCell ref="R2:S2"/>
    <mergeCell ref="T2:U2"/>
    <mergeCell ref="V2:W2"/>
    <mergeCell ref="X2:Y2"/>
    <mergeCell ref="Z2:AA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P32"/>
  <sheetViews>
    <sheetView showGridLines="0" tabSelected="1" topLeftCell="A13" workbookViewId="0">
      <selection activeCell="D11" sqref="A11:P14"/>
    </sheetView>
  </sheetViews>
  <sheetFormatPr defaultColWidth="9.1796875" defaultRowHeight="14.5" x14ac:dyDescent="0.35"/>
  <cols>
    <col min="1" max="1" width="9.1796875" style="143" customWidth="1"/>
    <col min="2" max="3" width="9.1796875" style="143"/>
    <col min="4" max="5" width="10.54296875" style="143" bestFit="1" customWidth="1"/>
    <col min="6" max="6" width="32.453125" style="143" customWidth="1"/>
    <col min="7" max="7" width="10.54296875" style="143" bestFit="1" customWidth="1"/>
    <col min="8" max="15" width="9.1796875" style="143"/>
    <col min="16" max="16" width="33.1796875" style="143" customWidth="1"/>
    <col min="17" max="16384" width="9.1796875" style="143"/>
  </cols>
  <sheetData>
    <row r="1" spans="1:16" ht="18.5" x14ac:dyDescent="0.45">
      <c r="A1" s="1002" t="s">
        <v>375</v>
      </c>
      <c r="B1" s="315"/>
      <c r="C1" s="315"/>
      <c r="D1" s="315"/>
      <c r="E1" s="315"/>
      <c r="F1" s="315"/>
      <c r="G1" s="315"/>
      <c r="H1" s="315"/>
      <c r="I1" s="315"/>
      <c r="J1" s="315"/>
      <c r="K1" s="315"/>
      <c r="L1" s="315"/>
      <c r="M1" s="315"/>
      <c r="N1" s="315"/>
      <c r="O1" s="315"/>
      <c r="P1" s="315"/>
    </row>
    <row r="2" spans="1:16" ht="15.5" x14ac:dyDescent="0.35">
      <c r="A2" s="914"/>
      <c r="B2" s="315"/>
      <c r="C2" s="315"/>
      <c r="D2" s="315"/>
      <c r="E2" s="315"/>
      <c r="F2" s="315"/>
      <c r="G2" s="315"/>
      <c r="H2" s="315"/>
      <c r="I2" s="315"/>
      <c r="J2" s="315"/>
      <c r="K2" s="315"/>
      <c r="L2" s="315"/>
      <c r="M2" s="315"/>
      <c r="N2" s="315"/>
      <c r="O2" s="315"/>
      <c r="P2" s="315"/>
    </row>
    <row r="3" spans="1:16" ht="15.5" x14ac:dyDescent="0.35">
      <c r="A3" s="915" t="s">
        <v>0</v>
      </c>
      <c r="B3" s="914"/>
      <c r="C3" s="914"/>
      <c r="D3" s="914"/>
      <c r="E3" s="914"/>
      <c r="F3" s="914"/>
      <c r="G3" s="914"/>
      <c r="H3" s="914"/>
      <c r="I3" s="914"/>
      <c r="J3" s="914"/>
      <c r="K3" s="914"/>
      <c r="L3" s="914"/>
      <c r="M3" s="914"/>
      <c r="N3" s="914"/>
      <c r="O3" s="914"/>
      <c r="P3" s="914"/>
    </row>
    <row r="4" spans="1:16" ht="15.5" x14ac:dyDescent="0.35">
      <c r="A4" s="1141" t="s">
        <v>321</v>
      </c>
      <c r="B4" s="1141"/>
      <c r="C4" s="1141"/>
      <c r="D4" s="1141"/>
      <c r="E4" s="1141"/>
      <c r="F4" s="1141"/>
      <c r="G4" s="1141"/>
      <c r="H4" s="1141"/>
      <c r="I4" s="1141"/>
      <c r="J4" s="1141"/>
      <c r="K4" s="1141"/>
      <c r="L4" s="1141"/>
      <c r="M4" s="1141"/>
      <c r="N4" s="1141"/>
      <c r="O4" s="1141"/>
      <c r="P4" s="1141"/>
    </row>
    <row r="5" spans="1:16" ht="15.5" x14ac:dyDescent="0.35">
      <c r="A5" s="1132" t="s">
        <v>339</v>
      </c>
      <c r="B5" s="1132"/>
      <c r="C5" s="1132"/>
      <c r="D5" s="1132"/>
      <c r="E5" s="1132"/>
      <c r="F5" s="1132"/>
      <c r="G5" s="1132"/>
      <c r="H5" s="1132"/>
      <c r="I5" s="1132"/>
      <c r="J5" s="1132"/>
      <c r="K5" s="1132"/>
      <c r="L5" s="1132"/>
      <c r="M5" s="1132"/>
      <c r="N5" s="1132"/>
      <c r="O5" s="1132"/>
      <c r="P5" s="1132"/>
    </row>
    <row r="6" spans="1:16" ht="15.5" x14ac:dyDescent="0.35">
      <c r="A6" s="1003" t="s">
        <v>340</v>
      </c>
      <c r="B6" s="1003"/>
      <c r="C6" s="1003"/>
      <c r="D6" s="1003"/>
      <c r="E6" s="1003"/>
      <c r="F6" s="1003"/>
      <c r="G6" s="1003"/>
      <c r="H6" s="1003"/>
      <c r="I6" s="1003"/>
      <c r="J6" s="1003"/>
      <c r="K6" s="1003"/>
      <c r="L6" s="1003"/>
      <c r="M6" s="1003"/>
      <c r="N6" s="1003"/>
      <c r="O6" s="1003"/>
      <c r="P6" s="914"/>
    </row>
    <row r="7" spans="1:16" ht="15.5" x14ac:dyDescent="0.35">
      <c r="A7" s="1141" t="s">
        <v>376</v>
      </c>
      <c r="B7" s="1141"/>
      <c r="C7" s="1141"/>
      <c r="D7" s="1141"/>
      <c r="E7" s="1141"/>
      <c r="F7" s="1141"/>
      <c r="G7" s="1141"/>
      <c r="H7" s="1141"/>
      <c r="I7" s="1141"/>
      <c r="J7" s="1141"/>
      <c r="K7" s="1141"/>
      <c r="L7" s="1141"/>
      <c r="M7" s="1141"/>
      <c r="N7" s="1141"/>
      <c r="O7" s="1141"/>
      <c r="P7" s="1141"/>
    </row>
    <row r="8" spans="1:16" ht="15.5" x14ac:dyDescent="0.35">
      <c r="A8" s="1141" t="s">
        <v>130</v>
      </c>
      <c r="B8" s="1141"/>
      <c r="C8" s="1141"/>
      <c r="D8" s="1141"/>
      <c r="E8" s="1141"/>
      <c r="F8" s="1141"/>
      <c r="G8" s="1141"/>
      <c r="H8" s="1141"/>
      <c r="I8" s="1141"/>
      <c r="J8" s="1141"/>
      <c r="K8" s="1141"/>
      <c r="L8" s="1141"/>
      <c r="M8" s="1141"/>
      <c r="N8" s="1141"/>
      <c r="O8" s="1141"/>
      <c r="P8" s="1141"/>
    </row>
    <row r="9" spans="1:16" ht="18" customHeight="1" x14ac:dyDescent="0.35">
      <c r="A9" s="1141" t="s">
        <v>377</v>
      </c>
      <c r="B9" s="1141"/>
      <c r="C9" s="1141"/>
      <c r="D9" s="1141"/>
      <c r="E9" s="1141"/>
      <c r="F9" s="1141"/>
      <c r="G9" s="1141"/>
      <c r="H9" s="1141"/>
      <c r="I9" s="1141"/>
      <c r="J9" s="1141"/>
      <c r="K9" s="1141"/>
      <c r="L9" s="1141"/>
      <c r="M9" s="1141"/>
      <c r="N9" s="1141"/>
      <c r="O9" s="1141"/>
      <c r="P9" s="1141"/>
    </row>
    <row r="10" spans="1:16" ht="18" customHeight="1" x14ac:dyDescent="0.35">
      <c r="A10" s="1132"/>
      <c r="B10" s="1132"/>
      <c r="C10" s="1132"/>
      <c r="D10" s="1132"/>
      <c r="E10" s="1132"/>
      <c r="F10" s="1132"/>
      <c r="G10" s="1132"/>
      <c r="H10" s="1132"/>
      <c r="I10" s="1132"/>
      <c r="J10" s="1132"/>
      <c r="K10" s="1132"/>
      <c r="L10" s="1132"/>
      <c r="M10" s="1132"/>
      <c r="N10" s="1132"/>
      <c r="O10" s="1132"/>
      <c r="P10" s="1132"/>
    </row>
    <row r="11" spans="1:16" ht="15.5" x14ac:dyDescent="0.35">
      <c r="A11" s="915" t="s">
        <v>124</v>
      </c>
      <c r="B11" s="914"/>
      <c r="C11" s="914"/>
      <c r="D11" s="914"/>
      <c r="E11" s="914"/>
      <c r="F11" s="914"/>
      <c r="G11" s="914"/>
      <c r="H11" s="914"/>
      <c r="I11" s="914"/>
      <c r="J11" s="914"/>
      <c r="K11" s="914"/>
      <c r="L11" s="914"/>
      <c r="M11" s="914"/>
      <c r="N11" s="914"/>
      <c r="O11" s="914"/>
      <c r="P11" s="914"/>
    </row>
    <row r="12" spans="1:16" ht="15.5" x14ac:dyDescent="0.35">
      <c r="A12" s="1141" t="s">
        <v>341</v>
      </c>
      <c r="B12" s="1141"/>
      <c r="C12" s="1141"/>
      <c r="D12" s="1141"/>
      <c r="E12" s="1141"/>
      <c r="F12" s="1141"/>
      <c r="G12" s="1141"/>
      <c r="H12" s="1141"/>
      <c r="I12" s="1141"/>
      <c r="J12" s="1141"/>
      <c r="K12" s="1141"/>
      <c r="L12" s="1141"/>
      <c r="M12" s="1141"/>
      <c r="N12" s="1141"/>
      <c r="O12" s="1141"/>
      <c r="P12" s="1141"/>
    </row>
    <row r="13" spans="1:16" ht="15.5" x14ac:dyDescent="0.35">
      <c r="A13" s="1141" t="s">
        <v>125</v>
      </c>
      <c r="B13" s="1141"/>
      <c r="C13" s="1141"/>
      <c r="D13" s="1141"/>
      <c r="E13" s="1141"/>
      <c r="F13" s="1141"/>
      <c r="G13" s="1141"/>
      <c r="H13" s="1141"/>
      <c r="I13" s="1141"/>
      <c r="J13" s="1141"/>
      <c r="K13" s="1141"/>
      <c r="L13" s="1141"/>
      <c r="M13" s="1141"/>
      <c r="N13" s="1141"/>
      <c r="O13" s="1141"/>
      <c r="P13" s="1141"/>
    </row>
    <row r="14" spans="1:16" ht="15.5" x14ac:dyDescent="0.35">
      <c r="A14" s="1003" t="s">
        <v>363</v>
      </c>
      <c r="B14" s="1003"/>
      <c r="C14" s="1003"/>
      <c r="D14" s="1003"/>
      <c r="E14" s="1003"/>
      <c r="F14" s="1003"/>
      <c r="G14" s="1003"/>
      <c r="H14" s="1003"/>
      <c r="I14" s="1003"/>
      <c r="J14" s="1003"/>
      <c r="K14" s="1003"/>
      <c r="L14" s="1003"/>
      <c r="M14" s="1003"/>
      <c r="N14" s="1003"/>
      <c r="O14" s="1003"/>
      <c r="P14" s="1003"/>
    </row>
    <row r="15" spans="1:16" ht="15.5" x14ac:dyDescent="0.35">
      <c r="C15" s="315"/>
      <c r="D15" s="315"/>
      <c r="E15" s="315"/>
      <c r="F15" s="315"/>
      <c r="G15" s="315"/>
      <c r="H15" s="1004"/>
      <c r="I15" s="914"/>
      <c r="J15" s="914"/>
      <c r="K15" s="914"/>
      <c r="L15" s="1089"/>
      <c r="M15" s="914"/>
      <c r="N15" s="914"/>
      <c r="O15" s="914"/>
      <c r="P15" s="914"/>
    </row>
    <row r="16" spans="1:16" ht="18.5" x14ac:dyDescent="0.45">
      <c r="B16" s="1083" t="s">
        <v>378</v>
      </c>
      <c r="C16" s="1084" t="s">
        <v>379</v>
      </c>
      <c r="D16" s="1084" t="s">
        <v>380</v>
      </c>
      <c r="E16" s="1083" t="s">
        <v>381</v>
      </c>
      <c r="F16" s="1084" t="s">
        <v>382</v>
      </c>
      <c r="G16" s="315"/>
      <c r="H16" s="1004"/>
      <c r="I16" s="914"/>
      <c r="J16" s="914"/>
      <c r="K16" s="1089"/>
      <c r="L16" s="914"/>
      <c r="M16" s="914"/>
      <c r="N16" s="914"/>
      <c r="O16" s="914"/>
    </row>
    <row r="17" spans="1:16" ht="18.5" x14ac:dyDescent="0.45">
      <c r="A17" s="1004"/>
      <c r="B17" s="1085">
        <v>2116</v>
      </c>
      <c r="C17" s="1086">
        <v>7938</v>
      </c>
      <c r="D17" s="1086">
        <v>14110</v>
      </c>
      <c r="E17" s="1086">
        <v>24693</v>
      </c>
      <c r="F17" s="1086" t="s">
        <v>383</v>
      </c>
      <c r="G17" s="914"/>
      <c r="H17" s="1004"/>
      <c r="I17" s="914"/>
      <c r="J17" s="914"/>
      <c r="K17" s="1089"/>
      <c r="L17" s="914"/>
      <c r="M17" s="914"/>
      <c r="N17" s="914"/>
      <c r="O17" s="914"/>
    </row>
    <row r="18" spans="1:16" ht="15.5" x14ac:dyDescent="0.35">
      <c r="A18" s="1004"/>
      <c r="B18" s="914"/>
      <c r="C18" s="914"/>
      <c r="D18" s="914"/>
      <c r="E18" s="1089"/>
      <c r="F18" s="914"/>
      <c r="G18" s="914"/>
      <c r="H18" s="1004"/>
      <c r="I18" s="914"/>
      <c r="J18" s="914"/>
      <c r="K18" s="1089"/>
      <c r="L18" s="914"/>
      <c r="M18" s="914"/>
      <c r="N18" s="914"/>
      <c r="O18" s="914"/>
    </row>
    <row r="19" spans="1:16" ht="15.5" x14ac:dyDescent="0.35">
      <c r="A19" s="1004"/>
      <c r="B19" s="914"/>
      <c r="C19" s="914"/>
      <c r="D19" s="914"/>
      <c r="E19" s="1090"/>
      <c r="F19" s="914"/>
      <c r="G19" s="914"/>
      <c r="H19" s="1004"/>
      <c r="I19" s="914"/>
      <c r="J19" s="914"/>
      <c r="K19" s="1090"/>
      <c r="L19" s="914"/>
      <c r="M19" s="914"/>
      <c r="N19" s="914"/>
      <c r="O19" s="914"/>
    </row>
    <row r="20" spans="1:16" ht="15.5" x14ac:dyDescent="0.35">
      <c r="A20" s="1141" t="s">
        <v>126</v>
      </c>
      <c r="B20" s="1141"/>
      <c r="C20" s="1141"/>
      <c r="D20" s="1141"/>
      <c r="E20" s="1141"/>
      <c r="F20" s="1141"/>
      <c r="G20" s="1141"/>
      <c r="H20" s="1141"/>
      <c r="I20" s="1141"/>
      <c r="J20" s="1141"/>
      <c r="K20" s="1141"/>
      <c r="L20" s="1141"/>
      <c r="M20" s="1141"/>
      <c r="N20" s="1141"/>
      <c r="O20" s="1141"/>
      <c r="P20" s="1141"/>
    </row>
    <row r="21" spans="1:16" ht="15.5" x14ac:dyDescent="0.35">
      <c r="A21" s="1139" t="s">
        <v>127</v>
      </c>
      <c r="B21" s="1139"/>
      <c r="C21" s="1139"/>
      <c r="D21" s="1139"/>
      <c r="E21" s="1139"/>
      <c r="F21" s="1139"/>
      <c r="G21" s="1139"/>
      <c r="H21" s="1139"/>
      <c r="I21" s="1139"/>
      <c r="J21" s="1139"/>
      <c r="K21" s="1139"/>
      <c r="L21" s="1139"/>
      <c r="M21" s="1139"/>
      <c r="N21" s="1139"/>
      <c r="O21" s="1139"/>
      <c r="P21" s="1139"/>
    </row>
    <row r="22" spans="1:16" ht="33.75" customHeight="1" x14ac:dyDescent="0.35">
      <c r="A22" s="1284" t="s">
        <v>384</v>
      </c>
      <c r="B22" s="1140"/>
      <c r="C22" s="1140"/>
      <c r="D22" s="1140"/>
      <c r="E22" s="1140"/>
      <c r="F22" s="1140"/>
      <c r="G22" s="1140"/>
      <c r="H22" s="1140"/>
      <c r="I22" s="1140"/>
      <c r="J22" s="1140"/>
      <c r="K22" s="1140"/>
      <c r="L22" s="1140"/>
      <c r="M22" s="1140"/>
      <c r="N22" s="1140"/>
      <c r="O22" s="1140"/>
      <c r="P22" s="1140"/>
    </row>
    <row r="23" spans="1:16" ht="18" customHeight="1" x14ac:dyDescent="0.35">
      <c r="A23" s="1140" t="s">
        <v>343</v>
      </c>
      <c r="B23" s="1140"/>
      <c r="C23" s="1140"/>
      <c r="D23" s="1140"/>
      <c r="E23" s="1140"/>
      <c r="F23" s="1140"/>
      <c r="G23" s="1140"/>
      <c r="H23" s="1140"/>
      <c r="I23" s="1140"/>
      <c r="J23" s="1140"/>
      <c r="K23" s="1140"/>
      <c r="L23" s="1140"/>
      <c r="M23" s="1140"/>
      <c r="N23" s="1140"/>
      <c r="O23" s="1140"/>
      <c r="P23" s="1140"/>
    </row>
    <row r="24" spans="1:16" ht="31.5" customHeight="1" x14ac:dyDescent="0.35">
      <c r="A24" s="1285" t="s">
        <v>385</v>
      </c>
      <c r="B24" s="1142"/>
      <c r="C24" s="1142"/>
      <c r="D24" s="1142"/>
      <c r="E24" s="1142"/>
      <c r="F24" s="1142"/>
      <c r="G24" s="1142"/>
      <c r="H24" s="1142"/>
      <c r="I24" s="1142"/>
      <c r="J24" s="1142"/>
      <c r="K24" s="1142"/>
      <c r="L24" s="1142"/>
      <c r="M24" s="1142"/>
      <c r="N24" s="1142"/>
      <c r="O24" s="1142"/>
      <c r="P24" s="1142"/>
    </row>
    <row r="25" spans="1:16" ht="15.5" x14ac:dyDescent="0.35">
      <c r="A25" s="1139" t="s">
        <v>128</v>
      </c>
      <c r="B25" s="1139"/>
      <c r="C25" s="1139"/>
      <c r="D25" s="1139"/>
      <c r="E25" s="1139"/>
      <c r="F25" s="1139"/>
      <c r="G25" s="1139"/>
      <c r="H25" s="1139"/>
      <c r="I25" s="1139"/>
      <c r="J25" s="1139"/>
      <c r="K25" s="1139"/>
      <c r="L25" s="1139"/>
      <c r="M25" s="1139"/>
      <c r="N25" s="1139"/>
      <c r="O25" s="1139"/>
      <c r="P25" s="1139"/>
    </row>
    <row r="26" spans="1:16" ht="15.5" x14ac:dyDescent="0.35">
      <c r="A26" s="1139" t="s">
        <v>153</v>
      </c>
      <c r="B26" s="1139"/>
      <c r="C26" s="1139"/>
      <c r="D26" s="1139"/>
      <c r="E26" s="1139"/>
      <c r="F26" s="1139"/>
      <c r="G26" s="1139"/>
      <c r="H26" s="1139"/>
      <c r="I26" s="1139"/>
      <c r="J26" s="1139"/>
      <c r="K26" s="1139"/>
      <c r="L26" s="1139"/>
      <c r="M26" s="1139"/>
      <c r="N26" s="1139"/>
      <c r="O26" s="1139"/>
      <c r="P26" s="1139"/>
    </row>
    <row r="27" spans="1:16" ht="15.5" x14ac:dyDescent="0.35">
      <c r="A27" s="1139" t="s">
        <v>154</v>
      </c>
      <c r="B27" s="1139"/>
      <c r="C27" s="1139"/>
      <c r="D27" s="1139"/>
      <c r="E27" s="1139"/>
      <c r="F27" s="1139"/>
      <c r="G27" s="1139"/>
      <c r="H27" s="1139"/>
      <c r="I27" s="1139"/>
      <c r="J27" s="1139"/>
      <c r="K27" s="1139"/>
      <c r="L27" s="1139"/>
      <c r="M27" s="1139"/>
      <c r="N27" s="1139"/>
      <c r="O27" s="1139"/>
      <c r="P27" s="1139"/>
    </row>
    <row r="28" spans="1:16" ht="15.5" x14ac:dyDescent="0.35">
      <c r="A28" s="1139" t="s">
        <v>342</v>
      </c>
      <c r="B28" s="1139"/>
      <c r="C28" s="1139"/>
      <c r="D28" s="1139"/>
      <c r="E28" s="1139"/>
      <c r="F28" s="1139"/>
      <c r="G28" s="1139"/>
      <c r="H28" s="1139"/>
      <c r="I28" s="1139"/>
      <c r="J28" s="1139"/>
      <c r="K28" s="1139"/>
      <c r="L28" s="1139"/>
      <c r="M28" s="1139"/>
      <c r="N28" s="1139"/>
      <c r="O28" s="1139"/>
      <c r="P28" s="1139"/>
    </row>
    <row r="29" spans="1:16" ht="15.5" x14ac:dyDescent="0.35">
      <c r="A29" s="914"/>
      <c r="B29" s="315"/>
      <c r="C29" s="315"/>
      <c r="D29" s="315"/>
      <c r="E29" s="315"/>
      <c r="F29" s="315"/>
      <c r="G29" s="315"/>
      <c r="H29" s="315"/>
      <c r="I29" s="315"/>
      <c r="J29" s="315"/>
      <c r="K29" s="315"/>
      <c r="L29" s="315"/>
      <c r="M29" s="315"/>
      <c r="N29" s="315"/>
      <c r="O29" s="315"/>
      <c r="P29" s="315"/>
    </row>
    <row r="30" spans="1:16" x14ac:dyDescent="0.35">
      <c r="A30" s="315"/>
      <c r="B30" s="315"/>
      <c r="C30" s="315"/>
      <c r="D30" s="315"/>
      <c r="E30" s="315"/>
      <c r="F30" s="315"/>
      <c r="G30" s="315"/>
      <c r="H30" s="315"/>
      <c r="I30" s="315"/>
      <c r="J30" s="315"/>
      <c r="K30" s="315"/>
      <c r="L30" s="315"/>
      <c r="M30" s="315"/>
      <c r="N30" s="315"/>
      <c r="O30" s="315"/>
      <c r="P30" s="315"/>
    </row>
    <row r="31" spans="1:16" x14ac:dyDescent="0.35">
      <c r="A31" s="315"/>
      <c r="B31" s="315"/>
      <c r="C31" s="315"/>
      <c r="D31" s="315"/>
      <c r="E31" s="315"/>
      <c r="F31" s="315"/>
      <c r="G31" s="315"/>
      <c r="H31" s="315"/>
      <c r="I31" s="315"/>
      <c r="J31" s="315"/>
      <c r="K31" s="315"/>
      <c r="L31" s="315"/>
      <c r="M31" s="315"/>
      <c r="N31" s="315"/>
    </row>
    <row r="32" spans="1:16" x14ac:dyDescent="0.35">
      <c r="A32" s="315"/>
      <c r="B32" s="315"/>
      <c r="C32" s="315"/>
      <c r="D32" s="315"/>
      <c r="E32" s="315"/>
      <c r="F32" s="315"/>
      <c r="G32" s="315"/>
      <c r="H32" s="315"/>
      <c r="I32" s="315"/>
      <c r="J32" s="315"/>
      <c r="K32" s="315"/>
      <c r="L32" s="315"/>
      <c r="M32" s="315"/>
      <c r="N32" s="315"/>
    </row>
  </sheetData>
  <sheetProtection algorithmName="SHA-512" hashValue="FUOU1PAfW0S0nAkpWm+cz0Iyhnjx4CWzXN5m9OMcVL8mJU9FVQlut3N1HyobBvZL3URg3E7p9+tMAOVbNitR0A==" saltValue="VMRkvcDlieeDi1/aFyEbEQ==" spinCount="100000" sheet="1" objects="1" scenarios="1"/>
  <mergeCells count="15">
    <mergeCell ref="A28:P28"/>
    <mergeCell ref="A23:P23"/>
    <mergeCell ref="A4:P4"/>
    <mergeCell ref="A7:P7"/>
    <mergeCell ref="A8:P8"/>
    <mergeCell ref="A12:P12"/>
    <mergeCell ref="A13:P13"/>
    <mergeCell ref="A20:P20"/>
    <mergeCell ref="A21:P21"/>
    <mergeCell ref="A22:P22"/>
    <mergeCell ref="A24:P24"/>
    <mergeCell ref="A25:P25"/>
    <mergeCell ref="A26:P26"/>
    <mergeCell ref="A27:P27"/>
    <mergeCell ref="A9:P9"/>
  </mergeCells>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M20"/>
  <sheetViews>
    <sheetView showGridLines="0" topLeftCell="A21" zoomScaleNormal="100" workbookViewId="0">
      <selection activeCell="E20" sqref="E20:E34"/>
    </sheetView>
  </sheetViews>
  <sheetFormatPr defaultColWidth="13.453125" defaultRowHeight="18.5" x14ac:dyDescent="0.45"/>
  <cols>
    <col min="1" max="4" width="13.453125" style="65"/>
    <col min="5" max="5" width="29.08984375" style="65" bestFit="1" customWidth="1"/>
    <col min="6" max="12" width="13.453125" style="65"/>
    <col min="13" max="13" width="2.7265625" style="65" customWidth="1"/>
    <col min="14" max="16384" width="13.453125" style="65"/>
  </cols>
  <sheetData>
    <row r="1" spans="1:13" s="69" customFormat="1" x14ac:dyDescent="0.45">
      <c r="A1" s="916" t="s">
        <v>115</v>
      </c>
      <c r="B1" s="916"/>
      <c r="C1" s="916"/>
      <c r="D1" s="916"/>
      <c r="E1" s="916"/>
      <c r="F1" s="916"/>
      <c r="G1" s="916"/>
      <c r="H1" s="916"/>
      <c r="I1" s="916"/>
      <c r="J1" s="916"/>
      <c r="K1" s="916"/>
      <c r="L1" s="916"/>
      <c r="M1" s="916"/>
    </row>
    <row r="2" spans="1:13" ht="19" thickBot="1" x14ac:dyDescent="0.5">
      <c r="A2" s="155"/>
      <c r="B2" s="155"/>
      <c r="C2" s="155"/>
      <c r="D2" s="155"/>
      <c r="E2" s="155"/>
      <c r="F2" s="155"/>
      <c r="G2" s="155"/>
      <c r="H2" s="155"/>
      <c r="I2" s="155"/>
      <c r="J2" s="155"/>
      <c r="K2" s="155"/>
      <c r="L2" s="155"/>
      <c r="M2" s="155"/>
    </row>
    <row r="3" spans="1:13" ht="19" thickBot="1" x14ac:dyDescent="0.5">
      <c r="A3" s="917"/>
      <c r="B3" s="918"/>
      <c r="C3" s="918"/>
      <c r="D3" s="918"/>
      <c r="E3" s="918"/>
      <c r="F3" s="918"/>
      <c r="G3" s="918"/>
      <c r="H3" s="918"/>
      <c r="I3" s="918"/>
      <c r="J3" s="918"/>
      <c r="K3" s="918"/>
      <c r="L3" s="918"/>
      <c r="M3" s="919"/>
    </row>
    <row r="4" spans="1:13" ht="19" thickBot="1" x14ac:dyDescent="0.5">
      <c r="A4" s="1080" t="s">
        <v>386</v>
      </c>
      <c r="B4" s="1081"/>
      <c r="C4" s="1081"/>
      <c r="D4" s="1082"/>
      <c r="E4" s="920"/>
      <c r="F4" s="920"/>
      <c r="G4" s="920"/>
      <c r="H4" s="920"/>
      <c r="I4" s="920"/>
      <c r="J4" s="920"/>
      <c r="K4" s="920"/>
      <c r="L4" s="920"/>
      <c r="M4" s="921"/>
    </row>
    <row r="5" spans="1:13" x14ac:dyDescent="0.45">
      <c r="A5" s="922"/>
      <c r="B5" s="920"/>
      <c r="C5" s="920"/>
      <c r="D5" s="920"/>
      <c r="E5" s="920"/>
      <c r="F5" s="920"/>
      <c r="G5" s="1143"/>
      <c r="H5" s="1143"/>
      <c r="I5" s="1143"/>
      <c r="J5" s="1143"/>
      <c r="K5" s="1143"/>
      <c r="L5" s="920"/>
      <c r="M5" s="921"/>
    </row>
    <row r="6" spans="1:13" x14ac:dyDescent="0.45">
      <c r="A6" s="1083" t="s">
        <v>378</v>
      </c>
      <c r="B6" s="1084" t="s">
        <v>379</v>
      </c>
      <c r="C6" s="1084" t="s">
        <v>380</v>
      </c>
      <c r="D6" s="1083" t="s">
        <v>381</v>
      </c>
      <c r="E6" s="1084" t="s">
        <v>382</v>
      </c>
      <c r="F6" s="155"/>
      <c r="G6" s="1143"/>
      <c r="H6" s="1143"/>
      <c r="I6" s="1143"/>
      <c r="J6" s="1143"/>
      <c r="K6" s="1143"/>
      <c r="L6" s="920"/>
      <c r="M6" s="921"/>
    </row>
    <row r="7" spans="1:13" x14ac:dyDescent="0.45">
      <c r="A7" s="1085">
        <v>2116</v>
      </c>
      <c r="B7" s="1086">
        <v>7938</v>
      </c>
      <c r="C7" s="1086">
        <v>14110</v>
      </c>
      <c r="D7" s="1086">
        <v>24693</v>
      </c>
      <c r="E7" s="1086" t="s">
        <v>383</v>
      </c>
      <c r="F7" s="155"/>
      <c r="G7" s="1143"/>
      <c r="H7" s="1143"/>
      <c r="I7" s="1143"/>
      <c r="J7" s="1143"/>
      <c r="K7" s="1143"/>
      <c r="L7" s="920"/>
      <c r="M7" s="921"/>
    </row>
    <row r="8" spans="1:13" ht="19" thickBot="1" x14ac:dyDescent="0.5">
      <c r="A8" s="1087"/>
      <c r="B8" s="1088"/>
      <c r="C8" s="1088"/>
      <c r="D8" s="1088"/>
      <c r="E8" s="1088"/>
      <c r="F8" s="923"/>
      <c r="G8" s="923"/>
      <c r="H8" s="923"/>
      <c r="I8" s="923"/>
      <c r="J8" s="923"/>
      <c r="K8" s="923"/>
      <c r="L8" s="923"/>
      <c r="M8" s="924"/>
    </row>
    <row r="9" spans="1:13" x14ac:dyDescent="0.45">
      <c r="A9" s="155"/>
      <c r="B9" s="155"/>
      <c r="C9" s="155"/>
      <c r="D9" s="155"/>
      <c r="E9" s="155"/>
      <c r="F9" s="925"/>
      <c r="G9" s="925"/>
      <c r="H9" s="155"/>
      <c r="I9" s="155"/>
      <c r="J9" s="155"/>
      <c r="K9" s="155"/>
      <c r="L9" s="155"/>
      <c r="M9" s="155"/>
    </row>
    <row r="10" spans="1:13" ht="19" thickBot="1" x14ac:dyDescent="0.5">
      <c r="A10" s="155"/>
      <c r="B10" s="155"/>
      <c r="C10" s="155"/>
      <c r="D10" s="155"/>
      <c r="E10" s="155"/>
      <c r="F10" s="155"/>
      <c r="G10" s="155"/>
      <c r="H10" s="155"/>
      <c r="I10" s="155"/>
      <c r="J10" s="155"/>
      <c r="K10" s="155"/>
      <c r="L10" s="155"/>
      <c r="M10" s="155"/>
    </row>
    <row r="11" spans="1:13" ht="19" thickBot="1" x14ac:dyDescent="0.5">
      <c r="A11" s="917"/>
      <c r="B11" s="918"/>
      <c r="C11" s="918"/>
      <c r="D11" s="918"/>
      <c r="E11" s="918"/>
      <c r="F11" s="918"/>
      <c r="G11" s="918"/>
      <c r="H11" s="918"/>
      <c r="I11" s="918"/>
      <c r="J11" s="918"/>
      <c r="K11" s="918"/>
      <c r="L11" s="918"/>
      <c r="M11" s="919"/>
    </row>
    <row r="12" spans="1:13" ht="19" thickBot="1" x14ac:dyDescent="0.5">
      <c r="A12" s="1005" t="s">
        <v>116</v>
      </c>
      <c r="B12" s="1006"/>
      <c r="C12" s="1007"/>
      <c r="D12" s="1008"/>
      <c r="E12" s="1008"/>
      <c r="F12" s="920"/>
      <c r="G12" s="920"/>
      <c r="H12" s="920"/>
      <c r="I12" s="920"/>
      <c r="J12" s="920"/>
      <c r="K12" s="920"/>
      <c r="L12" s="920"/>
      <c r="M12" s="921"/>
    </row>
    <row r="13" spans="1:13" x14ac:dyDescent="0.45">
      <c r="A13" s="922"/>
      <c r="B13" s="920"/>
      <c r="C13" s="920"/>
      <c r="D13" s="920"/>
      <c r="E13" s="920"/>
      <c r="F13" s="920"/>
      <c r="G13" s="920"/>
      <c r="H13" s="920"/>
      <c r="I13" s="920"/>
      <c r="J13" s="920"/>
      <c r="K13" s="920"/>
      <c r="L13" s="920"/>
      <c r="M13" s="921"/>
    </row>
    <row r="14" spans="1:13" x14ac:dyDescent="0.45">
      <c r="A14" s="922" t="s">
        <v>387</v>
      </c>
      <c r="B14" s="920"/>
      <c r="C14" s="920"/>
      <c r="D14" s="920"/>
      <c r="E14" s="920"/>
      <c r="F14" s="920"/>
      <c r="G14" s="920"/>
      <c r="H14" s="920"/>
      <c r="I14" s="920"/>
      <c r="J14" s="920"/>
      <c r="K14" s="920"/>
      <c r="L14" s="920"/>
      <c r="M14" s="921"/>
    </row>
    <row r="15" spans="1:13" x14ac:dyDescent="0.45">
      <c r="A15" s="922" t="s">
        <v>388</v>
      </c>
      <c r="B15" s="920"/>
      <c r="C15" s="920"/>
      <c r="D15" s="920"/>
      <c r="E15" s="920"/>
      <c r="F15" s="920"/>
      <c r="G15" s="920"/>
      <c r="H15" s="920"/>
      <c r="I15" s="920"/>
      <c r="J15" s="920"/>
      <c r="K15" s="920"/>
      <c r="L15" s="920"/>
      <c r="M15" s="921"/>
    </row>
    <row r="16" spans="1:13" x14ac:dyDescent="0.45">
      <c r="A16" s="922" t="s">
        <v>389</v>
      </c>
      <c r="B16" s="920"/>
      <c r="C16" s="920"/>
      <c r="D16" s="920"/>
      <c r="E16" s="920"/>
      <c r="F16" s="920"/>
      <c r="G16" s="920"/>
      <c r="H16" s="920"/>
      <c r="I16" s="920"/>
      <c r="J16" s="920"/>
      <c r="K16" s="920"/>
      <c r="L16" s="920"/>
      <c r="M16" s="921"/>
    </row>
    <row r="17" spans="1:13" x14ac:dyDescent="0.45">
      <c r="A17" s="922" t="s">
        <v>117</v>
      </c>
      <c r="B17" s="920"/>
      <c r="C17" s="920"/>
      <c r="D17" s="920"/>
      <c r="E17" s="920"/>
      <c r="F17" s="920"/>
      <c r="G17" s="920"/>
      <c r="H17" s="920"/>
      <c r="I17" s="920"/>
      <c r="J17" s="920"/>
      <c r="K17" s="920"/>
      <c r="L17" s="920"/>
      <c r="M17" s="921"/>
    </row>
    <row r="18" spans="1:13" x14ac:dyDescent="0.45">
      <c r="A18" s="922"/>
      <c r="B18" s="920"/>
      <c r="C18" s="920"/>
      <c r="D18" s="920"/>
      <c r="E18" s="920"/>
      <c r="F18" s="920"/>
      <c r="G18" s="920"/>
      <c r="H18" s="920"/>
      <c r="I18" s="920"/>
      <c r="J18" s="920"/>
      <c r="K18" s="920"/>
      <c r="L18" s="920"/>
      <c r="M18" s="921"/>
    </row>
    <row r="19" spans="1:13" x14ac:dyDescent="0.45">
      <c r="A19" s="922"/>
      <c r="B19" s="920"/>
      <c r="C19" s="920"/>
      <c r="D19" s="920"/>
      <c r="E19" s="920"/>
      <c r="F19" s="920"/>
      <c r="G19" s="920"/>
      <c r="H19" s="920"/>
      <c r="I19" s="920"/>
      <c r="J19" s="920"/>
      <c r="K19" s="920"/>
      <c r="L19" s="920"/>
      <c r="M19" s="921"/>
    </row>
    <row r="20" spans="1:13" ht="19" thickBot="1" x14ac:dyDescent="0.5">
      <c r="A20" s="926"/>
      <c r="B20" s="923"/>
      <c r="C20" s="923"/>
      <c r="D20" s="923"/>
      <c r="E20" s="923"/>
      <c r="F20" s="923"/>
      <c r="G20" s="923"/>
      <c r="H20" s="923"/>
      <c r="I20" s="923"/>
      <c r="J20" s="923"/>
      <c r="K20" s="923"/>
      <c r="L20" s="923"/>
      <c r="M20" s="924"/>
    </row>
  </sheetData>
  <mergeCells count="1">
    <mergeCell ref="G5:K7"/>
  </mergeCells>
  <pageMargins left="0.31496062992125984" right="0.31496062992125984" top="0.55118110236220474" bottom="0.55118110236220474" header="0" footer="0"/>
  <pageSetup paperSize="9" scale="8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S51"/>
  <sheetViews>
    <sheetView showGridLines="0" zoomScale="80" zoomScaleNormal="80" workbookViewId="0">
      <selection activeCell="D8" sqref="D8"/>
    </sheetView>
  </sheetViews>
  <sheetFormatPr defaultColWidth="9.1796875" defaultRowHeight="14.5" x14ac:dyDescent="0.35"/>
  <cols>
    <col min="1" max="1" width="5.7265625" style="103" customWidth="1"/>
    <col min="2" max="2" width="5.26953125" style="103" customWidth="1"/>
    <col min="3" max="3" width="38.54296875" style="115" customWidth="1"/>
    <col min="4" max="4" width="30.7265625" style="110" customWidth="1"/>
    <col min="5" max="5" width="20.7265625" style="110" customWidth="1"/>
    <col min="6" max="8" width="20.7265625" style="115" customWidth="1"/>
    <col min="9" max="9" width="22.81640625" style="103" customWidth="1"/>
    <col min="10" max="10" width="10.26953125" style="103" customWidth="1"/>
    <col min="11" max="11" width="10.81640625" style="103" bestFit="1" customWidth="1"/>
    <col min="12" max="17" width="10.26953125" style="103" customWidth="1"/>
    <col min="18" max="18" width="9.1796875" style="103"/>
    <col min="19" max="19" width="12.7265625" style="101" customWidth="1"/>
    <col min="20" max="16384" width="9.1796875" style="103"/>
  </cols>
  <sheetData>
    <row r="1" spans="1:19" x14ac:dyDescent="0.35">
      <c r="J1" s="956"/>
    </row>
    <row r="2" spans="1:19" x14ac:dyDescent="0.35">
      <c r="J2" s="956"/>
    </row>
    <row r="3" spans="1:19" x14ac:dyDescent="0.35">
      <c r="J3" s="956"/>
    </row>
    <row r="4" spans="1:19" x14ac:dyDescent="0.35">
      <c r="J4" s="956"/>
    </row>
    <row r="5" spans="1:19" x14ac:dyDescent="0.35">
      <c r="J5" s="956"/>
    </row>
    <row r="6" spans="1:19" x14ac:dyDescent="0.35">
      <c r="J6" s="956"/>
    </row>
    <row r="7" spans="1:19" x14ac:dyDescent="0.35">
      <c r="A7" s="1009"/>
      <c r="B7" s="1009"/>
      <c r="C7" s="109"/>
      <c r="D7" s="1010"/>
      <c r="E7" s="1010"/>
      <c r="F7" s="111"/>
      <c r="G7" s="112"/>
      <c r="H7" s="134"/>
      <c r="I7" s="102"/>
      <c r="J7" s="957"/>
      <c r="K7" s="102"/>
      <c r="L7" s="102"/>
      <c r="M7" s="102"/>
    </row>
    <row r="8" spans="1:19" x14ac:dyDescent="0.35">
      <c r="A8" s="1014"/>
      <c r="B8" s="1014"/>
      <c r="C8" s="1011" t="str">
        <f>IF(C7="","Please Enter Your School LA Number in the Box Above",VLOOKUP($C$7,Rates!A10:V24,5,FALSE))</f>
        <v>Please Enter Your School LA Number in the Box Above</v>
      </c>
      <c r="D8" s="1010"/>
      <c r="E8" s="1012" t="s">
        <v>10</v>
      </c>
      <c r="F8" s="1013"/>
      <c r="G8" s="1013"/>
      <c r="H8" s="1014"/>
      <c r="I8" s="1009"/>
      <c r="J8" s="105"/>
      <c r="K8" s="105"/>
      <c r="L8" s="105"/>
      <c r="M8" s="105"/>
      <c r="N8" s="105"/>
      <c r="O8" s="105"/>
      <c r="S8" s="103"/>
    </row>
    <row r="9" spans="1:19" x14ac:dyDescent="0.35">
      <c r="A9" s="1014"/>
      <c r="B9" s="1014"/>
      <c r="C9" s="137" t="str">
        <f>IF(C7="","",IF(VLOOKUP(C7,Rates!A10:C23,3)="","",VLOOKUP(C7,Rates!A10:C23,3,0)))</f>
        <v/>
      </c>
      <c r="D9" s="1014"/>
      <c r="E9" s="1015" t="s">
        <v>1</v>
      </c>
      <c r="F9" s="112" t="s">
        <v>42</v>
      </c>
      <c r="G9" s="112" t="s">
        <v>1</v>
      </c>
      <c r="H9" s="1014"/>
      <c r="I9" s="1009"/>
      <c r="J9" s="105"/>
      <c r="K9" s="105"/>
      <c r="L9" s="105"/>
      <c r="M9" s="105"/>
      <c r="N9" s="105"/>
      <c r="O9" s="105"/>
      <c r="P9" s="106"/>
      <c r="S9" s="103"/>
    </row>
    <row r="10" spans="1:19" x14ac:dyDescent="0.35">
      <c r="A10" s="1014"/>
      <c r="B10" s="1014"/>
      <c r="C10" s="137"/>
      <c r="D10" s="1010"/>
      <c r="E10" s="1015" t="s">
        <v>2</v>
      </c>
      <c r="F10" s="112" t="s">
        <v>0</v>
      </c>
      <c r="G10" s="112" t="s">
        <v>3</v>
      </c>
      <c r="H10" s="1014"/>
      <c r="I10" s="1009"/>
      <c r="J10" s="105"/>
      <c r="K10" s="105"/>
      <c r="L10" s="105"/>
      <c r="M10" s="105"/>
      <c r="N10" s="105"/>
      <c r="O10" s="105"/>
      <c r="P10" s="105"/>
      <c r="S10" s="103"/>
    </row>
    <row r="11" spans="1:19" x14ac:dyDescent="0.35">
      <c r="A11" s="1014"/>
      <c r="B11" s="1014"/>
      <c r="C11" s="1016"/>
      <c r="D11" s="1010" t="s">
        <v>390</v>
      </c>
      <c r="E11" s="138">
        <f>IF($C$7="The Space",20000,10000)</f>
        <v>10000</v>
      </c>
      <c r="F11" s="119" t="str">
        <f>IF(C7="","",VLOOKUP($C$7,Rates!A10:W23,23,FALSE))</f>
        <v/>
      </c>
      <c r="G11" s="1017" t="str">
        <f>IF(C7="","",E11*F11/12*5)</f>
        <v/>
      </c>
      <c r="H11" s="1014"/>
      <c r="I11" s="1009"/>
      <c r="J11" s="105"/>
      <c r="K11" s="105"/>
      <c r="L11" s="105"/>
      <c r="M11" s="105"/>
      <c r="N11" s="105"/>
      <c r="O11" s="105"/>
      <c r="P11" s="105"/>
      <c r="S11" s="103"/>
    </row>
    <row r="12" spans="1:19" x14ac:dyDescent="0.35">
      <c r="A12" s="1014"/>
      <c r="B12" s="1014"/>
      <c r="C12" s="1016"/>
      <c r="D12" s="1010" t="s">
        <v>391</v>
      </c>
      <c r="E12" s="138">
        <f>IF($C$7="The Space",20000,10000)</f>
        <v>10000</v>
      </c>
      <c r="F12" s="119" t="str">
        <f>IF(C7="","",VLOOKUP($C$7,Rates!A10:F23,6,FALSE))</f>
        <v/>
      </c>
      <c r="G12" s="1017" t="str">
        <f>IF(C7="","",E12*F12/12*7)</f>
        <v/>
      </c>
      <c r="H12" s="1014"/>
      <c r="I12" s="1009"/>
      <c r="J12" s="105"/>
      <c r="K12" s="105"/>
      <c r="L12" s="105"/>
      <c r="M12" s="105"/>
      <c r="N12" s="105"/>
      <c r="O12" s="105"/>
      <c r="P12" s="105"/>
      <c r="S12" s="103"/>
    </row>
    <row r="13" spans="1:19" ht="15" thickBot="1" x14ac:dyDescent="0.4">
      <c r="A13" s="1014"/>
      <c r="B13" s="1014"/>
      <c r="C13" s="1018"/>
      <c r="D13" s="1015" t="s">
        <v>129</v>
      </c>
      <c r="E13" s="1010"/>
      <c r="F13" s="1016"/>
      <c r="G13" s="1019" t="str">
        <f>IF(C7="","",SUM(G11:G12))</f>
        <v/>
      </c>
      <c r="H13" s="1014"/>
      <c r="I13" s="1020"/>
      <c r="J13" s="958"/>
      <c r="K13" s="101"/>
      <c r="L13" s="101"/>
      <c r="S13" s="103"/>
    </row>
    <row r="14" spans="1:19" ht="15" thickTop="1" x14ac:dyDescent="0.35">
      <c r="A14" s="1144" t="s">
        <v>392</v>
      </c>
      <c r="B14" s="1144"/>
      <c r="C14" s="1144"/>
      <c r="D14" s="1144"/>
      <c r="E14" s="1145"/>
      <c r="F14" s="1021" t="str">
        <f>IF(C7="","",VLOOKUP($C$7,Rates!A10:AH23,34,FALSE))</f>
        <v/>
      </c>
      <c r="G14" s="1022"/>
      <c r="H14" s="1014"/>
      <c r="I14" s="1020"/>
      <c r="J14" s="958"/>
      <c r="K14" s="101"/>
      <c r="L14" s="101"/>
      <c r="S14" s="103"/>
    </row>
    <row r="15" spans="1:19" ht="15.75" customHeight="1" x14ac:dyDescent="0.35">
      <c r="A15" s="1014"/>
      <c r="B15" s="1014"/>
      <c r="C15" s="1023"/>
      <c r="D15" s="1023"/>
      <c r="E15" s="1010"/>
      <c r="F15" s="1024"/>
      <c r="G15" s="1022"/>
      <c r="H15" s="1014"/>
      <c r="I15" s="1020"/>
      <c r="J15" s="958"/>
      <c r="K15" s="101"/>
      <c r="L15" s="101"/>
      <c r="S15" s="103"/>
    </row>
    <row r="16" spans="1:19" x14ac:dyDescent="0.35">
      <c r="A16" s="1014"/>
      <c r="B16" s="1014"/>
      <c r="C16" s="1018" t="s">
        <v>393</v>
      </c>
      <c r="D16" s="1010"/>
      <c r="E16" s="1010"/>
      <c r="F16" s="1016"/>
      <c r="G16" s="1014"/>
      <c r="H16" s="1014"/>
      <c r="I16" s="1020"/>
      <c r="J16" s="958"/>
      <c r="K16" s="101"/>
      <c r="L16" s="101"/>
      <c r="S16" s="103"/>
    </row>
    <row r="17" spans="1:19" x14ac:dyDescent="0.35">
      <c r="A17" s="1014"/>
      <c r="B17" s="1014"/>
      <c r="C17" s="1018"/>
      <c r="D17" s="1010"/>
      <c r="E17" s="1010"/>
      <c r="F17" s="1016"/>
      <c r="G17" s="1014"/>
      <c r="H17" s="1014"/>
      <c r="I17" s="1020"/>
      <c r="J17" s="958"/>
      <c r="K17" s="101"/>
      <c r="L17" s="101"/>
      <c r="S17" s="103"/>
    </row>
    <row r="18" spans="1:19" s="107" customFormat="1" x14ac:dyDescent="0.35">
      <c r="A18" s="1025"/>
      <c r="B18" s="1025"/>
      <c r="C18" s="112"/>
      <c r="D18" s="1015" t="s">
        <v>5</v>
      </c>
      <c r="E18" s="1015"/>
      <c r="F18" s="1015" t="s">
        <v>323</v>
      </c>
      <c r="G18" s="1015" t="s">
        <v>56</v>
      </c>
      <c r="H18" s="1025"/>
      <c r="I18" s="102"/>
      <c r="J18" s="1076"/>
      <c r="K18" s="104"/>
      <c r="L18" s="104"/>
      <c r="M18" s="104"/>
      <c r="N18" s="104"/>
      <c r="O18" s="104"/>
      <c r="P18" s="104"/>
    </row>
    <row r="19" spans="1:19" s="107" customFormat="1" ht="15" thickBot="1" x14ac:dyDescent="0.4">
      <c r="A19" s="1025"/>
      <c r="B19" s="1025"/>
      <c r="C19" s="111" t="s">
        <v>4</v>
      </c>
      <c r="D19" s="1015" t="s">
        <v>6</v>
      </c>
      <c r="E19" s="1015"/>
      <c r="F19" s="1026">
        <v>44974</v>
      </c>
      <c r="G19" s="1015" t="s">
        <v>57</v>
      </c>
      <c r="H19" s="1025"/>
      <c r="I19" s="102"/>
      <c r="J19" s="1077"/>
    </row>
    <row r="20" spans="1:19" x14ac:dyDescent="0.35">
      <c r="A20" s="1014"/>
      <c r="B20" s="1014"/>
      <c r="C20" s="1027" t="s">
        <v>378</v>
      </c>
      <c r="D20" s="901">
        <v>2116</v>
      </c>
      <c r="E20" s="1028" t="s">
        <v>123</v>
      </c>
      <c r="F20" s="318" t="str">
        <f>IF($C$7="","",VLOOKUP($C$7,Rates!$A$10:$Q$23,8,FALSE))</f>
        <v/>
      </c>
      <c r="G20" s="1029" t="str">
        <f>IF(C7="","",D20*F20)</f>
        <v/>
      </c>
      <c r="H20" s="136" t="str">
        <f>IF($C$7="","","Indicative - dependent on actual occupancy")</f>
        <v/>
      </c>
      <c r="I20" s="1009"/>
      <c r="J20" s="913">
        <v>11</v>
      </c>
      <c r="S20" s="103"/>
    </row>
    <row r="21" spans="1:19" x14ac:dyDescent="0.35">
      <c r="A21" s="1014"/>
      <c r="B21" s="1014"/>
      <c r="C21" s="1030" t="str">
        <f>IF($C$7=141,"","50% Early Years Rate")</f>
        <v>50% Early Years Rate</v>
      </c>
      <c r="D21" s="138">
        <v>1058</v>
      </c>
      <c r="E21" s="1031" t="s">
        <v>123</v>
      </c>
      <c r="F21" s="119" t="str">
        <f>IF($C$7="","",VLOOKUP($C$7,Rates!$A$10:$Q$23,9,FALSE))</f>
        <v/>
      </c>
      <c r="G21" s="1032" t="e">
        <f>IF(C8="","",D21*F21)</f>
        <v>#VALUE!</v>
      </c>
      <c r="H21" s="136" t="str">
        <f>IF($C$7="","","Indicative - dependent on actual occupancy")</f>
        <v/>
      </c>
      <c r="I21" s="1009"/>
      <c r="J21" s="913">
        <v>0</v>
      </c>
      <c r="S21" s="103"/>
    </row>
    <row r="22" spans="1:19" x14ac:dyDescent="0.35">
      <c r="A22" s="1014"/>
      <c r="B22" s="1014"/>
      <c r="C22" s="1033" t="s">
        <v>394</v>
      </c>
      <c r="D22" s="1078">
        <v>2116</v>
      </c>
      <c r="E22" s="1034" t="s">
        <v>123</v>
      </c>
      <c r="F22" s="119" t="str">
        <f>IF($C$7="","",VLOOKUP(C$7,Rates!A$10:BC$23,46,FALSE))</f>
        <v/>
      </c>
      <c r="G22" s="1032" t="str">
        <f>IF(C7="","",D22*F22)</f>
        <v/>
      </c>
      <c r="H22" s="136" t="str">
        <f>IF($C$7="","","Indicative - dependent on actual occupancy, OOC top up received direct from the other LA")</f>
        <v/>
      </c>
      <c r="I22" s="1009"/>
      <c r="J22" s="913"/>
      <c r="S22" s="103"/>
    </row>
    <row r="23" spans="1:19" ht="15" thickBot="1" x14ac:dyDescent="0.4">
      <c r="A23" s="1014"/>
      <c r="B23" s="1014"/>
      <c r="C23" s="1035" t="s">
        <v>395</v>
      </c>
      <c r="D23" s="1079">
        <v>2116</v>
      </c>
      <c r="E23" s="1036" t="s">
        <v>123</v>
      </c>
      <c r="F23" s="312" t="str">
        <f>IF($C$7="","",VLOOKUP($C$7,Rates!$A$10:$AG$23,24,FALSE))</f>
        <v/>
      </c>
      <c r="G23" s="1037" t="str">
        <f>IF(C7="","",D23*F23)</f>
        <v/>
      </c>
      <c r="H23" s="136" t="str">
        <f t="shared" ref="H23" si="0">IF($C$7="","","Indicative - dependent on actual occupancy")</f>
        <v/>
      </c>
      <c r="I23" s="1009"/>
      <c r="J23" s="913"/>
      <c r="S23" s="103"/>
    </row>
    <row r="24" spans="1:19" x14ac:dyDescent="0.35">
      <c r="A24" s="1014"/>
      <c r="B24" s="1014"/>
      <c r="C24" s="1027" t="s">
        <v>379</v>
      </c>
      <c r="D24" s="901">
        <v>7938</v>
      </c>
      <c r="E24" s="1028" t="s">
        <v>123</v>
      </c>
      <c r="F24" s="318" t="str">
        <f>IF($C$7="","",VLOOKUP($C$7,Rates!$A$10:$Q$23,10,FALSE))</f>
        <v/>
      </c>
      <c r="G24" s="1029" t="str">
        <f>IF(C7="","",D24*F24)</f>
        <v/>
      </c>
      <c r="H24" s="136" t="str">
        <f>IF($C$7="","","Indicative - dependent on actual occupancy")</f>
        <v/>
      </c>
      <c r="I24" s="1009"/>
      <c r="J24" s="913">
        <v>20</v>
      </c>
      <c r="S24" s="103"/>
    </row>
    <row r="25" spans="1:19" ht="18.5" x14ac:dyDescent="0.45">
      <c r="A25" s="1014"/>
      <c r="B25" s="1014"/>
      <c r="C25" s="1030" t="str">
        <f>IF($C$7=141,"","50% Early Years Rate")</f>
        <v>50% Early Years Rate</v>
      </c>
      <c r="D25" s="138">
        <f>7938/2</f>
        <v>3969</v>
      </c>
      <c r="E25" s="1031" t="s">
        <v>123</v>
      </c>
      <c r="F25" s="119" t="str">
        <f>IF($C$7="","",VLOOKUP($C$7,Rates!$A$10:$Q$23,11,FALSE))</f>
        <v/>
      </c>
      <c r="G25" s="1032" t="e">
        <f>IF(C8="","",D25*F25)</f>
        <v>#VALUE!</v>
      </c>
      <c r="H25" s="136" t="str">
        <f>IF($C$7="","","Indicative - dependent on actual occupancy")</f>
        <v/>
      </c>
      <c r="I25" s="1286"/>
      <c r="J25" s="1286"/>
      <c r="K25" s="1286"/>
      <c r="L25" s="1286"/>
      <c r="M25" s="1286"/>
      <c r="N25" s="1287"/>
      <c r="O25" s="1287"/>
      <c r="S25" s="103"/>
    </row>
    <row r="26" spans="1:19" ht="18.5" x14ac:dyDescent="0.45">
      <c r="A26" s="1014"/>
      <c r="B26" s="1014"/>
      <c r="C26" s="1033" t="s">
        <v>396</v>
      </c>
      <c r="D26" s="1078">
        <v>7938</v>
      </c>
      <c r="E26" s="1034" t="s">
        <v>123</v>
      </c>
      <c r="F26" s="119" t="str">
        <f>IF($C$7="","",VLOOKUP(C$7,Rates!A$10:BC$23,48,FALSE))</f>
        <v/>
      </c>
      <c r="G26" s="1032" t="str">
        <f>IF(C7="","",D26*F26)</f>
        <v/>
      </c>
      <c r="H26" s="136" t="str">
        <f>IF($C$7="","","Indicative - dependent on actual occupancy, OOC top up received direct from the other LA")</f>
        <v/>
      </c>
      <c r="I26" s="1288"/>
      <c r="J26" s="1288"/>
      <c r="K26" s="1288"/>
      <c r="L26" s="1288"/>
      <c r="M26" s="1288"/>
      <c r="N26" s="1287"/>
      <c r="O26" s="1287"/>
      <c r="S26" s="103"/>
    </row>
    <row r="27" spans="1:19" ht="15" thickBot="1" x14ac:dyDescent="0.4">
      <c r="A27" s="1014"/>
      <c r="B27" s="1014"/>
      <c r="C27" s="1035" t="s">
        <v>397</v>
      </c>
      <c r="D27" s="1079">
        <v>7938</v>
      </c>
      <c r="E27" s="1036" t="s">
        <v>123</v>
      </c>
      <c r="F27" s="312" t="str">
        <f>IF($C$7="","",VLOOKUP($C$7,Rates!$A$10:$AG$23,26,FALSE))</f>
        <v/>
      </c>
      <c r="G27" s="1037" t="str">
        <f>IF(C7="","",D27*F27)</f>
        <v/>
      </c>
      <c r="H27" s="136" t="str">
        <f t="shared" ref="H27:H35" si="1">IF($C$7="","","Indicative - dependent on actual occupancy")</f>
        <v/>
      </c>
      <c r="I27" s="1289"/>
      <c r="J27" s="1290"/>
      <c r="K27" s="1287"/>
      <c r="L27" s="1287"/>
      <c r="M27" s="1287"/>
      <c r="N27" s="1287"/>
      <c r="O27" s="1287"/>
      <c r="S27" s="103"/>
    </row>
    <row r="28" spans="1:19" x14ac:dyDescent="0.35">
      <c r="A28" s="1014"/>
      <c r="B28" s="1014"/>
      <c r="C28" s="1027" t="s">
        <v>380</v>
      </c>
      <c r="D28" s="901">
        <v>14110</v>
      </c>
      <c r="E28" s="1028" t="s">
        <v>123</v>
      </c>
      <c r="F28" s="318" t="str">
        <f>IF($C$7="","",VLOOKUP($C$7,Rates!$A$10:$Q$23,14,FALSE))</f>
        <v/>
      </c>
      <c r="G28" s="1029" t="str">
        <f>IF(C7="","",D28*F28)</f>
        <v/>
      </c>
      <c r="H28" s="136" t="str">
        <f t="shared" si="1"/>
        <v/>
      </c>
      <c r="I28" s="1009"/>
      <c r="J28" s="913">
        <v>22</v>
      </c>
      <c r="S28" s="103"/>
    </row>
    <row r="29" spans="1:19" x14ac:dyDescent="0.35">
      <c r="A29" s="1014"/>
      <c r="B29" s="1014"/>
      <c r="C29" s="1030" t="str">
        <f>IF($C$7=141,"","50% Early Years Rate")</f>
        <v>50% Early Years Rate</v>
      </c>
      <c r="D29" s="138">
        <f>14110/2</f>
        <v>7055</v>
      </c>
      <c r="E29" s="1031" t="s">
        <v>123</v>
      </c>
      <c r="F29" s="119" t="str">
        <f>IF($C$7="","",VLOOKUP($C$7,Rates!$A$10:$Q$23,15,FALSE))</f>
        <v/>
      </c>
      <c r="G29" s="1032" t="e">
        <f>IF(C8="","",D29*F29)</f>
        <v>#VALUE!</v>
      </c>
      <c r="H29" s="136" t="str">
        <f t="shared" si="1"/>
        <v/>
      </c>
      <c r="I29" s="1009"/>
      <c r="J29" s="913">
        <v>1</v>
      </c>
      <c r="S29" s="103"/>
    </row>
    <row r="30" spans="1:19" x14ac:dyDescent="0.35">
      <c r="A30" s="1014"/>
      <c r="B30" s="1014"/>
      <c r="C30" s="1033" t="s">
        <v>398</v>
      </c>
      <c r="D30" s="1078">
        <v>14110</v>
      </c>
      <c r="E30" s="1034" t="s">
        <v>123</v>
      </c>
      <c r="F30" s="119" t="str">
        <f>IF($C$7="","",VLOOKUP(C$7,Rates!A$10:BC$232,52,FALSE))</f>
        <v/>
      </c>
      <c r="G30" s="1032" t="str">
        <f>IF(C7="","",D30*F30)</f>
        <v/>
      </c>
      <c r="H30" s="136" t="str">
        <f>IF($C$7="","","Indicative - dependent on actual occupancy, OOC top up received direct from the other LA")</f>
        <v/>
      </c>
      <c r="I30" s="1009"/>
      <c r="J30" s="913"/>
      <c r="S30" s="103"/>
    </row>
    <row r="31" spans="1:19" ht="15" thickBot="1" x14ac:dyDescent="0.4">
      <c r="A31" s="1014"/>
      <c r="B31" s="1014"/>
      <c r="C31" s="1035" t="s">
        <v>399</v>
      </c>
      <c r="D31" s="1079">
        <v>14110</v>
      </c>
      <c r="E31" s="1036" t="s">
        <v>123</v>
      </c>
      <c r="F31" s="312" t="str">
        <f>IF($C$7="","",VLOOKUP($C$7,Rates!$A$10:$AG$23,30,FALSE))</f>
        <v/>
      </c>
      <c r="G31" s="1037" t="str">
        <f>IF(C7="","",D31*F31)</f>
        <v/>
      </c>
      <c r="H31" s="136" t="str">
        <f t="shared" si="1"/>
        <v/>
      </c>
      <c r="I31" s="1009"/>
      <c r="J31" s="913"/>
      <c r="S31" s="103"/>
    </row>
    <row r="32" spans="1:19" x14ac:dyDescent="0.35">
      <c r="A32" s="1014"/>
      <c r="B32" s="1014"/>
      <c r="C32" s="1027" t="s">
        <v>381</v>
      </c>
      <c r="D32" s="901">
        <v>24693</v>
      </c>
      <c r="E32" s="1028" t="s">
        <v>123</v>
      </c>
      <c r="F32" s="318" t="str">
        <f>IF($C$7="","",VLOOKUP($C$7,Rates!$A$10:$Q$23,16,FALSE))</f>
        <v/>
      </c>
      <c r="G32" s="1029" t="str">
        <f>IF(C7="","",D32*F32)</f>
        <v/>
      </c>
      <c r="H32" s="136" t="str">
        <f t="shared" si="1"/>
        <v/>
      </c>
      <c r="I32" s="1009"/>
      <c r="J32" s="913">
        <v>1</v>
      </c>
      <c r="S32" s="103"/>
    </row>
    <row r="33" spans="1:19" x14ac:dyDescent="0.35">
      <c r="A33" s="1014"/>
      <c r="B33" s="1014"/>
      <c r="C33" s="1030" t="str">
        <f>IF($C$7=141,"","50% Early Years Rate")</f>
        <v>50% Early Years Rate</v>
      </c>
      <c r="D33" s="138">
        <f>24963/2</f>
        <v>12481.5</v>
      </c>
      <c r="E33" s="1031" t="s">
        <v>123</v>
      </c>
      <c r="F33" s="119" t="str">
        <f>IF($C$7="","",VLOOKUP($C$7,Rates!$A$10:$Q$23,17,FALSE))</f>
        <v/>
      </c>
      <c r="G33" s="1032" t="e">
        <f>IF(C8="","",D33*F33)</f>
        <v>#VALUE!</v>
      </c>
      <c r="H33" s="136" t="str">
        <f t="shared" si="1"/>
        <v/>
      </c>
      <c r="I33" s="1009"/>
      <c r="J33" s="913"/>
      <c r="S33" s="103"/>
    </row>
    <row r="34" spans="1:19" x14ac:dyDescent="0.35">
      <c r="A34" s="1014"/>
      <c r="B34" s="1014"/>
      <c r="C34" s="1033" t="s">
        <v>400</v>
      </c>
      <c r="D34" s="1078">
        <v>24693</v>
      </c>
      <c r="E34" s="1034" t="s">
        <v>123</v>
      </c>
      <c r="F34" s="119" t="str">
        <f>IF($C$7="","",VLOOKUP(C$7,Rates!A$10:BC$23,54,FALSE))</f>
        <v/>
      </c>
      <c r="G34" s="1032" t="str">
        <f>IF(C7="","",D34*F34)</f>
        <v/>
      </c>
      <c r="H34" s="136" t="str">
        <f>IF($C$7="","","Indicative - dependent on actual occupancy, OOC top up received direct from the other LA")</f>
        <v/>
      </c>
      <c r="I34" s="1009"/>
      <c r="J34" s="913"/>
      <c r="S34" s="103"/>
    </row>
    <row r="35" spans="1:19" ht="15" thickBot="1" x14ac:dyDescent="0.4">
      <c r="A35" s="1014"/>
      <c r="B35" s="1014"/>
      <c r="C35" s="1035" t="s">
        <v>401</v>
      </c>
      <c r="D35" s="1079">
        <v>24693</v>
      </c>
      <c r="E35" s="1036" t="s">
        <v>123</v>
      </c>
      <c r="F35" s="312" t="str">
        <f>IF($C$7="","",VLOOKUP($C$7,Rates!$A$10:$AG$23,32,FALSE))</f>
        <v/>
      </c>
      <c r="G35" s="1037" t="str">
        <f>IF(C7="","",D35*F35)</f>
        <v/>
      </c>
      <c r="H35" s="136" t="str">
        <f t="shared" si="1"/>
        <v/>
      </c>
      <c r="I35" s="1009"/>
      <c r="J35" s="913"/>
      <c r="S35" s="103"/>
    </row>
    <row r="36" spans="1:19" x14ac:dyDescent="0.35">
      <c r="A36" s="1014"/>
      <c r="B36" s="1014"/>
      <c r="C36" s="1038" t="s">
        <v>59</v>
      </c>
      <c r="D36" s="901"/>
      <c r="E36" s="901"/>
      <c r="F36" s="1039">
        <f>SUM(F20:F35)</f>
        <v>0</v>
      </c>
      <c r="G36" s="1029"/>
      <c r="H36" s="1014"/>
      <c r="I36" s="1009"/>
      <c r="S36" s="103"/>
    </row>
    <row r="37" spans="1:19" x14ac:dyDescent="0.35">
      <c r="A37" s="1014"/>
      <c r="B37" s="1014"/>
      <c r="C37" s="1040"/>
      <c r="D37" s="1041"/>
      <c r="E37" s="1041"/>
      <c r="F37" s="1041"/>
      <c r="G37" s="1042"/>
      <c r="H37" s="1014"/>
      <c r="I37" s="1009"/>
      <c r="S37" s="103"/>
    </row>
    <row r="38" spans="1:19" s="107" customFormat="1" x14ac:dyDescent="0.35">
      <c r="A38" s="1025"/>
      <c r="B38" s="1025"/>
      <c r="C38" s="1041"/>
      <c r="D38" s="1043" t="s">
        <v>359</v>
      </c>
      <c r="E38" s="1044"/>
      <c r="F38" s="1045"/>
      <c r="G38" s="1046" t="e">
        <f>SUM(G35+G33+G32+G31+G29+G28+G27+G25+G24+G23+G21+G20)</f>
        <v>#VALUE!</v>
      </c>
      <c r="H38" s="1025"/>
      <c r="I38" s="102"/>
    </row>
    <row r="39" spans="1:19" x14ac:dyDescent="0.35">
      <c r="A39" s="1014"/>
      <c r="B39" s="1014"/>
      <c r="C39" s="1041"/>
      <c r="D39" s="1047" t="s">
        <v>27</v>
      </c>
      <c r="E39" s="1014"/>
      <c r="F39" s="1048" t="str">
        <f>IF(C7="","",VLOOKUP($C$7,Rates!A10:V23,20,FALSE))</f>
        <v/>
      </c>
      <c r="G39" s="1042" t="str">
        <f>IF(C7="","",($G$38)*F39)</f>
        <v/>
      </c>
      <c r="H39" s="1014"/>
      <c r="I39" s="1009"/>
      <c r="S39" s="103"/>
    </row>
    <row r="40" spans="1:19" x14ac:dyDescent="0.35">
      <c r="A40" s="1014"/>
      <c r="B40" s="1014"/>
      <c r="C40" s="1041"/>
      <c r="D40" s="1047"/>
      <c r="E40" s="1014"/>
      <c r="F40" s="1048"/>
      <c r="G40" s="1042"/>
      <c r="H40" s="1014"/>
      <c r="I40" s="1009"/>
      <c r="S40" s="103"/>
    </row>
    <row r="41" spans="1:19" x14ac:dyDescent="0.35">
      <c r="A41" s="114"/>
      <c r="B41" s="114"/>
      <c r="C41" s="121"/>
      <c r="D41" s="123" t="s">
        <v>360</v>
      </c>
      <c r="E41" s="127"/>
      <c r="F41" s="128"/>
      <c r="G41" s="125" t="e">
        <f>SUM(G37:G40)</f>
        <v>#VALUE!</v>
      </c>
      <c r="H41" s="114"/>
      <c r="S41" s="103"/>
    </row>
    <row r="42" spans="1:19" x14ac:dyDescent="0.35">
      <c r="A42" s="114"/>
      <c r="B42" s="114"/>
      <c r="C42" s="121"/>
      <c r="D42" s="129" t="s">
        <v>63</v>
      </c>
      <c r="E42" s="114"/>
      <c r="F42" s="659"/>
      <c r="G42" s="122" t="str">
        <f>G13</f>
        <v/>
      </c>
      <c r="H42" s="114"/>
      <c r="S42" s="103"/>
    </row>
    <row r="43" spans="1:19" ht="15" thickBot="1" x14ac:dyDescent="0.4">
      <c r="A43" s="114"/>
      <c r="B43" s="114"/>
      <c r="C43" s="120"/>
      <c r="D43" s="130" t="s">
        <v>357</v>
      </c>
      <c r="E43" s="131"/>
      <c r="F43" s="132"/>
      <c r="G43" s="132" t="e">
        <f>SUM(G41:G42)</f>
        <v>#VALUE!</v>
      </c>
      <c r="H43" s="114"/>
      <c r="S43" s="103"/>
    </row>
    <row r="44" spans="1:19" ht="15" thickTop="1" x14ac:dyDescent="0.35">
      <c r="A44" s="114"/>
      <c r="B44" s="114"/>
      <c r="C44" s="114"/>
      <c r="D44" s="121"/>
      <c r="E44" s="121"/>
      <c r="F44" s="121"/>
      <c r="G44" s="121"/>
      <c r="H44" s="658"/>
      <c r="S44" s="103"/>
    </row>
    <row r="45" spans="1:19" x14ac:dyDescent="0.35">
      <c r="A45" s="114"/>
      <c r="B45" s="114"/>
      <c r="C45" s="114"/>
      <c r="D45" s="120" t="s">
        <v>358</v>
      </c>
      <c r="F45" s="114"/>
      <c r="G45" s="121" t="e">
        <f>G34+G30+G26+G22</f>
        <v>#VALUE!</v>
      </c>
      <c r="H45" s="114"/>
      <c r="S45" s="103"/>
    </row>
    <row r="46" spans="1:19" x14ac:dyDescent="0.35">
      <c r="A46" s="1137"/>
      <c r="B46" s="114"/>
      <c r="C46" s="114"/>
      <c r="F46" s="114"/>
      <c r="G46" s="121"/>
      <c r="H46" s="114"/>
      <c r="S46" s="103"/>
    </row>
    <row r="47" spans="1:19" ht="15" thickBot="1" x14ac:dyDescent="0.4">
      <c r="A47" s="1138"/>
      <c r="B47" s="114"/>
      <c r="C47" s="114"/>
      <c r="D47" s="130" t="s">
        <v>417</v>
      </c>
      <c r="E47" s="131"/>
      <c r="F47" s="132"/>
      <c r="G47" s="132" t="e">
        <f>SUM(G43:G46)</f>
        <v>#VALUE!</v>
      </c>
      <c r="H47" s="114"/>
      <c r="S47" s="103"/>
    </row>
    <row r="48" spans="1:19" ht="15" thickTop="1" x14ac:dyDescent="0.35">
      <c r="A48" s="1138"/>
      <c r="B48" s="114"/>
      <c r="C48" s="114"/>
      <c r="F48" s="114"/>
      <c r="G48" s="121"/>
      <c r="H48" s="114"/>
      <c r="S48" s="103"/>
    </row>
    <row r="49" spans="1:19" x14ac:dyDescent="0.35">
      <c r="A49" s="108"/>
      <c r="C49" s="133"/>
      <c r="F49" s="114"/>
      <c r="G49" s="121"/>
      <c r="H49" s="114"/>
      <c r="S49" s="103"/>
    </row>
    <row r="50" spans="1:19" x14ac:dyDescent="0.35">
      <c r="A50" s="108"/>
      <c r="C50" s="120"/>
      <c r="F50" s="114"/>
      <c r="G50" s="110"/>
      <c r="H50" s="114"/>
      <c r="S50" s="103"/>
    </row>
    <row r="51" spans="1:19" x14ac:dyDescent="0.35">
      <c r="A51" s="108"/>
      <c r="C51" s="120"/>
    </row>
  </sheetData>
  <sheetProtection algorithmName="SHA-512" hashValue="WJpmqsyMTOLg0CNanrgtOxLyfvnW39wwRYD0ke3bGwivAjN7PE6IdDtWM+adIXBD7VG86LpsLakF4QJ3AZ8Hbw==" saltValue="FyFDFMUWJcv4J8/W424kVQ==" spinCount="100000" sheet="1" objects="1" scenarios="1"/>
  <mergeCells count="1">
    <mergeCell ref="A14:E14"/>
  </mergeCells>
  <pageMargins left="0.70866141732283472" right="0.70866141732283472" top="0.74803149606299213" bottom="0.74803149606299213" header="0.31496062992125984" footer="0.31496062992125984"/>
  <pageSetup paperSize="9" scale="67"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O22"/>
  <sheetViews>
    <sheetView zoomScale="84" zoomScaleNormal="84" workbookViewId="0">
      <selection activeCell="G23" sqref="G23"/>
    </sheetView>
  </sheetViews>
  <sheetFormatPr defaultRowHeight="14.5" x14ac:dyDescent="0.35"/>
  <cols>
    <col min="3" max="3" width="32.54296875" customWidth="1"/>
    <col min="4" max="4" width="13.453125" customWidth="1"/>
  </cols>
  <sheetData>
    <row r="1" spans="1:15" x14ac:dyDescent="0.35">
      <c r="C1" s="1146" t="s">
        <v>80</v>
      </c>
      <c r="D1" s="1146"/>
    </row>
    <row r="2" spans="1:15" x14ac:dyDescent="0.35">
      <c r="C2" s="81"/>
      <c r="D2" s="81"/>
    </row>
    <row r="3" spans="1:15" ht="15" customHeight="1" x14ac:dyDescent="0.35">
      <c r="C3" s="83"/>
      <c r="D3" s="82"/>
    </row>
    <row r="4" spans="1:15" ht="15" customHeight="1" x14ac:dyDescent="0.35">
      <c r="C4" s="1147" t="s">
        <v>81</v>
      </c>
      <c r="D4" s="1149" t="s">
        <v>82</v>
      </c>
    </row>
    <row r="5" spans="1:15" ht="34.5" customHeight="1" x14ac:dyDescent="0.35">
      <c r="C5" s="1148"/>
      <c r="D5" s="1149"/>
      <c r="I5" t="s">
        <v>114</v>
      </c>
      <c r="M5">
        <v>10000</v>
      </c>
    </row>
    <row r="6" spans="1:15" ht="21" x14ac:dyDescent="0.35">
      <c r="A6" s="77">
        <v>125</v>
      </c>
      <c r="B6" s="77">
        <v>7019</v>
      </c>
      <c r="C6" s="84" t="s">
        <v>12</v>
      </c>
      <c r="D6" s="85">
        <v>114</v>
      </c>
      <c r="I6">
        <v>112</v>
      </c>
      <c r="K6">
        <f>I6-D6</f>
        <v>-2</v>
      </c>
      <c r="M6">
        <f>K6*$M$5/12*5</f>
        <v>-8333.3333333333339</v>
      </c>
      <c r="O6">
        <v>8333</v>
      </c>
    </row>
    <row r="7" spans="1:15" ht="44.25" customHeight="1" x14ac:dyDescent="0.35">
      <c r="A7" s="78">
        <v>141</v>
      </c>
      <c r="B7" s="78">
        <v>7022</v>
      </c>
      <c r="C7" s="86" t="s">
        <v>83</v>
      </c>
      <c r="D7" s="87">
        <v>40</v>
      </c>
      <c r="I7">
        <v>40</v>
      </c>
      <c r="K7">
        <f t="shared" ref="K7:K18" si="0">I7-D7</f>
        <v>0</v>
      </c>
      <c r="M7">
        <f t="shared" ref="M7:M18" si="1">K7*$M$5/12*5</f>
        <v>0</v>
      </c>
    </row>
    <row r="8" spans="1:15" ht="21" x14ac:dyDescent="0.35">
      <c r="A8" s="77">
        <v>143</v>
      </c>
      <c r="B8" s="77">
        <v>7023</v>
      </c>
      <c r="C8" s="86" t="s">
        <v>21</v>
      </c>
      <c r="D8" s="87">
        <v>105</v>
      </c>
      <c r="I8">
        <v>100</v>
      </c>
      <c r="K8">
        <f t="shared" si="0"/>
        <v>-5</v>
      </c>
      <c r="M8">
        <f t="shared" si="1"/>
        <v>-20833.333333333336</v>
      </c>
      <c r="O8">
        <v>20833</v>
      </c>
    </row>
    <row r="9" spans="1:15" ht="21" x14ac:dyDescent="0.35">
      <c r="A9" s="77">
        <v>127</v>
      </c>
      <c r="B9" s="77">
        <v>7015</v>
      </c>
      <c r="C9" s="86" t="s">
        <v>14</v>
      </c>
      <c r="D9" s="87">
        <v>118</v>
      </c>
      <c r="I9">
        <v>122</v>
      </c>
      <c r="K9">
        <f t="shared" si="0"/>
        <v>4</v>
      </c>
      <c r="M9">
        <f t="shared" si="1"/>
        <v>16666.666666666668</v>
      </c>
      <c r="O9">
        <v>16667</v>
      </c>
    </row>
    <row r="10" spans="1:15" ht="21" x14ac:dyDescent="0.35">
      <c r="A10" s="78">
        <v>132</v>
      </c>
      <c r="B10" s="78">
        <v>7005</v>
      </c>
      <c r="C10" s="86" t="s">
        <v>16</v>
      </c>
      <c r="D10" s="87">
        <v>35</v>
      </c>
      <c r="I10">
        <v>35</v>
      </c>
      <c r="K10">
        <f t="shared" si="0"/>
        <v>0</v>
      </c>
      <c r="M10">
        <f t="shared" si="1"/>
        <v>0</v>
      </c>
    </row>
    <row r="11" spans="1:15" ht="21" x14ac:dyDescent="0.35">
      <c r="A11" s="78">
        <v>138</v>
      </c>
      <c r="B11" s="78">
        <v>7013</v>
      </c>
      <c r="C11" s="86" t="s">
        <v>84</v>
      </c>
      <c r="D11" s="87">
        <v>50</v>
      </c>
      <c r="I11">
        <v>50</v>
      </c>
      <c r="K11">
        <f t="shared" si="0"/>
        <v>0</v>
      </c>
      <c r="M11">
        <f t="shared" si="1"/>
        <v>0</v>
      </c>
    </row>
    <row r="12" spans="1:15" ht="48" customHeight="1" x14ac:dyDescent="0.35">
      <c r="A12" s="77">
        <v>145</v>
      </c>
      <c r="B12" s="77">
        <v>7025</v>
      </c>
      <c r="C12" s="86" t="s">
        <v>85</v>
      </c>
      <c r="D12" s="87">
        <v>100</v>
      </c>
      <c r="I12">
        <v>100</v>
      </c>
      <c r="K12">
        <f t="shared" si="0"/>
        <v>0</v>
      </c>
      <c r="M12">
        <f t="shared" si="1"/>
        <v>0</v>
      </c>
    </row>
    <row r="13" spans="1:15" ht="21" x14ac:dyDescent="0.35">
      <c r="A13" s="77">
        <v>137</v>
      </c>
      <c r="B13" s="77">
        <v>7018</v>
      </c>
      <c r="C13" s="86" t="s">
        <v>17</v>
      </c>
      <c r="D13" s="87">
        <v>50</v>
      </c>
      <c r="I13">
        <v>50</v>
      </c>
      <c r="K13">
        <f t="shared" si="0"/>
        <v>0</v>
      </c>
      <c r="M13">
        <f t="shared" si="1"/>
        <v>0</v>
      </c>
    </row>
    <row r="14" spans="1:15" ht="21" x14ac:dyDescent="0.35">
      <c r="A14" s="77">
        <v>144</v>
      </c>
      <c r="B14" s="77">
        <v>7024</v>
      </c>
      <c r="C14" s="86" t="s">
        <v>22</v>
      </c>
      <c r="D14" s="99">
        <v>300</v>
      </c>
      <c r="E14">
        <v>306</v>
      </c>
      <c r="F14" t="s">
        <v>113</v>
      </c>
      <c r="I14">
        <v>294</v>
      </c>
      <c r="K14">
        <f t="shared" si="0"/>
        <v>-6</v>
      </c>
      <c r="M14">
        <f t="shared" si="1"/>
        <v>-25000</v>
      </c>
      <c r="O14">
        <v>25000</v>
      </c>
    </row>
    <row r="15" spans="1:15" ht="21" x14ac:dyDescent="0.35">
      <c r="A15" s="78">
        <v>130</v>
      </c>
      <c r="B15" s="78">
        <v>7011</v>
      </c>
      <c r="C15" s="86" t="s">
        <v>15</v>
      </c>
      <c r="D15" s="87">
        <v>40</v>
      </c>
      <c r="I15">
        <v>55</v>
      </c>
      <c r="K15">
        <f t="shared" si="0"/>
        <v>15</v>
      </c>
      <c r="M15">
        <f t="shared" si="1"/>
        <v>62500</v>
      </c>
      <c r="O15">
        <v>62500</v>
      </c>
    </row>
    <row r="16" spans="1:15" ht="18.5" x14ac:dyDescent="0.35">
      <c r="B16" s="73">
        <v>959</v>
      </c>
      <c r="C16" s="88" t="s">
        <v>86</v>
      </c>
      <c r="D16" s="89">
        <v>6</v>
      </c>
      <c r="I16">
        <v>6</v>
      </c>
      <c r="K16">
        <f t="shared" si="0"/>
        <v>0</v>
      </c>
      <c r="M16">
        <f t="shared" si="1"/>
        <v>0</v>
      </c>
    </row>
    <row r="17" spans="1:15" ht="21" x14ac:dyDescent="0.35">
      <c r="A17" s="78">
        <v>126</v>
      </c>
      <c r="B17" s="78">
        <v>7008</v>
      </c>
      <c r="C17" s="88" t="s">
        <v>87</v>
      </c>
      <c r="D17" s="89">
        <v>40</v>
      </c>
      <c r="I17">
        <v>44</v>
      </c>
      <c r="K17">
        <f t="shared" si="0"/>
        <v>4</v>
      </c>
      <c r="M17">
        <f t="shared" si="1"/>
        <v>16666.666666666668</v>
      </c>
      <c r="O17">
        <v>16667</v>
      </c>
    </row>
    <row r="18" spans="1:15" ht="21" x14ac:dyDescent="0.35">
      <c r="A18" s="77">
        <v>139</v>
      </c>
      <c r="B18" s="77">
        <v>7017</v>
      </c>
      <c r="C18" s="88" t="s">
        <v>19</v>
      </c>
      <c r="D18" s="89">
        <v>110</v>
      </c>
      <c r="I18">
        <v>100</v>
      </c>
      <c r="K18">
        <f t="shared" si="0"/>
        <v>-10</v>
      </c>
      <c r="M18">
        <f t="shared" si="1"/>
        <v>-41666.666666666672</v>
      </c>
      <c r="O18">
        <v>41667</v>
      </c>
    </row>
    <row r="19" spans="1:15" x14ac:dyDescent="0.35">
      <c r="C19" s="90" t="s">
        <v>88</v>
      </c>
      <c r="D19" s="91">
        <f>SUM(D6:D18)</f>
        <v>1108</v>
      </c>
      <c r="I19" s="100">
        <f>SUM(I6:I18)</f>
        <v>1108</v>
      </c>
      <c r="K19">
        <f>SUM(K6:K18)</f>
        <v>0</v>
      </c>
      <c r="M19">
        <f>SUM(M6:M18)</f>
        <v>0</v>
      </c>
      <c r="O19">
        <f>SUM(O6:O18)</f>
        <v>191667</v>
      </c>
    </row>
    <row r="20" spans="1:15" x14ac:dyDescent="0.35">
      <c r="C20" s="83"/>
      <c r="D20" s="82"/>
    </row>
    <row r="21" spans="1:15" x14ac:dyDescent="0.35">
      <c r="C21" s="92" t="s">
        <v>89</v>
      </c>
      <c r="D21" s="92">
        <v>41680</v>
      </c>
    </row>
    <row r="22" spans="1:15" x14ac:dyDescent="0.35">
      <c r="C22" s="83"/>
      <c r="D22" s="82"/>
    </row>
  </sheetData>
  <mergeCells count="3">
    <mergeCell ref="C1:D1"/>
    <mergeCell ref="C4:C5"/>
    <mergeCell ref="D4: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I15"/>
  <sheetViews>
    <sheetView workbookViewId="0">
      <selection activeCell="G6" sqref="G6"/>
    </sheetView>
  </sheetViews>
  <sheetFormatPr defaultRowHeight="14.5" x14ac:dyDescent="0.35"/>
  <cols>
    <col min="3" max="3" width="21.1796875" customWidth="1"/>
    <col min="4" max="4" width="37.54296875" customWidth="1"/>
    <col min="6" max="8" width="12.7265625" customWidth="1"/>
    <col min="9" max="9" width="18.54296875" customWidth="1"/>
  </cols>
  <sheetData>
    <row r="1" spans="1:9" ht="39.75" customHeight="1" x14ac:dyDescent="0.35">
      <c r="A1" t="s">
        <v>94</v>
      </c>
      <c r="B1" t="s">
        <v>95</v>
      </c>
      <c r="C1" t="s">
        <v>96</v>
      </c>
      <c r="D1" t="s">
        <v>97</v>
      </c>
      <c r="F1" t="s">
        <v>98</v>
      </c>
    </row>
    <row r="2" spans="1:9" ht="59.25" customHeight="1" x14ac:dyDescent="0.35">
      <c r="F2" s="98" t="s">
        <v>99</v>
      </c>
      <c r="G2" s="98" t="s">
        <v>100</v>
      </c>
      <c r="H2" s="98"/>
      <c r="I2" s="98" t="s">
        <v>101</v>
      </c>
    </row>
    <row r="3" spans="1:9" x14ac:dyDescent="0.35">
      <c r="A3">
        <v>9167000</v>
      </c>
      <c r="B3">
        <v>0</v>
      </c>
      <c r="C3">
        <v>916</v>
      </c>
      <c r="D3" t="s">
        <v>102</v>
      </c>
      <c r="F3">
        <v>50</v>
      </c>
      <c r="G3">
        <v>50</v>
      </c>
      <c r="H3">
        <v>50</v>
      </c>
      <c r="I3">
        <v>0</v>
      </c>
    </row>
    <row r="4" spans="1:9" x14ac:dyDescent="0.35">
      <c r="A4">
        <v>9167003</v>
      </c>
      <c r="B4">
        <v>121882</v>
      </c>
      <c r="C4">
        <v>916</v>
      </c>
      <c r="D4" t="s">
        <v>103</v>
      </c>
      <c r="F4">
        <v>44</v>
      </c>
      <c r="G4">
        <v>40</v>
      </c>
      <c r="H4">
        <v>40</v>
      </c>
      <c r="I4">
        <v>0</v>
      </c>
    </row>
    <row r="5" spans="1:9" x14ac:dyDescent="0.35">
      <c r="A5">
        <v>9167005</v>
      </c>
      <c r="B5">
        <v>0</v>
      </c>
      <c r="C5">
        <v>916</v>
      </c>
      <c r="D5" t="s">
        <v>104</v>
      </c>
      <c r="F5">
        <v>35</v>
      </c>
      <c r="G5">
        <v>35</v>
      </c>
      <c r="H5">
        <v>35</v>
      </c>
      <c r="I5">
        <v>0</v>
      </c>
    </row>
    <row r="6" spans="1:9" x14ac:dyDescent="0.35">
      <c r="A6">
        <v>9167015</v>
      </c>
      <c r="B6">
        <v>124021</v>
      </c>
      <c r="C6">
        <v>916</v>
      </c>
      <c r="D6" t="s">
        <v>105</v>
      </c>
      <c r="F6">
        <v>122</v>
      </c>
      <c r="G6">
        <v>118</v>
      </c>
      <c r="H6">
        <v>118</v>
      </c>
      <c r="I6">
        <v>-4</v>
      </c>
    </row>
    <row r="7" spans="1:9" x14ac:dyDescent="0.35">
      <c r="A7">
        <v>9167017</v>
      </c>
      <c r="B7">
        <v>123763</v>
      </c>
      <c r="C7">
        <v>916</v>
      </c>
      <c r="D7" t="s">
        <v>106</v>
      </c>
      <c r="F7">
        <v>100</v>
      </c>
      <c r="G7">
        <v>110</v>
      </c>
      <c r="H7">
        <v>110</v>
      </c>
      <c r="I7">
        <v>10</v>
      </c>
    </row>
    <row r="8" spans="1:9" x14ac:dyDescent="0.35">
      <c r="A8">
        <v>9167018</v>
      </c>
      <c r="B8">
        <v>123580</v>
      </c>
      <c r="C8">
        <v>916</v>
      </c>
      <c r="D8" t="s">
        <v>107</v>
      </c>
      <c r="F8">
        <v>49</v>
      </c>
      <c r="G8">
        <v>50</v>
      </c>
      <c r="H8">
        <v>50</v>
      </c>
      <c r="I8">
        <v>0</v>
      </c>
    </row>
    <row r="9" spans="1:9" x14ac:dyDescent="0.35">
      <c r="A9">
        <v>9167019</v>
      </c>
      <c r="B9">
        <v>0</v>
      </c>
      <c r="C9">
        <v>916</v>
      </c>
      <c r="D9" t="s">
        <v>108</v>
      </c>
      <c r="F9">
        <v>112.00000000000001</v>
      </c>
      <c r="G9">
        <v>114</v>
      </c>
      <c r="H9">
        <v>114</v>
      </c>
      <c r="I9">
        <v>0</v>
      </c>
    </row>
    <row r="10" spans="1:9" x14ac:dyDescent="0.35">
      <c r="A10">
        <v>9167022</v>
      </c>
      <c r="B10">
        <v>0</v>
      </c>
      <c r="C10">
        <v>916</v>
      </c>
      <c r="D10" t="s">
        <v>109</v>
      </c>
      <c r="F10">
        <v>40</v>
      </c>
      <c r="G10">
        <v>40</v>
      </c>
      <c r="H10">
        <v>40</v>
      </c>
      <c r="I10">
        <v>0</v>
      </c>
    </row>
    <row r="11" spans="1:9" x14ac:dyDescent="0.35">
      <c r="A11">
        <v>9167023</v>
      </c>
      <c r="B11">
        <v>0</v>
      </c>
      <c r="C11">
        <v>916</v>
      </c>
      <c r="D11" t="s">
        <v>110</v>
      </c>
      <c r="F11">
        <v>100</v>
      </c>
      <c r="G11">
        <v>105</v>
      </c>
      <c r="H11">
        <v>105</v>
      </c>
      <c r="I11">
        <v>0</v>
      </c>
    </row>
    <row r="12" spans="1:9" x14ac:dyDescent="0.35">
      <c r="A12">
        <v>9167024</v>
      </c>
      <c r="B12">
        <v>0</v>
      </c>
      <c r="C12">
        <v>916</v>
      </c>
      <c r="D12" t="s">
        <v>111</v>
      </c>
      <c r="F12">
        <v>300</v>
      </c>
      <c r="G12">
        <v>306</v>
      </c>
      <c r="H12">
        <v>294</v>
      </c>
      <c r="I12">
        <v>0</v>
      </c>
    </row>
    <row r="13" spans="1:9" x14ac:dyDescent="0.35">
      <c r="A13">
        <v>9167025</v>
      </c>
      <c r="B13">
        <v>123777</v>
      </c>
      <c r="C13">
        <v>916</v>
      </c>
      <c r="D13" t="s">
        <v>112</v>
      </c>
      <c r="F13">
        <v>99</v>
      </c>
      <c r="G13">
        <v>100</v>
      </c>
      <c r="H13">
        <v>100</v>
      </c>
      <c r="I13">
        <v>2</v>
      </c>
    </row>
    <row r="14" spans="1:9" x14ac:dyDescent="0.35">
      <c r="G14">
        <v>40</v>
      </c>
      <c r="H14">
        <v>40</v>
      </c>
    </row>
    <row r="15" spans="1:9" x14ac:dyDescent="0.35">
      <c r="G15">
        <f>SUM(G3:G14)</f>
        <v>1108</v>
      </c>
      <c r="H15">
        <f>SUM(H3:H14)</f>
        <v>1096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
  <sheetViews>
    <sheetView workbookViewId="0"/>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BT30"/>
  <sheetViews>
    <sheetView zoomScale="80" zoomScaleNormal="80" workbookViewId="0">
      <pane xSplit="3" ySplit="7" topLeftCell="AQ8" activePane="bottomRight" state="frozen"/>
      <selection pane="topRight" activeCell="D1" sqref="D1"/>
      <selection pane="bottomLeft" activeCell="A8" sqref="A8"/>
      <selection pane="bottomRight" activeCell="AZ9" sqref="AZ9"/>
    </sheetView>
  </sheetViews>
  <sheetFormatPr defaultColWidth="9.1796875" defaultRowHeight="14.5" x14ac:dyDescent="0.35"/>
  <cols>
    <col min="1" max="2" width="9.1796875" style="169"/>
    <col min="3" max="3" width="44.81640625" style="169" customWidth="1"/>
    <col min="4" max="10" width="9.1796875" style="169" customWidth="1"/>
    <col min="11" max="22" width="12.7265625" style="169" customWidth="1"/>
    <col min="23" max="23" width="13.453125" style="169" customWidth="1"/>
    <col min="24" max="24" width="12.7265625" style="169" customWidth="1"/>
    <col min="25" max="27" width="12.7265625" style="188" customWidth="1"/>
    <col min="28" max="28" width="18.26953125" style="188" customWidth="1"/>
    <col min="29" max="29" width="10" style="188" customWidth="1"/>
    <col min="30" max="30" width="9.1796875" style="188" customWidth="1"/>
    <col min="31" max="31" width="11.7265625" style="188" customWidth="1"/>
    <col min="32" max="32" width="9.1796875" style="188" customWidth="1"/>
    <col min="33" max="33" width="11" style="188" customWidth="1"/>
    <col min="34" max="34" width="9.1796875" style="188" customWidth="1"/>
    <col min="35" max="35" width="11" style="188" customWidth="1"/>
    <col min="36" max="38" width="9.1796875" style="188" customWidth="1"/>
    <col min="39" max="39" width="14.1796875" style="188" customWidth="1"/>
    <col min="40" max="41" width="16" style="169" customWidth="1"/>
    <col min="42" max="42" width="12.7265625" style="169" customWidth="1"/>
    <col min="43" max="43" width="13.81640625" style="173" customWidth="1"/>
    <col min="44" max="44" width="18.54296875" style="169" customWidth="1"/>
    <col min="45" max="54" width="9.1796875" style="169"/>
    <col min="55" max="55" width="11.453125" style="169" customWidth="1"/>
    <col min="56" max="60" width="9.1796875" style="169"/>
    <col min="61" max="61" width="10.26953125" style="169" customWidth="1"/>
    <col min="62" max="62" width="9.1796875" style="169"/>
    <col min="63" max="63" width="10.26953125" style="169" customWidth="1"/>
    <col min="64" max="64" width="9.1796875" style="169"/>
    <col min="65" max="65" width="10.26953125" style="169" customWidth="1"/>
    <col min="66" max="68" width="9.1796875" style="169"/>
    <col min="69" max="69" width="11.26953125" style="169" customWidth="1"/>
    <col min="70" max="71" width="12.7265625" style="169" customWidth="1"/>
    <col min="72" max="72" width="12.26953125" style="169" customWidth="1"/>
    <col min="73" max="16384" width="9.1796875" style="169"/>
  </cols>
  <sheetData>
    <row r="1" spans="1:72" x14ac:dyDescent="0.35">
      <c r="A1" s="168" t="s">
        <v>178</v>
      </c>
      <c r="D1" s="170"/>
      <c r="E1" s="170"/>
      <c r="F1" s="170"/>
      <c r="G1" s="159"/>
      <c r="H1" s="159"/>
      <c r="I1" s="170"/>
      <c r="J1" s="170"/>
      <c r="K1" s="170"/>
      <c r="L1" s="170"/>
      <c r="M1" s="171"/>
      <c r="N1" s="171"/>
      <c r="O1" s="171"/>
      <c r="P1" s="171"/>
      <c r="Q1" s="171"/>
      <c r="R1" s="171"/>
      <c r="S1" s="171"/>
      <c r="T1" s="171"/>
      <c r="U1" s="171"/>
      <c r="V1" s="171"/>
      <c r="W1" s="171"/>
      <c r="X1" s="171"/>
      <c r="Y1" s="187"/>
      <c r="Z1" s="172"/>
      <c r="AA1" s="172"/>
    </row>
    <row r="2" spans="1:72" x14ac:dyDescent="0.35">
      <c r="A2" s="169">
        <v>1</v>
      </c>
      <c r="B2" s="169">
        <v>2</v>
      </c>
      <c r="C2" s="169">
        <v>3</v>
      </c>
      <c r="D2" s="169">
        <v>4</v>
      </c>
      <c r="E2" s="169">
        <v>5</v>
      </c>
      <c r="F2" s="169">
        <v>6</v>
      </c>
      <c r="G2" s="169">
        <v>7</v>
      </c>
      <c r="H2" s="169">
        <v>8</v>
      </c>
      <c r="I2" s="169">
        <v>9</v>
      </c>
      <c r="J2" s="169">
        <v>10</v>
      </c>
      <c r="K2" s="169">
        <v>11</v>
      </c>
      <c r="L2" s="169">
        <v>12</v>
      </c>
      <c r="M2" s="169">
        <v>13</v>
      </c>
      <c r="N2" s="169">
        <v>14</v>
      </c>
      <c r="O2" s="169">
        <v>15</v>
      </c>
      <c r="P2" s="169">
        <v>16</v>
      </c>
      <c r="Q2" s="169">
        <v>17</v>
      </c>
      <c r="R2" s="169">
        <v>18</v>
      </c>
      <c r="S2" s="169">
        <v>19</v>
      </c>
      <c r="T2" s="169">
        <v>20</v>
      </c>
      <c r="U2" s="169">
        <v>21</v>
      </c>
      <c r="V2" s="169">
        <v>22</v>
      </c>
      <c r="W2" s="169">
        <v>23</v>
      </c>
      <c r="X2" s="169">
        <v>24</v>
      </c>
      <c r="Y2" s="169">
        <v>25</v>
      </c>
      <c r="Z2" s="169">
        <v>26</v>
      </c>
      <c r="AA2" s="169">
        <v>27</v>
      </c>
      <c r="AB2" s="169">
        <v>28</v>
      </c>
      <c r="AC2" s="169">
        <v>29</v>
      </c>
      <c r="AD2" s="169">
        <v>30</v>
      </c>
      <c r="AE2" s="169">
        <v>31</v>
      </c>
      <c r="AF2" s="169">
        <v>32</v>
      </c>
      <c r="AG2" s="169">
        <v>33</v>
      </c>
      <c r="AH2" s="169">
        <v>34</v>
      </c>
      <c r="AI2" s="169">
        <v>35</v>
      </c>
      <c r="AJ2" s="169">
        <v>36</v>
      </c>
      <c r="AK2" s="169">
        <v>37</v>
      </c>
      <c r="AL2" s="169">
        <v>38</v>
      </c>
      <c r="AM2" s="169">
        <v>39</v>
      </c>
      <c r="AN2" s="169">
        <v>40</v>
      </c>
      <c r="AO2" s="169">
        <v>41</v>
      </c>
      <c r="AP2" s="169">
        <v>42</v>
      </c>
      <c r="AQ2" s="169">
        <v>43</v>
      </c>
      <c r="AR2" s="169">
        <v>44</v>
      </c>
      <c r="AS2" s="169">
        <v>45</v>
      </c>
      <c r="AT2" s="169">
        <v>46</v>
      </c>
      <c r="AU2" s="169">
        <v>47</v>
      </c>
      <c r="AV2" s="169">
        <v>48</v>
      </c>
      <c r="AW2" s="169">
        <v>49</v>
      </c>
      <c r="AX2" s="169">
        <v>50</v>
      </c>
      <c r="AY2" s="169">
        <v>51</v>
      </c>
      <c r="AZ2" s="169">
        <v>52</v>
      </c>
      <c r="BA2" s="169">
        <v>53</v>
      </c>
      <c r="BB2" s="169">
        <v>54</v>
      </c>
      <c r="BC2" s="169">
        <v>55</v>
      </c>
      <c r="BD2" s="169">
        <v>56</v>
      </c>
      <c r="BE2" s="169">
        <v>57</v>
      </c>
      <c r="BF2" s="169">
        <v>58</v>
      </c>
      <c r="BG2" s="169">
        <v>59</v>
      </c>
      <c r="BH2" s="169">
        <v>60</v>
      </c>
      <c r="BI2" s="169">
        <v>61</v>
      </c>
      <c r="BJ2" s="169">
        <v>62</v>
      </c>
      <c r="BK2" s="169">
        <v>63</v>
      </c>
      <c r="BL2" s="169">
        <v>64</v>
      </c>
      <c r="BM2" s="169">
        <v>65</v>
      </c>
      <c r="BN2" s="169">
        <v>66</v>
      </c>
      <c r="BO2" s="169">
        <v>67</v>
      </c>
      <c r="BP2" s="169">
        <v>68</v>
      </c>
      <c r="BQ2" s="169">
        <v>69</v>
      </c>
      <c r="BR2" s="169">
        <v>70</v>
      </c>
      <c r="BS2" s="169">
        <v>71</v>
      </c>
      <c r="BT2" s="169">
        <v>72</v>
      </c>
    </row>
    <row r="3" spans="1:72" ht="30" customHeight="1" x14ac:dyDescent="0.35">
      <c r="A3" s="182" t="s">
        <v>179</v>
      </c>
      <c r="D3" s="170"/>
      <c r="E3" s="170"/>
      <c r="F3" s="170"/>
      <c r="G3" s="159"/>
      <c r="H3" s="159"/>
      <c r="I3" s="170"/>
      <c r="J3" s="170"/>
      <c r="K3" s="170"/>
      <c r="L3" s="170"/>
      <c r="M3" s="171"/>
      <c r="N3" s="171"/>
      <c r="O3" s="171"/>
      <c r="P3" s="171"/>
      <c r="Q3" s="171"/>
      <c r="R3" s="171"/>
      <c r="S3" s="171"/>
      <c r="T3" s="171"/>
      <c r="U3" s="171"/>
      <c r="V3" s="171"/>
      <c r="W3" s="171"/>
      <c r="X3" s="171"/>
      <c r="Y3" s="189"/>
      <c r="Z3" s="172"/>
      <c r="AA3" s="172"/>
      <c r="AB3" s="190"/>
      <c r="AC3" s="1160" t="s">
        <v>142</v>
      </c>
      <c r="AD3" s="1161"/>
      <c r="AE3" s="1161"/>
      <c r="AF3" s="1161"/>
      <c r="AG3" s="1161"/>
      <c r="AH3" s="1161"/>
      <c r="AI3" s="1161"/>
      <c r="AJ3" s="1161"/>
      <c r="AK3" s="1161"/>
      <c r="AL3" s="1162"/>
    </row>
    <row r="4" spans="1:72" ht="30" customHeight="1" x14ac:dyDescent="0.35">
      <c r="D4" s="170"/>
      <c r="E4" s="170"/>
      <c r="F4" s="170"/>
      <c r="G4" s="159"/>
      <c r="H4" s="159"/>
      <c r="I4" s="170"/>
      <c r="J4" s="170"/>
      <c r="K4" s="170"/>
      <c r="L4" s="170"/>
      <c r="M4" s="171"/>
      <c r="N4" s="171"/>
      <c r="O4" s="171"/>
      <c r="P4" s="171"/>
      <c r="Q4" s="171"/>
      <c r="R4" s="171"/>
      <c r="S4" s="171"/>
      <c r="T4" s="171"/>
      <c r="U4" s="171"/>
      <c r="V4" s="171"/>
      <c r="W4" s="171"/>
      <c r="X4" s="171"/>
      <c r="Y4" s="189"/>
      <c r="Z4" s="191"/>
      <c r="AA4" s="191"/>
      <c r="AB4" s="192"/>
      <c r="AC4" s="1163"/>
      <c r="AD4" s="1164"/>
      <c r="AE4" s="1164"/>
      <c r="AF4" s="1164"/>
      <c r="AG4" s="1164"/>
      <c r="AH4" s="1164"/>
      <c r="AI4" s="1164"/>
      <c r="AJ4" s="1164"/>
      <c r="AK4" s="1164"/>
      <c r="AL4" s="1165"/>
    </row>
    <row r="5" spans="1:72" ht="30" customHeight="1" x14ac:dyDescent="0.45">
      <c r="D5" s="170"/>
      <c r="E5" s="170"/>
      <c r="F5" s="170"/>
      <c r="G5" s="159"/>
      <c r="H5" s="159"/>
      <c r="I5" s="170"/>
      <c r="J5" s="170"/>
      <c r="K5" s="170"/>
      <c r="L5" s="170"/>
      <c r="M5" s="171"/>
      <c r="N5" s="171"/>
      <c r="O5" s="171"/>
      <c r="P5" s="171"/>
      <c r="Q5" s="171"/>
      <c r="R5" s="171"/>
      <c r="S5" s="171"/>
      <c r="T5" s="171"/>
      <c r="U5" s="171"/>
      <c r="V5" s="171"/>
      <c r="W5" s="171"/>
      <c r="X5" s="171"/>
      <c r="Y5" s="189"/>
      <c r="Z5" s="191"/>
      <c r="AA5" s="191"/>
      <c r="AB5" s="193" t="s">
        <v>77</v>
      </c>
      <c r="AC5" s="194">
        <v>1574</v>
      </c>
      <c r="AD5" s="194">
        <f>AC5*0.5</f>
        <v>787</v>
      </c>
      <c r="AE5" s="194">
        <v>5903</v>
      </c>
      <c r="AF5" s="194">
        <f>AE5*0.5</f>
        <v>2951.5</v>
      </c>
      <c r="AG5" s="194">
        <v>9838</v>
      </c>
      <c r="AH5" s="194">
        <f>AG5*0.5</f>
        <v>4919</v>
      </c>
      <c r="AI5" s="194">
        <v>10493</v>
      </c>
      <c r="AJ5" s="194">
        <f>AI5*0.5</f>
        <v>5246.5</v>
      </c>
      <c r="AK5" s="194">
        <v>18363</v>
      </c>
      <c r="AL5" s="195">
        <f>AK5*0.5</f>
        <v>9181.5</v>
      </c>
      <c r="BF5" s="193" t="s">
        <v>77</v>
      </c>
      <c r="BG5" s="169">
        <f>Rates!H3</f>
        <v>2116</v>
      </c>
      <c r="BH5" s="169">
        <f>Rates!H4</f>
        <v>1058</v>
      </c>
      <c r="BI5" s="169">
        <f>Rates!I3</f>
        <v>7938</v>
      </c>
      <c r="BJ5" s="169">
        <f>Rates!I4</f>
        <v>3969</v>
      </c>
      <c r="BK5" s="169">
        <f>Rates!J3</f>
        <v>0</v>
      </c>
      <c r="BL5" s="169">
        <f>Rates!J4</f>
        <v>0</v>
      </c>
      <c r="BM5" s="169">
        <f>Rates!K3</f>
        <v>14110</v>
      </c>
      <c r="BN5" s="169">
        <f>Rates!K4</f>
        <v>7055</v>
      </c>
      <c r="BO5" s="169">
        <f>Rates!L3</f>
        <v>24963</v>
      </c>
      <c r="BP5" s="169">
        <f>Rates!L4</f>
        <v>12481.5</v>
      </c>
    </row>
    <row r="6" spans="1:72" ht="15" customHeight="1" thickBot="1" x14ac:dyDescent="0.5">
      <c r="B6" s="168"/>
      <c r="D6" s="173"/>
      <c r="E6" s="173"/>
      <c r="F6" s="173"/>
      <c r="G6" s="173"/>
      <c r="H6" s="173"/>
      <c r="I6" s="173"/>
      <c r="J6" s="173"/>
      <c r="K6" s="173"/>
      <c r="L6" s="173"/>
      <c r="M6" s="173"/>
      <c r="N6" s="173"/>
      <c r="O6" s="173"/>
      <c r="P6" s="173"/>
      <c r="Q6" s="173"/>
      <c r="R6" s="173"/>
      <c r="S6" s="173"/>
      <c r="T6" s="173"/>
      <c r="U6" s="173"/>
      <c r="V6" s="173"/>
      <c r="W6" s="173"/>
      <c r="X6" s="173"/>
      <c r="Y6" s="196"/>
      <c r="Z6" s="197"/>
      <c r="AA6" s="197"/>
      <c r="AB6" s="198" t="s">
        <v>78</v>
      </c>
      <c r="AC6" s="199">
        <v>1810</v>
      </c>
      <c r="AD6" s="199">
        <f>AC6*0.5</f>
        <v>905</v>
      </c>
      <c r="AE6" s="199">
        <v>6788</v>
      </c>
      <c r="AF6" s="199">
        <f>AE6*0.5</f>
        <v>3394</v>
      </c>
      <c r="AG6" s="199">
        <v>11313</v>
      </c>
      <c r="AH6" s="199">
        <f>AG6*0.5</f>
        <v>5656.5</v>
      </c>
      <c r="AI6" s="199">
        <v>12067</v>
      </c>
      <c r="AJ6" s="199">
        <f>AI6*0.5</f>
        <v>6033.5</v>
      </c>
      <c r="AK6" s="199">
        <v>21117</v>
      </c>
      <c r="AL6" s="200">
        <f>AK6*0.5</f>
        <v>10558.5</v>
      </c>
      <c r="BE6" s="186"/>
      <c r="BF6" s="198" t="s">
        <v>78</v>
      </c>
      <c r="BG6" s="186">
        <f>Rates!H5</f>
        <v>2116</v>
      </c>
      <c r="BH6" s="186">
        <f>Rates!H6</f>
        <v>1058</v>
      </c>
      <c r="BI6" s="186">
        <f>Rates!I5</f>
        <v>7938</v>
      </c>
      <c r="BJ6" s="186">
        <f>Rates!I6</f>
        <v>3969</v>
      </c>
      <c r="BK6" s="186">
        <f>Rates!J5</f>
        <v>0</v>
      </c>
      <c r="BL6" s="186">
        <f>Rates!J6</f>
        <v>0</v>
      </c>
      <c r="BM6" s="186">
        <f>Rates!K5</f>
        <v>14110</v>
      </c>
      <c r="BN6" s="186">
        <f>Rates!K6</f>
        <v>7055</v>
      </c>
      <c r="BO6" s="186">
        <f>Rates!L5</f>
        <v>24963</v>
      </c>
      <c r="BP6" s="186">
        <f>Rates!L6</f>
        <v>12481.5</v>
      </c>
      <c r="BQ6" s="186">
        <f>Rates!G93</f>
        <v>33963</v>
      </c>
    </row>
    <row r="7" spans="1:72" ht="15" thickBot="1" x14ac:dyDescent="0.4">
      <c r="A7" s="168"/>
      <c r="B7" s="168"/>
      <c r="C7" s="160"/>
      <c r="D7" s="1166" t="s">
        <v>133</v>
      </c>
      <c r="E7" s="1166"/>
      <c r="F7" s="1166"/>
      <c r="G7" s="1167" t="s">
        <v>134</v>
      </c>
      <c r="H7" s="1168"/>
      <c r="I7" s="1152" t="s">
        <v>135</v>
      </c>
      <c r="J7" s="1153"/>
      <c r="K7" s="1154"/>
      <c r="L7" s="202"/>
      <c r="M7" s="1155" t="s">
        <v>149</v>
      </c>
      <c r="N7" s="1156"/>
      <c r="O7" s="1156"/>
      <c r="P7" s="1156"/>
      <c r="Q7" s="1156"/>
      <c r="R7" s="1156"/>
      <c r="S7" s="1156"/>
      <c r="T7" s="1156"/>
      <c r="U7" s="1156"/>
      <c r="V7" s="1156"/>
      <c r="W7" s="1156"/>
      <c r="X7" s="1157"/>
      <c r="Y7" s="1169" t="s">
        <v>140</v>
      </c>
      <c r="Z7" s="1171" t="s">
        <v>141</v>
      </c>
      <c r="AA7" s="203"/>
      <c r="AB7" s="204">
        <v>10000</v>
      </c>
      <c r="AC7" s="205"/>
      <c r="AD7" s="205"/>
      <c r="AE7" s="205"/>
      <c r="AF7" s="205"/>
      <c r="AG7" s="205"/>
      <c r="AH7" s="205"/>
      <c r="AI7" s="205"/>
      <c r="AJ7" s="205"/>
      <c r="AK7" s="205"/>
      <c r="AL7" s="205"/>
      <c r="AM7" s="205"/>
      <c r="AN7" s="206"/>
      <c r="AO7" s="206"/>
      <c r="AP7" s="1173" t="s">
        <v>171</v>
      </c>
      <c r="AQ7" s="402"/>
      <c r="AR7" s="284"/>
      <c r="AS7" s="1175" t="s">
        <v>176</v>
      </c>
      <c r="AT7" s="1176"/>
      <c r="AU7" s="1176"/>
      <c r="AV7" s="1176"/>
      <c r="AW7" s="1176"/>
      <c r="AX7" s="1176"/>
      <c r="AY7" s="1176"/>
      <c r="AZ7" s="1176"/>
      <c r="BA7" s="1176"/>
      <c r="BB7" s="1176"/>
      <c r="BC7" s="301"/>
      <c r="BD7" s="286"/>
      <c r="BE7" s="272"/>
      <c r="BF7" s="284"/>
      <c r="BG7" s="1158" t="s">
        <v>175</v>
      </c>
      <c r="BH7" s="1159"/>
      <c r="BI7" s="1159"/>
      <c r="BJ7" s="1159"/>
      <c r="BK7" s="1159"/>
      <c r="BL7" s="1159"/>
      <c r="BM7" s="1159"/>
      <c r="BN7" s="1159"/>
      <c r="BO7" s="1159"/>
      <c r="BP7" s="1159"/>
      <c r="BQ7" s="1159"/>
      <c r="BR7" s="1159"/>
      <c r="BS7" s="298">
        <v>10000</v>
      </c>
      <c r="BT7" s="306"/>
    </row>
    <row r="8" spans="1:72" ht="44" thickBot="1" x14ac:dyDescent="0.4">
      <c r="A8" s="168"/>
      <c r="B8" s="168"/>
      <c r="C8" s="161"/>
      <c r="D8" s="162" t="s">
        <v>136</v>
      </c>
      <c r="E8" s="163" t="s">
        <v>137</v>
      </c>
      <c r="F8" s="164" t="s">
        <v>88</v>
      </c>
      <c r="G8" s="207" t="s">
        <v>136</v>
      </c>
      <c r="H8" s="207" t="s">
        <v>137</v>
      </c>
      <c r="I8" s="208" t="s">
        <v>136</v>
      </c>
      <c r="J8" s="208" t="s">
        <v>137</v>
      </c>
      <c r="K8" s="209" t="s">
        <v>138</v>
      </c>
      <c r="L8" s="210" t="s">
        <v>139</v>
      </c>
      <c r="M8" s="211" t="s">
        <v>118</v>
      </c>
      <c r="N8" s="211" t="s">
        <v>144</v>
      </c>
      <c r="O8" s="211" t="s">
        <v>119</v>
      </c>
      <c r="P8" s="211" t="s">
        <v>145</v>
      </c>
      <c r="Q8" s="211" t="s">
        <v>120</v>
      </c>
      <c r="R8" s="211" t="s">
        <v>146</v>
      </c>
      <c r="S8" s="211" t="s">
        <v>121</v>
      </c>
      <c r="T8" s="211" t="s">
        <v>147</v>
      </c>
      <c r="U8" s="211" t="s">
        <v>122</v>
      </c>
      <c r="V8" s="211" t="s">
        <v>148</v>
      </c>
      <c r="W8" s="211" t="s">
        <v>150</v>
      </c>
      <c r="X8" s="212" t="s">
        <v>143</v>
      </c>
      <c r="Y8" s="1170"/>
      <c r="Z8" s="1172"/>
      <c r="AA8" s="213" t="s">
        <v>92</v>
      </c>
      <c r="AB8" s="214" t="s">
        <v>155</v>
      </c>
      <c r="AC8" s="215" t="s">
        <v>118</v>
      </c>
      <c r="AD8" s="215" t="s">
        <v>156</v>
      </c>
      <c r="AE8" s="215" t="s">
        <v>119</v>
      </c>
      <c r="AF8" s="215" t="s">
        <v>157</v>
      </c>
      <c r="AG8" s="215" t="s">
        <v>120</v>
      </c>
      <c r="AH8" s="215" t="s">
        <v>158</v>
      </c>
      <c r="AI8" s="215" t="s">
        <v>121</v>
      </c>
      <c r="AJ8" s="215" t="s">
        <v>159</v>
      </c>
      <c r="AK8" s="215" t="s">
        <v>122</v>
      </c>
      <c r="AL8" s="215" t="s">
        <v>160</v>
      </c>
      <c r="AM8" s="269" t="s">
        <v>151</v>
      </c>
      <c r="AN8" s="216" t="s">
        <v>152</v>
      </c>
      <c r="AO8" s="216" t="s">
        <v>172</v>
      </c>
      <c r="AP8" s="1174"/>
      <c r="AQ8" s="403"/>
      <c r="AR8" s="404" t="s">
        <v>203</v>
      </c>
      <c r="AS8" s="274" t="s">
        <v>118</v>
      </c>
      <c r="AT8" s="275" t="s">
        <v>144</v>
      </c>
      <c r="AU8" s="276" t="s">
        <v>119</v>
      </c>
      <c r="AV8" s="275" t="s">
        <v>145</v>
      </c>
      <c r="AW8" s="276" t="s">
        <v>120</v>
      </c>
      <c r="AX8" s="275" t="s">
        <v>146</v>
      </c>
      <c r="AY8" s="276" t="s">
        <v>121</v>
      </c>
      <c r="AZ8" s="275" t="s">
        <v>147</v>
      </c>
      <c r="BA8" s="276" t="s">
        <v>122</v>
      </c>
      <c r="BB8" s="285" t="s">
        <v>148</v>
      </c>
      <c r="BC8" s="303" t="s">
        <v>8</v>
      </c>
      <c r="BD8" s="287" t="s">
        <v>150</v>
      </c>
      <c r="BE8" s="270" t="s">
        <v>174</v>
      </c>
      <c r="BF8" s="273" t="s">
        <v>173</v>
      </c>
      <c r="BG8" s="288" t="s">
        <v>118</v>
      </c>
      <c r="BH8" s="282" t="s">
        <v>156</v>
      </c>
      <c r="BI8" s="282" t="s">
        <v>119</v>
      </c>
      <c r="BJ8" s="282" t="s">
        <v>157</v>
      </c>
      <c r="BK8" s="282" t="s">
        <v>120</v>
      </c>
      <c r="BL8" s="282" t="s">
        <v>158</v>
      </c>
      <c r="BM8" s="282" t="s">
        <v>121</v>
      </c>
      <c r="BN8" s="282" t="s">
        <v>159</v>
      </c>
      <c r="BO8" s="282" t="s">
        <v>122</v>
      </c>
      <c r="BP8" s="282" t="s">
        <v>160</v>
      </c>
      <c r="BQ8" s="303" t="s">
        <v>8</v>
      </c>
      <c r="BR8" s="305" t="s">
        <v>151</v>
      </c>
      <c r="BS8" s="289" t="s">
        <v>155</v>
      </c>
      <c r="BT8" s="307" t="s">
        <v>177</v>
      </c>
    </row>
    <row r="9" spans="1:72" x14ac:dyDescent="0.35">
      <c r="A9" s="165">
        <v>125</v>
      </c>
      <c r="B9" s="165">
        <v>7019</v>
      </c>
      <c r="C9" s="166" t="s">
        <v>12</v>
      </c>
      <c r="D9" s="174">
        <v>54</v>
      </c>
      <c r="E9" s="174">
        <v>36</v>
      </c>
      <c r="F9" s="175">
        <f t="shared" ref="F9:F20" si="0">SUM(D9:E9)</f>
        <v>90</v>
      </c>
      <c r="G9" s="217">
        <f>ROUND((X9/$F9*D9)-D9,0)</f>
        <v>14</v>
      </c>
      <c r="H9" s="217">
        <f>ROUND((X9/$F9*E9)-E9,0)</f>
        <v>10</v>
      </c>
      <c r="I9" s="217">
        <v>62.8125</v>
      </c>
      <c r="J9" s="217">
        <v>31.874999999999996</v>
      </c>
      <c r="K9" s="217">
        <v>10.3125</v>
      </c>
      <c r="L9" s="217">
        <f>Rates!W10</f>
        <v>220</v>
      </c>
      <c r="M9" s="218">
        <f>Rates!H10</f>
        <v>44</v>
      </c>
      <c r="N9" s="218">
        <f>Rates!I10</f>
        <v>0</v>
      </c>
      <c r="O9" s="218">
        <f>Rates!J10</f>
        <v>81</v>
      </c>
      <c r="P9" s="218">
        <f>Rates!K10</f>
        <v>0</v>
      </c>
      <c r="Q9" s="218">
        <f>Rates!L10</f>
        <v>0</v>
      </c>
      <c r="R9" s="218">
        <f>Rates!M10</f>
        <v>0</v>
      </c>
      <c r="S9" s="218">
        <f>Rates!N10</f>
        <v>51</v>
      </c>
      <c r="T9" s="218">
        <f>Rates!O10</f>
        <v>0</v>
      </c>
      <c r="U9" s="218">
        <f>Rates!P10</f>
        <v>5</v>
      </c>
      <c r="V9" s="218">
        <f>Rates!Q10</f>
        <v>0</v>
      </c>
      <c r="W9" s="218">
        <f>Rates!S10</f>
        <v>0</v>
      </c>
      <c r="X9" s="219">
        <v>114</v>
      </c>
      <c r="Y9" s="220">
        <v>1812939.39375</v>
      </c>
      <c r="Z9" s="221">
        <f>677688+1120000</f>
        <v>1797688</v>
      </c>
      <c r="AA9" s="222">
        <v>1.1295999999999999</v>
      </c>
      <c r="AB9" s="204">
        <f>((L9*$AB$7)/12*5)+((X9*$AB$7)/12*7)</f>
        <v>1581666.6666666667</v>
      </c>
      <c r="AC9" s="223">
        <f>((M9*$AC$5)+(M9*W9))*AA9</f>
        <v>78231.57759999999</v>
      </c>
      <c r="AD9" s="205">
        <f>((N9*($AD$5)+(N9*(W9/2))*AA9))</f>
        <v>0</v>
      </c>
      <c r="AE9" s="223">
        <f>((O9*$AE$5)+(O9*W9))*AA9</f>
        <v>540110.33279999997</v>
      </c>
      <c r="AF9" s="223">
        <f>((P9*($AF$5)+(P9*(W9/2)))*AA9)</f>
        <v>0</v>
      </c>
      <c r="AG9" s="223">
        <f>((Q9*$AG$5)+(Q9*W9))*AA9</f>
        <v>0</v>
      </c>
      <c r="AH9" s="223">
        <f>((R9*($AH$5)+(R9*(W9/2)))*AA9)</f>
        <v>0</v>
      </c>
      <c r="AI9" s="223">
        <f>((S9*$AI$5)+(S9*W9))*AA9</f>
        <v>604497.53279999993</v>
      </c>
      <c r="AJ9" s="223">
        <f>((T9*($AJ$5)+(T9*(W9/2)))*AA9)</f>
        <v>0</v>
      </c>
      <c r="AK9" s="223">
        <f>((U9*$AK$5)+(U9*W9))*AA9</f>
        <v>103714.22399999999</v>
      </c>
      <c r="AL9" s="223">
        <f>((V9*$AL$5)+(V9*(W9/2)))*AA9</f>
        <v>0</v>
      </c>
      <c r="AM9" s="223">
        <f>SUM(AC9:AL9)</f>
        <v>1326553.6671999998</v>
      </c>
      <c r="AN9" s="224">
        <f>AB9+AM9</f>
        <v>2908220.3338666665</v>
      </c>
      <c r="AO9" s="224">
        <v>619127</v>
      </c>
      <c r="AP9" s="181">
        <f>AB9+AO9</f>
        <v>2200793.666666667</v>
      </c>
      <c r="AQ9" s="405">
        <f>'[1]MFG Calc -revised rates'!$E$23</f>
        <v>109.62112548631362</v>
      </c>
      <c r="AR9" s="277">
        <f>'[1]MFG Calc -revised rates'!$D$23</f>
        <v>619127.28909413703</v>
      </c>
      <c r="AS9" s="322">
        <f>Rates!H10</f>
        <v>44</v>
      </c>
      <c r="AT9" s="322">
        <f>Rates!I10</f>
        <v>0</v>
      </c>
      <c r="AU9" s="322">
        <f>Rates!J10</f>
        <v>81</v>
      </c>
      <c r="AV9" s="322">
        <f>Rates!K10</f>
        <v>0</v>
      </c>
      <c r="AW9" s="322">
        <f>Rates!L10</f>
        <v>0</v>
      </c>
      <c r="AX9" s="322">
        <f>Rates!M10</f>
        <v>0</v>
      </c>
      <c r="AY9" s="322">
        <f>Rates!N10</f>
        <v>51</v>
      </c>
      <c r="AZ9" s="322">
        <f>Rates!O10</f>
        <v>0</v>
      </c>
      <c r="BA9" s="322">
        <f>Rates!P10</f>
        <v>5</v>
      </c>
      <c r="BB9" s="322">
        <f>Rates!Q10</f>
        <v>0</v>
      </c>
      <c r="BC9" s="277"/>
      <c r="BD9" s="271">
        <f t="shared" ref="BD9:BD20" si="1">W9</f>
        <v>0</v>
      </c>
      <c r="BE9" s="169">
        <f>Rates!F10</f>
        <v>220</v>
      </c>
      <c r="BF9" s="300">
        <f>Rates!V10</f>
        <v>1.0168999999999999</v>
      </c>
      <c r="BG9" s="290">
        <f>((AS9*BG5)+(AS9*$BD$9))*$BF$9</f>
        <v>94677.457599999994</v>
      </c>
      <c r="BH9" s="291">
        <f>((AT9*BH5)+(AT9*($BD$9/2)))*$BF$9</f>
        <v>0</v>
      </c>
      <c r="BI9" s="291">
        <f>((AU9*BI5)+(AU9*$BD$9))*$BF$9</f>
        <v>653844.32819999999</v>
      </c>
      <c r="BJ9" s="291">
        <f>((AV9*BJ5)+(AV9*($BD$9/2)))*$BF$9</f>
        <v>0</v>
      </c>
      <c r="BK9" s="291">
        <f>((AW9*BK5)+(AW9*$BD$9))*$BF$9</f>
        <v>0</v>
      </c>
      <c r="BL9" s="291">
        <f>((AX9*BL5)+(AX9*($BD$9/2)))*$BF$9</f>
        <v>0</v>
      </c>
      <c r="BM9" s="291">
        <f>((AY9*BM5)+(AY9*$BD$9))*$BF$9</f>
        <v>731771.40899999999</v>
      </c>
      <c r="BN9" s="291">
        <f>((AZ9*BN5)+(AZ9*($BD$9/2)))*$BF$9</f>
        <v>0</v>
      </c>
      <c r="BO9" s="291">
        <f>((BA9*BO5)+(BA9*$BD$9))*$BF$9</f>
        <v>126924.37349999999</v>
      </c>
      <c r="BP9" s="291">
        <f>((BB9*BP5)+(BB9*($BD$9/2)))*$BF$9</f>
        <v>0</v>
      </c>
      <c r="BQ9" s="291"/>
      <c r="BR9" s="291">
        <f>SUM(BG9:BQ9)</f>
        <v>1607217.5682999999</v>
      </c>
      <c r="BS9" s="292">
        <f>ROUND(((X9*$BS$7)/12*5)+((BE9*$BS$7)/12*7),0)</f>
        <v>1758333</v>
      </c>
      <c r="BT9" s="308">
        <f>SUM(BR9:BS9)</f>
        <v>3365550.5682999999</v>
      </c>
    </row>
    <row r="10" spans="1:72" s="186" customFormat="1" ht="18.5" x14ac:dyDescent="0.35">
      <c r="A10" s="183">
        <v>126</v>
      </c>
      <c r="B10" s="183">
        <v>7008</v>
      </c>
      <c r="C10" s="75" t="s">
        <v>13</v>
      </c>
      <c r="D10" s="184">
        <v>19</v>
      </c>
      <c r="E10" s="184">
        <v>25</v>
      </c>
      <c r="F10" s="185">
        <f t="shared" si="0"/>
        <v>44</v>
      </c>
      <c r="G10" s="225">
        <f t="shared" ref="G10:G20" si="2">ROUND((X10/$F10*D10)-D10,0)</f>
        <v>-2</v>
      </c>
      <c r="H10" s="225">
        <f t="shared" ref="H10:H20" si="3">ROUND((X10/$F10*E10)-E10,0)</f>
        <v>-2</v>
      </c>
      <c r="I10" s="225">
        <v>16.40909090909091</v>
      </c>
      <c r="J10" s="225">
        <v>18.136363636363637</v>
      </c>
      <c r="K10" s="225">
        <v>3.4545454545454546</v>
      </c>
      <c r="L10" s="225">
        <f>Rates!W11</f>
        <v>65</v>
      </c>
      <c r="M10" s="226">
        <f>Rates!H11</f>
        <v>2</v>
      </c>
      <c r="N10" s="226">
        <f>Rates!I11</f>
        <v>0</v>
      </c>
      <c r="O10" s="226">
        <f>Rates!J11</f>
        <v>6</v>
      </c>
      <c r="P10" s="226">
        <f>Rates!K11</f>
        <v>0</v>
      </c>
      <c r="Q10" s="226">
        <f>Rates!L11</f>
        <v>0</v>
      </c>
      <c r="R10" s="226">
        <f>Rates!M11</f>
        <v>0</v>
      </c>
      <c r="S10" s="226">
        <f>Rates!N11</f>
        <v>42</v>
      </c>
      <c r="T10" s="226">
        <f>Rates!O11</f>
        <v>0</v>
      </c>
      <c r="U10" s="226">
        <f>Rates!P11</f>
        <v>9</v>
      </c>
      <c r="V10" s="226">
        <f>Rates!Q11</f>
        <v>0</v>
      </c>
      <c r="W10" s="226">
        <f>Rates!S11</f>
        <v>0</v>
      </c>
      <c r="X10" s="219">
        <v>40</v>
      </c>
      <c r="Y10" s="227">
        <v>821865.80136363639</v>
      </c>
      <c r="Z10" s="228">
        <f>380899+440000</f>
        <v>820899</v>
      </c>
      <c r="AA10" s="229">
        <v>1.1589</v>
      </c>
      <c r="AB10" s="230">
        <f t="shared" ref="AB10:AB22" si="4">((L10*$AB$7)/12*5)+((X10*$AB$7)/12*7)</f>
        <v>504166.66666666663</v>
      </c>
      <c r="AC10" s="231">
        <f>((M10*$AC$6)+(M10*W10))*AA10</f>
        <v>4195.2179999999998</v>
      </c>
      <c r="AD10" s="231">
        <f>((N10*($AD$6)+(N10*(W10/2))*AA10))</f>
        <v>0</v>
      </c>
      <c r="AE10" s="231">
        <f>((O10*$AE$6)+(O10*W10))*AA10</f>
        <v>47199.679199999999</v>
      </c>
      <c r="AF10" s="231">
        <f>((P10*($AF$6)+(P10*(W10/2)*AA10)))</f>
        <v>0</v>
      </c>
      <c r="AG10" s="231">
        <f>((Q10*$AG$6)+(Q10*W10))*AA10</f>
        <v>0</v>
      </c>
      <c r="AH10" s="231">
        <f>((R10*($AH$6)+(R10*(W10/2))*AA10))</f>
        <v>0</v>
      </c>
      <c r="AI10" s="231">
        <f>((S10*$AI$6)+(S10*W10))*AA10</f>
        <v>587346.74459999998</v>
      </c>
      <c r="AJ10" s="231">
        <f>((T10*($AJ$6)+(T10*(W10/2))*AA10))</f>
        <v>0</v>
      </c>
      <c r="AK10" s="231">
        <f>((U10*$AK$6)+(U10*W10))*AA10</f>
        <v>220252.42170000001</v>
      </c>
      <c r="AL10" s="231">
        <f>((V10*$AL$6)+(V10*(W10/2))*AA10)</f>
        <v>0</v>
      </c>
      <c r="AM10" s="231">
        <f t="shared" ref="AM10:AM22" si="5">SUM(AC10:AL10)</f>
        <v>858994.06349999993</v>
      </c>
      <c r="AN10" s="232">
        <f t="shared" ref="AN10:AN22" si="6">AB10+AM10</f>
        <v>1363160.7301666667</v>
      </c>
      <c r="AO10" s="232">
        <v>345626</v>
      </c>
      <c r="AP10" s="268">
        <f t="shared" ref="AP10:AP22" si="7">AB10+AO10</f>
        <v>849792.66666666663</v>
      </c>
      <c r="AQ10" s="405">
        <f>'[1]MFG Calc -revised rates'!$G$23</f>
        <v>40.891771233661295</v>
      </c>
      <c r="AR10" s="278">
        <f>'[1]MFG Calc -revised rates'!$F$23</f>
        <v>345626.48988078081</v>
      </c>
      <c r="AS10" s="323">
        <f>Rates!H11</f>
        <v>2</v>
      </c>
      <c r="AT10" s="323">
        <f>Rates!I11</f>
        <v>0</v>
      </c>
      <c r="AU10" s="323">
        <f>Rates!J11</f>
        <v>6</v>
      </c>
      <c r="AV10" s="323">
        <f>Rates!K11</f>
        <v>0</v>
      </c>
      <c r="AW10" s="323">
        <f>Rates!L11</f>
        <v>0</v>
      </c>
      <c r="AX10" s="323">
        <f>Rates!M11</f>
        <v>0</v>
      </c>
      <c r="AY10" s="323">
        <f>Rates!N11</f>
        <v>42</v>
      </c>
      <c r="AZ10" s="323">
        <f>Rates!O11</f>
        <v>0</v>
      </c>
      <c r="BA10" s="323">
        <f>Rates!P11</f>
        <v>9</v>
      </c>
      <c r="BB10" s="323">
        <f>Rates!Q11</f>
        <v>0</v>
      </c>
      <c r="BC10" s="278"/>
      <c r="BD10" s="313">
        <f t="shared" si="1"/>
        <v>0</v>
      </c>
      <c r="BE10" s="186">
        <f>Rates!F11</f>
        <v>65</v>
      </c>
      <c r="BF10" s="314">
        <f>Rates!V11</f>
        <v>0</v>
      </c>
      <c r="BG10" s="293">
        <f>((AS10*BG6)+(AS10*$BD$10))*$BF$10</f>
        <v>0</v>
      </c>
      <c r="BH10" s="294">
        <f>((AT10*BH6)+(AT10*($BD$10/2)))*$BF$10</f>
        <v>0</v>
      </c>
      <c r="BI10" s="294">
        <f>((AU10*BI6)+(AU10*$BD$10))*$BF$10</f>
        <v>0</v>
      </c>
      <c r="BJ10" s="294">
        <f>((AV10*BJ6)+(AV10*($BD$10/2)))*$BF$10</f>
        <v>0</v>
      </c>
      <c r="BK10" s="294">
        <f>((AW10*BK6)+(AW10*$BD$10))*$BF$10</f>
        <v>0</v>
      </c>
      <c r="BL10" s="294">
        <f>((AX10*BL6)+(AX10*($BD$10/2)))*$BF$10</f>
        <v>0</v>
      </c>
      <c r="BM10" s="294">
        <f>((AY10*BM6)+(AY10*$BD$10))*$BF$10</f>
        <v>0</v>
      </c>
      <c r="BN10" s="294">
        <f>((AZ10*BN6)+(AZ10*($BD$10/2)))*$BF$10</f>
        <v>0</v>
      </c>
      <c r="BO10" s="294">
        <f>((BA10*BO6)+(BA10*$BD$10))*$BF$10</f>
        <v>0</v>
      </c>
      <c r="BP10" s="294">
        <f>((BB10*BP6)+(BB10*($BD$10/2)))*$BF$10</f>
        <v>0</v>
      </c>
      <c r="BQ10" s="294"/>
      <c r="BR10" s="294">
        <f t="shared" ref="BR10:BR22" si="8">SUM(BG10:BQ10)</f>
        <v>0</v>
      </c>
      <c r="BS10" s="310">
        <f t="shared" ref="BS10:BS23" si="9">ROUND(((X10*$BS$7)/12*5)+((BE10*$BS$7)/12*7),0)</f>
        <v>545833</v>
      </c>
      <c r="BT10" s="311">
        <f t="shared" ref="BT10:BT23" si="10">SUM(BR10:BS10)</f>
        <v>545833</v>
      </c>
    </row>
    <row r="11" spans="1:72" x14ac:dyDescent="0.35">
      <c r="A11" s="165">
        <v>127</v>
      </c>
      <c r="B11" s="165">
        <v>7015</v>
      </c>
      <c r="C11" s="166" t="s">
        <v>14</v>
      </c>
      <c r="D11" s="174">
        <v>42</v>
      </c>
      <c r="E11" s="174">
        <v>76</v>
      </c>
      <c r="F11" s="175">
        <f t="shared" si="0"/>
        <v>118</v>
      </c>
      <c r="G11" s="217">
        <f t="shared" si="2"/>
        <v>0</v>
      </c>
      <c r="H11" s="217">
        <f t="shared" si="3"/>
        <v>0</v>
      </c>
      <c r="I11" s="217">
        <v>41.590163934426229</v>
      </c>
      <c r="J11" s="217">
        <v>64.8032786885246</v>
      </c>
      <c r="K11" s="217">
        <v>11.60655737704918</v>
      </c>
      <c r="L11" s="217">
        <f>Rates!W12</f>
        <v>148</v>
      </c>
      <c r="M11" s="218">
        <f>Rates!H12</f>
        <v>5</v>
      </c>
      <c r="N11" s="218">
        <f>Rates!I12</f>
        <v>0</v>
      </c>
      <c r="O11" s="218">
        <f>Rates!J12</f>
        <v>32</v>
      </c>
      <c r="P11" s="218">
        <f>Rates!K12</f>
        <v>0</v>
      </c>
      <c r="Q11" s="218">
        <f>Rates!L12</f>
        <v>0</v>
      </c>
      <c r="R11" s="218">
        <f>Rates!M12</f>
        <v>0</v>
      </c>
      <c r="S11" s="218">
        <f>Rates!N12</f>
        <v>111</v>
      </c>
      <c r="T11" s="218">
        <f>Rates!O12</f>
        <v>0</v>
      </c>
      <c r="U11" s="218">
        <f>Rates!P12</f>
        <v>14</v>
      </c>
      <c r="V11" s="218">
        <f>Rates!Q12</f>
        <v>0</v>
      </c>
      <c r="W11" s="218">
        <f>Rates!S12</f>
        <v>0</v>
      </c>
      <c r="X11" s="219">
        <v>118</v>
      </c>
      <c r="Y11" s="220">
        <v>2285978.8921311474</v>
      </c>
      <c r="Z11" s="221">
        <f>1071115+1220000</f>
        <v>2291115</v>
      </c>
      <c r="AA11" s="222">
        <v>1.032</v>
      </c>
      <c r="AB11" s="204">
        <f t="shared" si="4"/>
        <v>1305000</v>
      </c>
      <c r="AC11" s="223">
        <f>((M11*$AC$5)+(M11*W11))*AA11</f>
        <v>8121.84</v>
      </c>
      <c r="AD11" s="205">
        <f>((N11*($AD$5)+(N11*(W11/2))*AA11))</f>
        <v>0</v>
      </c>
      <c r="AE11" s="223">
        <f>((O11*$AE$5)+(O11*W11))*AA11</f>
        <v>194940.67199999999</v>
      </c>
      <c r="AF11" s="223">
        <f>((P11*($AF$5)+(P11*(W11/2)))*AA11)</f>
        <v>0</v>
      </c>
      <c r="AG11" s="223">
        <f>((Q11*$AG$5)+(Q11*W11))*AA11</f>
        <v>0</v>
      </c>
      <c r="AH11" s="223">
        <f>((R11*($AH$5)+(R11*(W11/2)))*AA11)</f>
        <v>0</v>
      </c>
      <c r="AI11" s="223">
        <f>((S11*$AI$5)+(S11*W11))*AA11</f>
        <v>1201994.1359999999</v>
      </c>
      <c r="AJ11" s="223">
        <f>((T11*($AJ$5)+(T11*(W11/2)))*AA11)</f>
        <v>0</v>
      </c>
      <c r="AK11" s="223">
        <f>((U11*$AK$5)+(U11*W11))*AA11</f>
        <v>265308.62400000001</v>
      </c>
      <c r="AL11" s="223">
        <f>((V11*$AL$5)+(V11*(W11/2)))*AA11</f>
        <v>0</v>
      </c>
      <c r="AM11" s="223">
        <f t="shared" si="5"/>
        <v>1670365.2720000001</v>
      </c>
      <c r="AN11" s="224">
        <f t="shared" si="6"/>
        <v>2975365.2719999999</v>
      </c>
      <c r="AO11" s="224">
        <v>1026693</v>
      </c>
      <c r="AP11" s="181">
        <f t="shared" si="7"/>
        <v>2331693</v>
      </c>
      <c r="AQ11" s="405">
        <f>'[1]MFG Calc -revised rates'!$I$23</f>
        <v>122.52830392907259</v>
      </c>
      <c r="AR11" s="277">
        <f>'[1]MFG Calc -revised rates'!$H$23</f>
        <v>1026693.3004931507</v>
      </c>
      <c r="AS11" s="322">
        <f>Rates!H12</f>
        <v>5</v>
      </c>
      <c r="AT11" s="322">
        <f>Rates!I12</f>
        <v>0</v>
      </c>
      <c r="AU11" s="322">
        <f>Rates!J12</f>
        <v>32</v>
      </c>
      <c r="AV11" s="322">
        <f>Rates!K12</f>
        <v>0</v>
      </c>
      <c r="AW11" s="322">
        <f>Rates!L12</f>
        <v>0</v>
      </c>
      <c r="AX11" s="322">
        <f>Rates!M12</f>
        <v>0</v>
      </c>
      <c r="AY11" s="322">
        <f>Rates!N12</f>
        <v>111</v>
      </c>
      <c r="AZ11" s="322">
        <f>Rates!O12</f>
        <v>0</v>
      </c>
      <c r="BA11" s="322">
        <f>Rates!P12</f>
        <v>14</v>
      </c>
      <c r="BB11" s="322">
        <f>Rates!Q12</f>
        <v>0</v>
      </c>
      <c r="BC11" s="277"/>
      <c r="BD11" s="271">
        <f t="shared" si="1"/>
        <v>0</v>
      </c>
      <c r="BE11" s="169">
        <f>Rates!F12</f>
        <v>148</v>
      </c>
      <c r="BF11" s="300">
        <f>Rates!V12</f>
        <v>0</v>
      </c>
      <c r="BG11" s="290">
        <f>((AS11*BG5)+(AS11*$BD$11))*$BF$11</f>
        <v>0</v>
      </c>
      <c r="BH11" s="291">
        <f>((AT11*BH5)+(AT11*($BD$11/2)))*$BF$11</f>
        <v>0</v>
      </c>
      <c r="BI11" s="291">
        <f>((AU11*BI5)+(AU11*$BD$11))*$BF$11</f>
        <v>0</v>
      </c>
      <c r="BJ11" s="291">
        <f>((AV11*BJ5)+(AV11*($BD$11/2)))*$BF$11</f>
        <v>0</v>
      </c>
      <c r="BK11" s="291">
        <f>((AW11*BK5)+(AW11*$BD$11))*$BF$11</f>
        <v>0</v>
      </c>
      <c r="BL11" s="291">
        <f>((AX11*BL5)+(AX11*($BD$11/2)))*$BF$11</f>
        <v>0</v>
      </c>
      <c r="BM11" s="291">
        <f>((AY11*BM5)+(AY11*$BD$11))*$BF$11</f>
        <v>0</v>
      </c>
      <c r="BN11" s="291">
        <f>((AZ11*BN5)+(AZ11*($BD$11/2)))*$BF$11</f>
        <v>0</v>
      </c>
      <c r="BO11" s="291">
        <f>((BA11*BO5)+(BA11*$BD$11))*$BF$11</f>
        <v>0</v>
      </c>
      <c r="BP11" s="291">
        <f>((BB11*BP5)+(BB11*($BD$11/2)))*$BF$11</f>
        <v>0</v>
      </c>
      <c r="BQ11" s="291"/>
      <c r="BR11" s="291">
        <f t="shared" si="8"/>
        <v>0</v>
      </c>
      <c r="BS11" s="292">
        <f t="shared" si="9"/>
        <v>1355000</v>
      </c>
      <c r="BT11" s="308">
        <f t="shared" si="10"/>
        <v>1355000</v>
      </c>
    </row>
    <row r="12" spans="1:72" s="186" customFormat="1" ht="18.5" x14ac:dyDescent="0.35">
      <c r="A12" s="183">
        <v>130</v>
      </c>
      <c r="B12" s="183">
        <v>7011</v>
      </c>
      <c r="C12" s="75" t="s">
        <v>15</v>
      </c>
      <c r="D12" s="184">
        <v>27</v>
      </c>
      <c r="E12" s="184">
        <v>28</v>
      </c>
      <c r="F12" s="185">
        <f t="shared" si="0"/>
        <v>55</v>
      </c>
      <c r="G12" s="225">
        <f t="shared" si="2"/>
        <v>-7</v>
      </c>
      <c r="H12" s="225">
        <f t="shared" si="3"/>
        <v>-8</v>
      </c>
      <c r="I12" s="225">
        <v>5.8909090909090907</v>
      </c>
      <c r="J12" s="225">
        <v>4.8000000000000007</v>
      </c>
      <c r="K12" s="225">
        <v>1.3090909090909091</v>
      </c>
      <c r="L12" s="225">
        <f>Rates!W13</f>
        <v>60</v>
      </c>
      <c r="M12" s="226">
        <f>Rates!H13</f>
        <v>11</v>
      </c>
      <c r="N12" s="226">
        <f>Rates!I13</f>
        <v>0</v>
      </c>
      <c r="O12" s="226">
        <f>Rates!J13</f>
        <v>21</v>
      </c>
      <c r="P12" s="226">
        <f>Rates!K13</f>
        <v>0</v>
      </c>
      <c r="Q12" s="226">
        <f>Rates!L13</f>
        <v>0</v>
      </c>
      <c r="R12" s="226">
        <f>Rates!M13</f>
        <v>0</v>
      </c>
      <c r="S12" s="226">
        <f>Rates!N13</f>
        <v>19</v>
      </c>
      <c r="T12" s="226">
        <f>Rates!O13</f>
        <v>0</v>
      </c>
      <c r="U12" s="226">
        <f>Rates!P13</f>
        <v>4</v>
      </c>
      <c r="V12" s="226">
        <f>Rates!Q13</f>
        <v>0</v>
      </c>
      <c r="W12" s="226">
        <f>Rates!S13</f>
        <v>0</v>
      </c>
      <c r="X12" s="219">
        <v>40</v>
      </c>
      <c r="Y12" s="227">
        <v>786514.67999999993</v>
      </c>
      <c r="Z12" s="228">
        <f>300381+550000</f>
        <v>850381</v>
      </c>
      <c r="AA12" s="229">
        <v>1.0342</v>
      </c>
      <c r="AB12" s="230">
        <f t="shared" si="4"/>
        <v>483333.33333333337</v>
      </c>
      <c r="AC12" s="231">
        <f>((M12*$AC$6)+(M12*W12))*AA12</f>
        <v>20590.921999999999</v>
      </c>
      <c r="AD12" s="231">
        <f t="shared" ref="AD12:AD13" si="11">((N12*($AD$6)+(N12*(W12/2))*AA12))</f>
        <v>0</v>
      </c>
      <c r="AE12" s="231">
        <f>((O12*$AE$6)+(O12*W12))*AA12</f>
        <v>147423.1416</v>
      </c>
      <c r="AF12" s="231">
        <f t="shared" ref="AF12:AF13" si="12">((P12*($AF$6)+(P12*(W12/2)*AA12)))</f>
        <v>0</v>
      </c>
      <c r="AG12" s="231">
        <f>((Q12*$AG$6)+(Q12*W12))*AA12</f>
        <v>0</v>
      </c>
      <c r="AH12" s="231">
        <f t="shared" ref="AH12:AH13" si="13">((R12*($AH$6)+(R12*(W12/2))*AA12))</f>
        <v>0</v>
      </c>
      <c r="AI12" s="231">
        <f>((S12*$AI$6)+(S12*W12))*AA12</f>
        <v>237114.1366</v>
      </c>
      <c r="AJ12" s="231">
        <f t="shared" ref="AJ12:AJ13" si="14">((T12*($AJ$6)+(T12*(W12/2))*AA12))</f>
        <v>0</v>
      </c>
      <c r="AK12" s="231">
        <f>((U12*$AK$6)+(U12*W12))*AA12</f>
        <v>87356.805600000007</v>
      </c>
      <c r="AL12" s="231">
        <f t="shared" ref="AL12:AL13" si="15">((V12*$AL$6)+(V12*(W12/2))*AA12)</f>
        <v>0</v>
      </c>
      <c r="AM12" s="231">
        <f t="shared" si="5"/>
        <v>492485.00579999998</v>
      </c>
      <c r="AN12" s="232">
        <f t="shared" si="6"/>
        <v>975818.33913333341</v>
      </c>
      <c r="AO12" s="232">
        <v>181669</v>
      </c>
      <c r="AP12" s="268">
        <f t="shared" si="7"/>
        <v>665002.33333333337</v>
      </c>
      <c r="AQ12" s="405">
        <f>'[1]MFG Calc -revised rates'!$K$23</f>
        <v>26.683532489037496</v>
      </c>
      <c r="AR12" s="278">
        <f>'[1]MFG Calc -revised rates'!$J$23</f>
        <v>181669.21538630137</v>
      </c>
      <c r="AS12" s="323">
        <f>Rates!H13</f>
        <v>11</v>
      </c>
      <c r="AT12" s="323">
        <f>Rates!I13</f>
        <v>0</v>
      </c>
      <c r="AU12" s="323">
        <f>Rates!J13</f>
        <v>21</v>
      </c>
      <c r="AV12" s="323">
        <f>Rates!K13</f>
        <v>0</v>
      </c>
      <c r="AW12" s="323">
        <f>Rates!L13</f>
        <v>0</v>
      </c>
      <c r="AX12" s="323">
        <f>Rates!M13</f>
        <v>0</v>
      </c>
      <c r="AY12" s="323">
        <f>Rates!N13</f>
        <v>19</v>
      </c>
      <c r="AZ12" s="323">
        <f>Rates!O13</f>
        <v>0</v>
      </c>
      <c r="BA12" s="323">
        <f>Rates!P13</f>
        <v>4</v>
      </c>
      <c r="BB12" s="323">
        <f>Rates!Q13</f>
        <v>0</v>
      </c>
      <c r="BC12" s="278"/>
      <c r="BD12" s="313">
        <f t="shared" si="1"/>
        <v>0</v>
      </c>
      <c r="BE12" s="186">
        <f>Rates!F13</f>
        <v>60</v>
      </c>
      <c r="BF12" s="314">
        <f>Rates!V13</f>
        <v>1.3181</v>
      </c>
      <c r="BG12" s="293">
        <f>((AS12*BG6)+(AS12*$BD$12))*$BF$12</f>
        <v>30680.095600000001</v>
      </c>
      <c r="BH12" s="294">
        <f>((AT12*BH6)+(AT12*($BD$12/2)))*$BF$12</f>
        <v>0</v>
      </c>
      <c r="BI12" s="294">
        <f>((AU12*BI6)+(AU12*$BD$12))*$BF$12</f>
        <v>219724.63380000001</v>
      </c>
      <c r="BJ12" s="294">
        <f>((AV12*BJ6)+(AV12*($BD$12/2)))*$BF$12</f>
        <v>0</v>
      </c>
      <c r="BK12" s="294">
        <f>((AW12*BK6)+(AW12*$BD$12))*$BF$12</f>
        <v>0</v>
      </c>
      <c r="BL12" s="294">
        <f>((AX12*BL6)+(AX12*($BD$12/2)))*$BF$12</f>
        <v>0</v>
      </c>
      <c r="BM12" s="294">
        <f>((AY12*BM6)+(AY12*$BD$12))*$BF$12</f>
        <v>353369.429</v>
      </c>
      <c r="BN12" s="294">
        <f>((AZ12*BN6)+(AZ12*($BD$12/2)))*$BF$12</f>
        <v>0</v>
      </c>
      <c r="BO12" s="294">
        <f>((BA12*BO6)+(BA12*$BD$12))*$BF$12</f>
        <v>131614.92120000001</v>
      </c>
      <c r="BP12" s="294">
        <f>((BB12*BP6)+(BB12*($BD$12/2)))*$BF$12</f>
        <v>0</v>
      </c>
      <c r="BQ12" s="294"/>
      <c r="BR12" s="294">
        <f t="shared" si="8"/>
        <v>735389.07960000006</v>
      </c>
      <c r="BS12" s="310">
        <f t="shared" si="9"/>
        <v>516667</v>
      </c>
      <c r="BT12" s="311">
        <f t="shared" si="10"/>
        <v>1252056.0796000001</v>
      </c>
    </row>
    <row r="13" spans="1:72" s="186" customFormat="1" ht="18.5" x14ac:dyDescent="0.35">
      <c r="A13" s="183">
        <v>132</v>
      </c>
      <c r="B13" s="183">
        <v>7005</v>
      </c>
      <c r="C13" s="76" t="s">
        <v>16</v>
      </c>
      <c r="D13" s="184">
        <v>28</v>
      </c>
      <c r="E13" s="184">
        <v>32</v>
      </c>
      <c r="F13" s="185">
        <f t="shared" si="0"/>
        <v>60</v>
      </c>
      <c r="G13" s="225">
        <f t="shared" si="2"/>
        <v>-12</v>
      </c>
      <c r="H13" s="225">
        <f t="shared" si="3"/>
        <v>-13</v>
      </c>
      <c r="I13" s="225"/>
      <c r="J13" s="225"/>
      <c r="K13" s="225"/>
      <c r="L13" s="225">
        <f>Rates!W14</f>
        <v>0</v>
      </c>
      <c r="M13" s="226">
        <f>Rates!H14</f>
        <v>0</v>
      </c>
      <c r="N13" s="226">
        <f>Rates!I14</f>
        <v>0</v>
      </c>
      <c r="O13" s="226">
        <f>Rates!J14</f>
        <v>0</v>
      </c>
      <c r="P13" s="226">
        <f>Rates!K14</f>
        <v>0</v>
      </c>
      <c r="Q13" s="226">
        <f>Rates!L14</f>
        <v>0</v>
      </c>
      <c r="R13" s="226">
        <f>Rates!M14</f>
        <v>0</v>
      </c>
      <c r="S13" s="226">
        <f>Rates!N14</f>
        <v>0</v>
      </c>
      <c r="T13" s="226">
        <f>Rates!O14</f>
        <v>0</v>
      </c>
      <c r="U13" s="226">
        <f>Rates!P14</f>
        <v>0</v>
      </c>
      <c r="V13" s="226">
        <f>Rates!Q14</f>
        <v>0</v>
      </c>
      <c r="W13" s="226">
        <f>Rates!S14</f>
        <v>0</v>
      </c>
      <c r="X13" s="219">
        <v>35</v>
      </c>
      <c r="Y13" s="227">
        <v>1888746.4</v>
      </c>
      <c r="Z13" s="228">
        <f>1497316+350000</f>
        <v>1847316</v>
      </c>
      <c r="AA13" s="229">
        <v>1.0161</v>
      </c>
      <c r="AB13" s="230">
        <f t="shared" si="4"/>
        <v>204166.66666666669</v>
      </c>
      <c r="AC13" s="231">
        <f>((M13*$AC$6)+(M13*W13)+(31700*M13))*AA13</f>
        <v>0</v>
      </c>
      <c r="AD13" s="231">
        <f t="shared" si="11"/>
        <v>0</v>
      </c>
      <c r="AE13" s="231">
        <f>((O13*$AE$6)+(O13*W13)+(31700*O13))*AA13</f>
        <v>0</v>
      </c>
      <c r="AF13" s="231">
        <f t="shared" si="12"/>
        <v>0</v>
      </c>
      <c r="AG13" s="231">
        <f>((Q13*$AG$6)+(Q13*W13)+(31700*Q13))*AA13</f>
        <v>0</v>
      </c>
      <c r="AH13" s="231">
        <f t="shared" si="13"/>
        <v>0</v>
      </c>
      <c r="AI13" s="231">
        <f>((S13*$AI$6)+(S13*W13)+(31700*S13))*AA13</f>
        <v>0</v>
      </c>
      <c r="AJ13" s="231">
        <f t="shared" si="14"/>
        <v>0</v>
      </c>
      <c r="AK13" s="231">
        <f>((U13*$AK$6)+(U13*W13)+(31700*U13))*AA13</f>
        <v>0</v>
      </c>
      <c r="AL13" s="231">
        <f t="shared" si="15"/>
        <v>0</v>
      </c>
      <c r="AM13" s="231">
        <f t="shared" si="5"/>
        <v>0</v>
      </c>
      <c r="AN13" s="232">
        <f t="shared" si="6"/>
        <v>204166.66666666669</v>
      </c>
      <c r="AO13" s="232">
        <v>1409486</v>
      </c>
      <c r="AP13" s="268">
        <f t="shared" si="7"/>
        <v>1613652.6666666667</v>
      </c>
      <c r="AQ13" s="405">
        <f>'[1]MFG Calc -revised rates'!$M$23</f>
        <v>32.763525682922499</v>
      </c>
      <c r="AR13" s="278">
        <f>'[1]MFG Calc -revised rates'!$L$23</f>
        <v>1409485.9433769861</v>
      </c>
      <c r="AS13" s="323">
        <f>Rates!H14</f>
        <v>0</v>
      </c>
      <c r="AT13" s="323">
        <f>Rates!I14</f>
        <v>0</v>
      </c>
      <c r="AU13" s="323">
        <f>Rates!J14</f>
        <v>0</v>
      </c>
      <c r="AV13" s="323">
        <f>Rates!K14</f>
        <v>0</v>
      </c>
      <c r="AW13" s="323">
        <f>Rates!L14</f>
        <v>0</v>
      </c>
      <c r="AX13" s="323">
        <f>Rates!M14</f>
        <v>0</v>
      </c>
      <c r="AY13" s="323">
        <f>Rates!N14</f>
        <v>0</v>
      </c>
      <c r="AZ13" s="323">
        <f>Rates!O14</f>
        <v>0</v>
      </c>
      <c r="BA13" s="323">
        <f>Rates!P14</f>
        <v>0</v>
      </c>
      <c r="BB13" s="323">
        <f>Rates!Q14</f>
        <v>0</v>
      </c>
      <c r="BC13" s="278">
        <v>30</v>
      </c>
      <c r="BD13" s="313">
        <f t="shared" si="1"/>
        <v>0</v>
      </c>
      <c r="BE13" s="186">
        <f>Rates!F15</f>
        <v>60</v>
      </c>
      <c r="BF13" s="314">
        <f>Rates!V14</f>
        <v>0</v>
      </c>
      <c r="BG13" s="293">
        <f>((AS13*BG6)+(AS13*$BD$13))*$BF$13</f>
        <v>0</v>
      </c>
      <c r="BH13" s="294">
        <f>((AT13*BH6)+(AT13*($BD$13/2)))*$BF$13</f>
        <v>0</v>
      </c>
      <c r="BI13" s="294">
        <f>((AU13*BI6)+(AU13*$BD$13))*$BF$13</f>
        <v>0</v>
      </c>
      <c r="BJ13" s="294">
        <f>((AV13*BJ6)+(AV13*($BD$13/2)))*$BF$13</f>
        <v>0</v>
      </c>
      <c r="BK13" s="294">
        <f>((AW13*BK6)+(AW13*$BD$13))*$BF$13</f>
        <v>0</v>
      </c>
      <c r="BL13" s="294">
        <f>((AX13*BL6)+(AX13*($BD$13/2)))*$BF$13</f>
        <v>0</v>
      </c>
      <c r="BM13" s="294">
        <f>((AY13*BM6)+(AY13*$BD$13))*$BF$13</f>
        <v>0</v>
      </c>
      <c r="BN13" s="294">
        <f>((AZ13*BN6)+(AZ13*($BD$13/2)))*$BF$13</f>
        <v>0</v>
      </c>
      <c r="BO13" s="294">
        <f>((BA13*BO6)+(BA13*$BD$13))*$BF$13</f>
        <v>0</v>
      </c>
      <c r="BP13" s="294">
        <f>((BB13*BP6)+(BB13*($BD$13/2)))*$BF$13</f>
        <v>0</v>
      </c>
      <c r="BQ13" s="294">
        <f>(BC13*BQ6)*BF13</f>
        <v>0</v>
      </c>
      <c r="BR13" s="294">
        <f t="shared" si="8"/>
        <v>0</v>
      </c>
      <c r="BS13" s="310">
        <f t="shared" si="9"/>
        <v>495833</v>
      </c>
      <c r="BT13" s="311">
        <f t="shared" si="10"/>
        <v>495833</v>
      </c>
    </row>
    <row r="14" spans="1:72" x14ac:dyDescent="0.35">
      <c r="A14" s="165">
        <v>137</v>
      </c>
      <c r="B14" s="165">
        <v>7018</v>
      </c>
      <c r="C14" s="166" t="s">
        <v>17</v>
      </c>
      <c r="D14" s="174">
        <v>20</v>
      </c>
      <c r="E14" s="174">
        <v>27</v>
      </c>
      <c r="F14" s="175">
        <f t="shared" si="0"/>
        <v>47</v>
      </c>
      <c r="G14" s="217">
        <f t="shared" si="2"/>
        <v>1</v>
      </c>
      <c r="H14" s="217">
        <f t="shared" si="3"/>
        <v>2</v>
      </c>
      <c r="I14" s="217">
        <v>21.419999999999998</v>
      </c>
      <c r="J14" s="217">
        <v>24.48</v>
      </c>
      <c r="K14" s="217">
        <v>5.1000000000000005</v>
      </c>
      <c r="L14" s="217">
        <f>Rates!W15</f>
        <v>60</v>
      </c>
      <c r="M14" s="218">
        <f>Rates!H15</f>
        <v>15</v>
      </c>
      <c r="N14" s="218">
        <f>Rates!I15</f>
        <v>0</v>
      </c>
      <c r="O14" s="218">
        <f>Rates!J15</f>
        <v>10</v>
      </c>
      <c r="P14" s="218">
        <f>Rates!K15</f>
        <v>0</v>
      </c>
      <c r="Q14" s="218">
        <f>Rates!L15</f>
        <v>0</v>
      </c>
      <c r="R14" s="218">
        <f>Rates!M15</f>
        <v>0</v>
      </c>
      <c r="S14" s="218">
        <f>Rates!N15</f>
        <v>23</v>
      </c>
      <c r="T14" s="218">
        <f>Rates!O15</f>
        <v>0</v>
      </c>
      <c r="U14" s="218">
        <f>Rates!P15</f>
        <v>3</v>
      </c>
      <c r="V14" s="218">
        <f>Rates!Q15</f>
        <v>0</v>
      </c>
      <c r="W14" s="218">
        <f>Rates!S15</f>
        <v>0</v>
      </c>
      <c r="X14" s="219">
        <v>50</v>
      </c>
      <c r="Y14" s="220">
        <v>1004289.02</v>
      </c>
      <c r="Z14" s="221">
        <f>392024+500000</f>
        <v>892024</v>
      </c>
      <c r="AA14" s="222">
        <v>0.96850000000000003</v>
      </c>
      <c r="AB14" s="204">
        <f t="shared" si="4"/>
        <v>541666.66666666663</v>
      </c>
      <c r="AC14" s="223">
        <f>((M14*$AC$5)+(M14*W14))*AA14</f>
        <v>22866.285</v>
      </c>
      <c r="AD14" s="205">
        <f>((N14*($AD$5)+(N14*(W14/2))*AA14))</f>
        <v>0</v>
      </c>
      <c r="AE14" s="223">
        <f>((O14*$AE$5)+(O14*W14))*AA14</f>
        <v>57170.555</v>
      </c>
      <c r="AF14" s="223">
        <f>((P14*($AF$5)+(P14*(W14/2)))*AA14)</f>
        <v>0</v>
      </c>
      <c r="AG14" s="223">
        <f>((Q14*$AG$5)+(Q14*W14))*AA14</f>
        <v>0</v>
      </c>
      <c r="AH14" s="223">
        <f>((R14*($AH$5)+(R14*(W14/2)))*AA14)</f>
        <v>0</v>
      </c>
      <c r="AI14" s="223">
        <f>((S14*$AI$5)+(S14*W14))*AA14</f>
        <v>233736.82150000002</v>
      </c>
      <c r="AJ14" s="223">
        <f>((T14*($AJ$5)+(T14*(W14/2)))*AA14)</f>
        <v>0</v>
      </c>
      <c r="AK14" s="223">
        <f>((U14*$AK$5)+(U14*W14))*AA14</f>
        <v>53353.696499999998</v>
      </c>
      <c r="AL14" s="223">
        <f>((V14*$AL$5)+(V14*(W14/2)))*AA14</f>
        <v>0</v>
      </c>
      <c r="AM14" s="223">
        <f t="shared" si="5"/>
        <v>367127.35800000007</v>
      </c>
      <c r="AN14" s="224">
        <f t="shared" si="6"/>
        <v>908794.02466666675</v>
      </c>
      <c r="AO14" s="224">
        <v>354746</v>
      </c>
      <c r="AP14" s="181">
        <f t="shared" si="7"/>
        <v>896412.66666666663</v>
      </c>
      <c r="AQ14" s="405">
        <f>'[1]MFG Calc -revised rates'!$O$23</f>
        <v>37.690209047710226</v>
      </c>
      <c r="AR14" s="277">
        <f>'[1]MFG Calc -revised rates'!$N$23</f>
        <v>354746.36445068487</v>
      </c>
      <c r="AS14" s="324">
        <f>Rates!H15</f>
        <v>15</v>
      </c>
      <c r="AT14" s="324">
        <f>Rates!I15</f>
        <v>0</v>
      </c>
      <c r="AU14" s="324">
        <f>Rates!J15</f>
        <v>10</v>
      </c>
      <c r="AV14" s="324">
        <f>Rates!K15</f>
        <v>0</v>
      </c>
      <c r="AW14" s="324">
        <f>Rates!L15</f>
        <v>0</v>
      </c>
      <c r="AX14" s="324">
        <f>Rates!M15</f>
        <v>0</v>
      </c>
      <c r="AY14" s="324">
        <f>Rates!N15</f>
        <v>23</v>
      </c>
      <c r="AZ14" s="324">
        <f>Rates!O15</f>
        <v>0</v>
      </c>
      <c r="BA14" s="324">
        <f>Rates!P15</f>
        <v>3</v>
      </c>
      <c r="BB14" s="324">
        <f>Rates!Q15</f>
        <v>0</v>
      </c>
      <c r="BC14" s="279"/>
      <c r="BD14" s="271">
        <f t="shared" si="1"/>
        <v>0</v>
      </c>
      <c r="BE14" s="169">
        <f>Rates!F17</f>
        <v>130</v>
      </c>
      <c r="BF14" s="300">
        <f>Rates!V15</f>
        <v>1.2906</v>
      </c>
      <c r="BG14" s="290">
        <f>((AS14*BG5)+(AS14*$BD$14))*$BF$14</f>
        <v>40963.644</v>
      </c>
      <c r="BH14" s="291">
        <f>((AT14*BH5)+(AT14*($BD$14/2)))*$BF$14</f>
        <v>0</v>
      </c>
      <c r="BI14" s="291">
        <f>((AU14*BI5)+(AU14*$BD$14))*$BF$14</f>
        <v>102447.82799999999</v>
      </c>
      <c r="BJ14" s="291">
        <f>((AV14*BJ5)+(AV14*($BD$14/2)))*$BF$14</f>
        <v>0</v>
      </c>
      <c r="BK14" s="291">
        <f>((AW14*BK5)+(AW14*$BD$14))*$BF$14</f>
        <v>0</v>
      </c>
      <c r="BL14" s="291">
        <f>((AX14*BL5)+(AX14*($BD$14/2)))*$BF$14</f>
        <v>0</v>
      </c>
      <c r="BM14" s="291">
        <f>((AY14*BM5)+(AY14*$BD$14))*$BF$14</f>
        <v>418838.41800000001</v>
      </c>
      <c r="BN14" s="291">
        <f>((AZ14*BN5)+(AZ14*($BD$14/2)))*$BF$14</f>
        <v>0</v>
      </c>
      <c r="BO14" s="291">
        <f>((BA14*BO5)+(BA14*$BD$14))*$BF$14</f>
        <v>96651.743399999992</v>
      </c>
      <c r="BP14" s="291">
        <f>((BB14*BP5)+(BB14*($BD$14/2)))*$BF$14</f>
        <v>0</v>
      </c>
      <c r="BQ14" s="291"/>
      <c r="BR14" s="291">
        <f t="shared" si="8"/>
        <v>658901.63340000005</v>
      </c>
      <c r="BS14" s="292">
        <f t="shared" si="9"/>
        <v>966667</v>
      </c>
      <c r="BT14" s="308">
        <f t="shared" si="10"/>
        <v>1625568.6334000002</v>
      </c>
    </row>
    <row r="15" spans="1:72" s="186" customFormat="1" ht="18.5" x14ac:dyDescent="0.35">
      <c r="A15" s="183">
        <v>138</v>
      </c>
      <c r="B15" s="183">
        <v>7013</v>
      </c>
      <c r="C15" s="75" t="s">
        <v>18</v>
      </c>
      <c r="D15" s="184">
        <v>30</v>
      </c>
      <c r="E15" s="184">
        <v>40</v>
      </c>
      <c r="F15" s="185">
        <f t="shared" si="0"/>
        <v>70</v>
      </c>
      <c r="G15" s="225">
        <f t="shared" si="2"/>
        <v>-9</v>
      </c>
      <c r="H15" s="225">
        <f t="shared" si="3"/>
        <v>-11</v>
      </c>
      <c r="I15" s="225">
        <v>19.739999999999998</v>
      </c>
      <c r="J15" s="225">
        <v>22.56</v>
      </c>
      <c r="K15" s="225">
        <v>4.7</v>
      </c>
      <c r="L15" s="225">
        <f>Rates!W16</f>
        <v>0</v>
      </c>
      <c r="M15" s="226">
        <f>Rates!H16</f>
        <v>0</v>
      </c>
      <c r="N15" s="226">
        <f>Rates!I16</f>
        <v>0</v>
      </c>
      <c r="O15" s="226">
        <f>Rates!J16</f>
        <v>0</v>
      </c>
      <c r="P15" s="226">
        <f>Rates!K16</f>
        <v>0</v>
      </c>
      <c r="Q15" s="226">
        <f>Rates!L16</f>
        <v>0</v>
      </c>
      <c r="R15" s="226">
        <f>Rates!M16</f>
        <v>0</v>
      </c>
      <c r="S15" s="226">
        <f>Rates!N16</f>
        <v>0</v>
      </c>
      <c r="T15" s="226">
        <f>Rates!O16</f>
        <v>0</v>
      </c>
      <c r="U15" s="226">
        <f>Rates!P16</f>
        <v>0</v>
      </c>
      <c r="V15" s="226">
        <f>Rates!Q16</f>
        <v>0</v>
      </c>
      <c r="W15" s="226">
        <f>Rates!S16</f>
        <v>0</v>
      </c>
      <c r="X15" s="219">
        <v>50</v>
      </c>
      <c r="Y15" s="227">
        <v>890149.94049999991</v>
      </c>
      <c r="Z15" s="228">
        <f>411551+500000</f>
        <v>911551</v>
      </c>
      <c r="AA15" s="229">
        <v>1.0102</v>
      </c>
      <c r="AB15" s="230">
        <f t="shared" si="4"/>
        <v>291666.66666666663</v>
      </c>
      <c r="AC15" s="231">
        <f>((M15*$AC$6)+(M15*W15))*AA15</f>
        <v>0</v>
      </c>
      <c r="AD15" s="231">
        <f>((N15*($AD$6)+(N15*(W15/2))*AA15))</f>
        <v>0</v>
      </c>
      <c r="AE15" s="231">
        <f>((O15*$AE$6)+(O15*W15))*AA15</f>
        <v>0</v>
      </c>
      <c r="AF15" s="231">
        <f>((P15*($AF$6)+(P15*(W15/2)*AA15)))</f>
        <v>0</v>
      </c>
      <c r="AG15" s="231">
        <f>((Q15*$AG$6)+(Q15*W15))*AA15</f>
        <v>0</v>
      </c>
      <c r="AH15" s="231">
        <f>((R15*($AH$6)+(R15*(W15/2))*AA15))</f>
        <v>0</v>
      </c>
      <c r="AI15" s="231">
        <f>((S15*$AI$6)+(S15*W15))*AA15</f>
        <v>0</v>
      </c>
      <c r="AJ15" s="231">
        <f>((T15*($AJ$6)+(T15*(W15/2))*AA15))</f>
        <v>0</v>
      </c>
      <c r="AK15" s="231">
        <f>((U15*$AK$6)+(U15*W15))*AA15</f>
        <v>0</v>
      </c>
      <c r="AL15" s="231">
        <f>((V15*$AL$6)+(V15*(W15/2))*AA15)</f>
        <v>0</v>
      </c>
      <c r="AM15" s="231">
        <f t="shared" si="5"/>
        <v>0</v>
      </c>
      <c r="AN15" s="232">
        <f t="shared" si="6"/>
        <v>291666.66666666663</v>
      </c>
      <c r="AO15" s="232">
        <v>316352</v>
      </c>
      <c r="AP15" s="268">
        <f t="shared" si="7"/>
        <v>608018.66666666663</v>
      </c>
      <c r="AQ15" s="405">
        <f>'[1]MFG Calc -revised rates'!$Q$23</f>
        <v>38.640021640007923</v>
      </c>
      <c r="AR15" s="278">
        <f>'[1]MFG Calc -revised rates'!$P$23</f>
        <v>316352.00679232873</v>
      </c>
      <c r="AS15" s="323">
        <f>Rates!H16</f>
        <v>0</v>
      </c>
      <c r="AT15" s="323">
        <f>Rates!I16</f>
        <v>0</v>
      </c>
      <c r="AU15" s="323">
        <f>Rates!J16</f>
        <v>0</v>
      </c>
      <c r="AV15" s="323">
        <f>Rates!K16</f>
        <v>0</v>
      </c>
      <c r="AW15" s="323">
        <f>Rates!L16</f>
        <v>0</v>
      </c>
      <c r="AX15" s="323">
        <f>Rates!M16</f>
        <v>0</v>
      </c>
      <c r="AY15" s="323">
        <f>Rates!N16</f>
        <v>0</v>
      </c>
      <c r="AZ15" s="323">
        <f>Rates!O16</f>
        <v>0</v>
      </c>
      <c r="BA15" s="323">
        <f>Rates!P16</f>
        <v>0</v>
      </c>
      <c r="BB15" s="323">
        <f>Rates!Q16</f>
        <v>0</v>
      </c>
      <c r="BC15" s="278"/>
      <c r="BD15" s="313">
        <f t="shared" si="1"/>
        <v>0</v>
      </c>
      <c r="BE15" s="186">
        <f>Rates!F18</f>
        <v>65</v>
      </c>
      <c r="BF15" s="314">
        <f>Rates!V16</f>
        <v>0</v>
      </c>
      <c r="BG15" s="293">
        <f>((AS15*BG6)+(AS15*$BD$15))*$BF$15</f>
        <v>0</v>
      </c>
      <c r="BH15" s="294">
        <f>((AT15*BH6)+(AT15*($BD$15/2)))*$BF$15</f>
        <v>0</v>
      </c>
      <c r="BI15" s="294">
        <f>((AU15*BI6)+(AU15*$BD$15))*$BF$15</f>
        <v>0</v>
      </c>
      <c r="BJ15" s="294">
        <f>((AV15*BJ6)+(AV15*($BD$15/2)))*$BF$15</f>
        <v>0</v>
      </c>
      <c r="BK15" s="294">
        <f>((AW15*BK6)+(AW15*$BD$15))*$BF$15</f>
        <v>0</v>
      </c>
      <c r="BL15" s="294">
        <f>((AX15*BL6)+(AX15*($BD$15/2)))*$BF$15</f>
        <v>0</v>
      </c>
      <c r="BM15" s="294">
        <f>((AY15*BM6)+(AY15*$BD$15))*$BF$15</f>
        <v>0</v>
      </c>
      <c r="BN15" s="294">
        <f>((AZ15*BN6)+(AZ15*($BD$15/2)))*$BF$15</f>
        <v>0</v>
      </c>
      <c r="BO15" s="294">
        <f>((BA15*BO6)+(BA15*$BD$15))*$BF$15</f>
        <v>0</v>
      </c>
      <c r="BP15" s="294">
        <f>((BB15*BP6)+(BB15*($BD$15/2)))*$BF$15</f>
        <v>0</v>
      </c>
      <c r="BQ15" s="294"/>
      <c r="BR15" s="294">
        <f t="shared" si="8"/>
        <v>0</v>
      </c>
      <c r="BS15" s="310">
        <f t="shared" si="9"/>
        <v>587500</v>
      </c>
      <c r="BT15" s="311">
        <f t="shared" si="10"/>
        <v>587500</v>
      </c>
    </row>
    <row r="16" spans="1:72" x14ac:dyDescent="0.35">
      <c r="A16" s="165">
        <v>139</v>
      </c>
      <c r="B16" s="165">
        <v>7017</v>
      </c>
      <c r="C16" s="166" t="s">
        <v>19</v>
      </c>
      <c r="D16" s="174">
        <v>59</v>
      </c>
      <c r="E16" s="174">
        <v>33</v>
      </c>
      <c r="F16" s="175">
        <f t="shared" si="0"/>
        <v>92</v>
      </c>
      <c r="G16" s="217">
        <f t="shared" si="2"/>
        <v>12</v>
      </c>
      <c r="H16" s="217">
        <f t="shared" si="3"/>
        <v>6</v>
      </c>
      <c r="I16" s="217">
        <v>62.08</v>
      </c>
      <c r="J16" s="217">
        <v>25.220000000000002</v>
      </c>
      <c r="K16" s="217">
        <v>9.7000000000000011</v>
      </c>
      <c r="L16" s="217">
        <f>Rates!W17</f>
        <v>130</v>
      </c>
      <c r="M16" s="218">
        <f>Rates!H17</f>
        <v>13</v>
      </c>
      <c r="N16" s="218">
        <f>Rates!I17</f>
        <v>0</v>
      </c>
      <c r="O16" s="218">
        <f>Rates!J17</f>
        <v>71</v>
      </c>
      <c r="P16" s="218">
        <f>Rates!K17</f>
        <v>0</v>
      </c>
      <c r="Q16" s="218">
        <f>Rates!L17</f>
        <v>0</v>
      </c>
      <c r="R16" s="218">
        <f>Rates!M17</f>
        <v>0</v>
      </c>
      <c r="S16" s="218">
        <f>Rates!N17</f>
        <v>47</v>
      </c>
      <c r="T16" s="218">
        <f>Rates!O17</f>
        <v>0</v>
      </c>
      <c r="U16" s="218">
        <f>Rates!P17</f>
        <v>0</v>
      </c>
      <c r="V16" s="218">
        <f>Rates!Q17</f>
        <v>0</v>
      </c>
      <c r="W16" s="218">
        <f>Rates!S17</f>
        <v>0</v>
      </c>
      <c r="X16" s="219">
        <v>110</v>
      </c>
      <c r="Y16" s="220">
        <v>1794661.95</v>
      </c>
      <c r="Z16" s="221">
        <f>797031+1000000</f>
        <v>1797031</v>
      </c>
      <c r="AA16" s="222">
        <v>1.0979000000000001</v>
      </c>
      <c r="AB16" s="204">
        <f t="shared" si="4"/>
        <v>1183333.3333333335</v>
      </c>
      <c r="AC16" s="223">
        <f>((M16*$AC$5)+(M16*W16))*AA16</f>
        <v>22465.229800000001</v>
      </c>
      <c r="AD16" s="205">
        <f>((N16*($AD$5)+(N16*(W16/2))*AA16))</f>
        <v>0</v>
      </c>
      <c r="AE16" s="223">
        <f>((O16*$AE$5)+(O16*W16))*AA16</f>
        <v>460144.16270000004</v>
      </c>
      <c r="AF16" s="223">
        <f>((P16*($AF$5)+(P16*(W16/2)))*AA16)</f>
        <v>0</v>
      </c>
      <c r="AG16" s="223">
        <f>((Q16*$AG$5)+(Q16*W16))*AA16</f>
        <v>0</v>
      </c>
      <c r="AH16" s="223">
        <f>((R16*($AH$5)+(R16*(W16/2)))*AA16)</f>
        <v>0</v>
      </c>
      <c r="AI16" s="223">
        <f>((S16*$AI$5)+(S16*W16))*AA16</f>
        <v>541452.44090000005</v>
      </c>
      <c r="AJ16" s="223">
        <f>((T16*($AJ$5)+(T16*(W16/2)))*AA16)</f>
        <v>0</v>
      </c>
      <c r="AK16" s="223">
        <f>((U16*$AK$5)+(U16*W16))*AA16</f>
        <v>0</v>
      </c>
      <c r="AL16" s="223">
        <f>((V16*$AL$5)+(V16*(W16/2)))*AA16</f>
        <v>0</v>
      </c>
      <c r="AM16" s="223">
        <f t="shared" si="5"/>
        <v>1024061.8334000001</v>
      </c>
      <c r="AN16" s="224">
        <f t="shared" si="6"/>
        <v>2207395.1667333338</v>
      </c>
      <c r="AO16" s="224">
        <v>856727</v>
      </c>
      <c r="AP16" s="181">
        <f t="shared" si="7"/>
        <v>2040060.3333333335</v>
      </c>
      <c r="AQ16" s="405">
        <f>'[1]MFG Calc -revised rates'!$S$23</f>
        <v>108.26542445406838</v>
      </c>
      <c r="AR16" s="277">
        <f>'[1]MFG Calc -revised rates'!$R$23</f>
        <v>856726.61228920508</v>
      </c>
      <c r="AS16" s="324">
        <f>Rates!H17</f>
        <v>13</v>
      </c>
      <c r="AT16" s="324">
        <f>Rates!I17</f>
        <v>0</v>
      </c>
      <c r="AU16" s="324">
        <f>Rates!J17</f>
        <v>71</v>
      </c>
      <c r="AV16" s="324">
        <f>Rates!K17</f>
        <v>0</v>
      </c>
      <c r="AW16" s="324">
        <f>Rates!L17</f>
        <v>0</v>
      </c>
      <c r="AX16" s="324">
        <f>Rates!M17</f>
        <v>0</v>
      </c>
      <c r="AY16" s="324">
        <f>Rates!N17</f>
        <v>47</v>
      </c>
      <c r="AZ16" s="324">
        <f>Rates!O17</f>
        <v>0</v>
      </c>
      <c r="BA16" s="324">
        <f>Rates!P17</f>
        <v>0</v>
      </c>
      <c r="BB16" s="324">
        <f>Rates!Q17</f>
        <v>0</v>
      </c>
      <c r="BC16" s="279"/>
      <c r="BD16" s="271">
        <f t="shared" si="1"/>
        <v>0</v>
      </c>
      <c r="BE16" s="169">
        <f>Rates!F19</f>
        <v>156</v>
      </c>
      <c r="BF16" s="300">
        <f>Rates!V17</f>
        <v>0</v>
      </c>
      <c r="BG16" s="290">
        <f>((AS16*BG5)+(AS16*$BD$16))*$BF$16</f>
        <v>0</v>
      </c>
      <c r="BH16" s="291">
        <f>((AT16*BH5)+(AT16*($BD$16/2)))*$BF$16</f>
        <v>0</v>
      </c>
      <c r="BI16" s="291">
        <f>((AU16*BI5)+(AU16*$BD$16))*$BF$16</f>
        <v>0</v>
      </c>
      <c r="BJ16" s="291">
        <f>((AV16*BJ5)+(AV16*($BD$16/2)))*$BF$16</f>
        <v>0</v>
      </c>
      <c r="BK16" s="291">
        <f>((AW16*BK5)+(AW16*$BD$16))*$BF$16</f>
        <v>0</v>
      </c>
      <c r="BL16" s="291">
        <f>((AX16*BL5)+(AX16*($BD$16/2)))*$BF$16</f>
        <v>0</v>
      </c>
      <c r="BM16" s="291">
        <f>((AY16*BM5)+(AY16*$BD$16))*$BF$16</f>
        <v>0</v>
      </c>
      <c r="BN16" s="291">
        <f>((AZ16*BN5)+(AZ16*($BD$16/2)))*$BF$16</f>
        <v>0</v>
      </c>
      <c r="BO16" s="291">
        <f>((BA16*BO5)+(BA16*$BD$16))*$BF$16</f>
        <v>0</v>
      </c>
      <c r="BP16" s="291">
        <f>((BB16*BP5)+(BB16*($BD$16/2)))*$BF$16</f>
        <v>0</v>
      </c>
      <c r="BQ16" s="291"/>
      <c r="BR16" s="291">
        <f t="shared" si="8"/>
        <v>0</v>
      </c>
      <c r="BS16" s="292">
        <f t="shared" si="9"/>
        <v>1368333</v>
      </c>
      <c r="BT16" s="308">
        <f t="shared" si="10"/>
        <v>1368333</v>
      </c>
    </row>
    <row r="17" spans="1:72" s="186" customFormat="1" ht="18.5" x14ac:dyDescent="0.35">
      <c r="A17" s="183">
        <v>141</v>
      </c>
      <c r="B17" s="183">
        <v>7022</v>
      </c>
      <c r="C17" s="76" t="s">
        <v>20</v>
      </c>
      <c r="D17" s="184">
        <v>21</v>
      </c>
      <c r="E17" s="184">
        <v>19</v>
      </c>
      <c r="F17" s="185">
        <f t="shared" si="0"/>
        <v>40</v>
      </c>
      <c r="G17" s="225">
        <f t="shared" si="2"/>
        <v>0</v>
      </c>
      <c r="H17" s="225">
        <f t="shared" si="3"/>
        <v>0</v>
      </c>
      <c r="I17" s="225"/>
      <c r="J17" s="225"/>
      <c r="K17" s="225"/>
      <c r="L17" s="225">
        <f>Rates!W18</f>
        <v>65</v>
      </c>
      <c r="M17" s="226">
        <f>Rates!H18</f>
        <v>7</v>
      </c>
      <c r="N17" s="226">
        <f>Rates!I18</f>
        <v>0</v>
      </c>
      <c r="O17" s="226">
        <f>Rates!J18</f>
        <v>25</v>
      </c>
      <c r="P17" s="226">
        <f>Rates!K18</f>
        <v>1</v>
      </c>
      <c r="Q17" s="226">
        <f>Rates!L18</f>
        <v>0</v>
      </c>
      <c r="R17" s="226">
        <f>Rates!M18</f>
        <v>0</v>
      </c>
      <c r="S17" s="226">
        <f>Rates!N18</f>
        <v>30</v>
      </c>
      <c r="T17" s="226">
        <f>Rates!O18</f>
        <v>0</v>
      </c>
      <c r="U17" s="226">
        <f>Rates!P18</f>
        <v>3</v>
      </c>
      <c r="V17" s="226">
        <f>Rates!Q18</f>
        <v>0</v>
      </c>
      <c r="W17" s="226">
        <f>Rates!S18</f>
        <v>0</v>
      </c>
      <c r="X17" s="219">
        <v>40</v>
      </c>
      <c r="Y17" s="227">
        <v>752438.75</v>
      </c>
      <c r="Z17" s="228">
        <f>420275+400000</f>
        <v>820275</v>
      </c>
      <c r="AA17" s="229">
        <v>0.9667</v>
      </c>
      <c r="AB17" s="230">
        <f t="shared" si="4"/>
        <v>504166.66666666663</v>
      </c>
      <c r="AC17" s="231">
        <f>((M17*$AC$6)+(M17*(W17/2)))*AA17</f>
        <v>12248.089</v>
      </c>
      <c r="AD17" s="231">
        <f>((N17*($AD$6)+(N17*(W17/2))*AA17))</f>
        <v>0</v>
      </c>
      <c r="AE17" s="231">
        <f>((O17*$AE$6)+(O17*(W17/2)))*AA17</f>
        <v>164048.99</v>
      </c>
      <c r="AF17" s="231">
        <f>((P17*($AF$6)+(P17*(W17/2)*AA17)))</f>
        <v>3394</v>
      </c>
      <c r="AG17" s="231">
        <f>((Q17*$AG$6)+(Q17*(W17/2)))*AA17</f>
        <v>0</v>
      </c>
      <c r="AH17" s="231">
        <f>((R17*($AH$6)+(R17*(W17/2))*AA17))</f>
        <v>0</v>
      </c>
      <c r="AI17" s="231">
        <f>((S17*$AI$6)+(S17*(W17/2)))*AA17</f>
        <v>349955.06699999998</v>
      </c>
      <c r="AJ17" s="231">
        <f>((T17*($AJ$6)+(T17*(W17/2))*AA17))</f>
        <v>0</v>
      </c>
      <c r="AK17" s="231">
        <f>((U17*$AK$6)+(U17*(W17/2)))*AA17</f>
        <v>61241.411699999997</v>
      </c>
      <c r="AL17" s="231">
        <f>((V17*$AL$6)+(V17*(W17/2))*AA17)</f>
        <v>0</v>
      </c>
      <c r="AM17" s="231">
        <f t="shared" si="5"/>
        <v>590887.5577</v>
      </c>
      <c r="AN17" s="232">
        <f t="shared" si="6"/>
        <v>1095054.2243666667</v>
      </c>
      <c r="AO17" s="232">
        <v>405950</v>
      </c>
      <c r="AP17" s="268">
        <f t="shared" si="7"/>
        <v>910116.66666666663</v>
      </c>
      <c r="AQ17" s="405">
        <f>'[1]MFG Calc -revised rates'!$U$23</f>
        <v>45.387447104374864</v>
      </c>
      <c r="AR17" s="278">
        <f>'[1]MFG Calc -revised rates'!$T$23</f>
        <v>405949.72687150689</v>
      </c>
      <c r="AS17" s="323">
        <f>Rates!H18</f>
        <v>7</v>
      </c>
      <c r="AT17" s="323">
        <f>Rates!I18</f>
        <v>0</v>
      </c>
      <c r="AU17" s="323">
        <f>Rates!J18</f>
        <v>25</v>
      </c>
      <c r="AV17" s="323">
        <f>Rates!K18</f>
        <v>1</v>
      </c>
      <c r="AW17" s="323">
        <f>Rates!L18</f>
        <v>0</v>
      </c>
      <c r="AX17" s="323">
        <f>Rates!M18</f>
        <v>0</v>
      </c>
      <c r="AY17" s="323">
        <f>Rates!N18</f>
        <v>30</v>
      </c>
      <c r="AZ17" s="323">
        <f>Rates!O18</f>
        <v>0</v>
      </c>
      <c r="BA17" s="323">
        <f>Rates!P18</f>
        <v>3</v>
      </c>
      <c r="BB17" s="323">
        <f>Rates!Q18</f>
        <v>0</v>
      </c>
      <c r="BC17" s="278"/>
      <c r="BD17" s="313">
        <f t="shared" si="1"/>
        <v>0</v>
      </c>
      <c r="BE17" s="186">
        <f>Rates!F20</f>
        <v>320</v>
      </c>
      <c r="BF17" s="314">
        <f>Rates!V18</f>
        <v>1.2905</v>
      </c>
      <c r="BG17" s="294">
        <f t="shared" ref="BG17:BP17" si="16">((AS17*BG6)+(AS17*($BD$17/2)))*$BF$17</f>
        <v>19114.885999999999</v>
      </c>
      <c r="BH17" s="294">
        <f t="shared" si="16"/>
        <v>0</v>
      </c>
      <c r="BI17" s="294">
        <f t="shared" si="16"/>
        <v>256099.72500000001</v>
      </c>
      <c r="BJ17" s="294">
        <f t="shared" si="16"/>
        <v>5121.9944999999998</v>
      </c>
      <c r="BK17" s="294">
        <f t="shared" si="16"/>
        <v>0</v>
      </c>
      <c r="BL17" s="294">
        <f t="shared" si="16"/>
        <v>0</v>
      </c>
      <c r="BM17" s="294">
        <f t="shared" si="16"/>
        <v>546268.65</v>
      </c>
      <c r="BN17" s="294">
        <f t="shared" si="16"/>
        <v>0</v>
      </c>
      <c r="BO17" s="294">
        <f t="shared" si="16"/>
        <v>96644.254499999995</v>
      </c>
      <c r="BP17" s="294">
        <f t="shared" si="16"/>
        <v>0</v>
      </c>
      <c r="BQ17" s="294"/>
      <c r="BR17" s="294">
        <f t="shared" si="8"/>
        <v>923249.51</v>
      </c>
      <c r="BS17" s="310">
        <f t="shared" si="9"/>
        <v>2033333</v>
      </c>
      <c r="BT17" s="311">
        <f t="shared" si="10"/>
        <v>2956582.51</v>
      </c>
    </row>
    <row r="18" spans="1:72" x14ac:dyDescent="0.35">
      <c r="A18" s="165">
        <v>143</v>
      </c>
      <c r="B18" s="165">
        <v>7023</v>
      </c>
      <c r="C18" s="166" t="s">
        <v>21</v>
      </c>
      <c r="D18" s="174">
        <v>50</v>
      </c>
      <c r="E18" s="174">
        <v>28</v>
      </c>
      <c r="F18" s="175">
        <f t="shared" si="0"/>
        <v>78</v>
      </c>
      <c r="G18" s="217">
        <f t="shared" si="2"/>
        <v>17</v>
      </c>
      <c r="H18" s="217">
        <f t="shared" si="3"/>
        <v>10</v>
      </c>
      <c r="I18" s="217">
        <v>62.72</v>
      </c>
      <c r="J18" s="217">
        <v>25.48</v>
      </c>
      <c r="K18" s="217">
        <v>9.8000000000000007</v>
      </c>
      <c r="L18" s="217">
        <f>Rates!W19</f>
        <v>180</v>
      </c>
      <c r="M18" s="218">
        <f>Rates!H19</f>
        <v>19</v>
      </c>
      <c r="N18" s="218">
        <f>Rates!I19</f>
        <v>0</v>
      </c>
      <c r="O18" s="218">
        <f>Rates!J19</f>
        <v>111</v>
      </c>
      <c r="P18" s="218">
        <f>Rates!K19</f>
        <v>0</v>
      </c>
      <c r="Q18" s="218">
        <f>Rates!L19</f>
        <v>0</v>
      </c>
      <c r="R18" s="218">
        <f>Rates!M19</f>
        <v>0</v>
      </c>
      <c r="S18" s="218">
        <f>Rates!N19</f>
        <v>45</v>
      </c>
      <c r="T18" s="218">
        <f>Rates!O19</f>
        <v>0</v>
      </c>
      <c r="U18" s="218">
        <f>Rates!P19</f>
        <v>15</v>
      </c>
      <c r="V18" s="218">
        <f>Rates!Q19</f>
        <v>0</v>
      </c>
      <c r="W18" s="218">
        <f>Rates!S19</f>
        <v>0</v>
      </c>
      <c r="X18" s="219">
        <v>105</v>
      </c>
      <c r="Y18" s="220">
        <v>1752646.4200000002</v>
      </c>
      <c r="Z18" s="221">
        <f>782711+1000000</f>
        <v>1782711</v>
      </c>
      <c r="AA18" s="222">
        <v>1.1908000000000001</v>
      </c>
      <c r="AB18" s="204">
        <f t="shared" si="4"/>
        <v>1362500</v>
      </c>
      <c r="AC18" s="223">
        <f t="shared" ref="AC18:AC20" si="17">((M18*$AC$5)+(M18*W18))*AA18</f>
        <v>35612.0648</v>
      </c>
      <c r="AD18" s="205">
        <f t="shared" ref="AD18:AD20" si="18">((N18*($AD$5)+(N18*(W18/2))*AA18))</f>
        <v>0</v>
      </c>
      <c r="AE18" s="223">
        <f t="shared" ref="AE18:AE20" si="19">((O18*$AE$5)+(O18*W18))*AA18</f>
        <v>780251.45640000002</v>
      </c>
      <c r="AF18" s="223">
        <f t="shared" ref="AF18:AF20" si="20">((P18*($AF$5)+(P18*(W18/2)))*AA18)</f>
        <v>0</v>
      </c>
      <c r="AG18" s="223">
        <f t="shared" ref="AG18:AG20" si="21">((Q18*$AG$5)+(Q18*W18))*AA18</f>
        <v>0</v>
      </c>
      <c r="AH18" s="223">
        <f t="shared" ref="AH18:AH20" si="22">((R18*($AH$5)+(R18*(W18/2)))*AA18)</f>
        <v>0</v>
      </c>
      <c r="AI18" s="223">
        <f t="shared" ref="AI18:AI20" si="23">((S18*$AI$5)+(S18*W18))*AA18</f>
        <v>562277.89800000004</v>
      </c>
      <c r="AJ18" s="223">
        <f t="shared" ref="AJ18:AJ20" si="24">((T18*($AJ$5)+(T18*(W18/2)))*AA18)</f>
        <v>0</v>
      </c>
      <c r="AK18" s="223">
        <f t="shared" ref="AK18:AK20" si="25">((U18*$AK$5)+(U18*W18))*AA18</f>
        <v>327999.90600000002</v>
      </c>
      <c r="AL18" s="223">
        <f t="shared" ref="AL18:AL20" si="26">((V18*$AL$5)+(V18*(W18/2)))*AA18</f>
        <v>0</v>
      </c>
      <c r="AM18" s="223">
        <f t="shared" si="5"/>
        <v>1706141.3252000001</v>
      </c>
      <c r="AN18" s="224">
        <f t="shared" si="6"/>
        <v>3068641.3251999998</v>
      </c>
      <c r="AO18" s="224">
        <v>677098</v>
      </c>
      <c r="AP18" s="181">
        <f t="shared" si="7"/>
        <v>2039598</v>
      </c>
      <c r="AQ18" s="405">
        <f>'[1]MFG Calc -revised rates'!$W$23</f>
        <v>102.76502758872776</v>
      </c>
      <c r="AR18" s="277">
        <f>'[1]MFG Calc -revised rates'!$V$23</f>
        <v>677098.19345227373</v>
      </c>
      <c r="AS18" s="324">
        <f>Rates!H19</f>
        <v>19</v>
      </c>
      <c r="AT18" s="324">
        <f>Rates!I19</f>
        <v>0</v>
      </c>
      <c r="AU18" s="324">
        <f>Rates!J19</f>
        <v>111</v>
      </c>
      <c r="AV18" s="324">
        <f>Rates!K19</f>
        <v>0</v>
      </c>
      <c r="AW18" s="324">
        <f>Rates!L19</f>
        <v>0</v>
      </c>
      <c r="AX18" s="324">
        <f>Rates!M19</f>
        <v>0</v>
      </c>
      <c r="AY18" s="324">
        <f>Rates!N19</f>
        <v>45</v>
      </c>
      <c r="AZ18" s="324">
        <f>Rates!O19</f>
        <v>0</v>
      </c>
      <c r="BA18" s="324">
        <f>Rates!P19</f>
        <v>15</v>
      </c>
      <c r="BB18" s="324">
        <f>Rates!Q19</f>
        <v>0</v>
      </c>
      <c r="BC18" s="279"/>
      <c r="BD18" s="271">
        <f t="shared" si="1"/>
        <v>0</v>
      </c>
      <c r="BE18" s="169">
        <f>Rates!F21</f>
        <v>135</v>
      </c>
      <c r="BF18" s="300">
        <f>Rates!V19</f>
        <v>0</v>
      </c>
      <c r="BG18" s="290">
        <f>((AS18*BG5)+(AS18*$BD$18))*$BF$18</f>
        <v>0</v>
      </c>
      <c r="BH18" s="291">
        <f>((AT18*BH5)+(AT18*($BD$18/2)))*$BF$18</f>
        <v>0</v>
      </c>
      <c r="BI18" s="291">
        <f>((AU18*BI5)+(AU18*$BD$18))*$BF$18</f>
        <v>0</v>
      </c>
      <c r="BJ18" s="291">
        <f>((AV18*BJ5)+(AV18*($BD$18/2)))*$BF$18</f>
        <v>0</v>
      </c>
      <c r="BK18" s="291">
        <f>((AW18*BK5)+(AW18*$BD$18))*$BF$18</f>
        <v>0</v>
      </c>
      <c r="BL18" s="291">
        <f>((AX18*BL5)+(AX18*($BD$18/2)))*$BF$18</f>
        <v>0</v>
      </c>
      <c r="BM18" s="291">
        <f>((AY18*BM5)+(AY18*$BD$18))*$BF$18</f>
        <v>0</v>
      </c>
      <c r="BN18" s="291">
        <f>((AZ18*BN5)+(AZ18*($BD$18/2)))*$BF$18</f>
        <v>0</v>
      </c>
      <c r="BO18" s="291">
        <f>((BA18*BO5)+(BA18*$BD$18))*$BF$18</f>
        <v>0</v>
      </c>
      <c r="BP18" s="291">
        <f>((BB18*BP5)+(BB18*($BD$18/2)))*$BF$18</f>
        <v>0</v>
      </c>
      <c r="BQ18" s="291"/>
      <c r="BR18" s="291">
        <f t="shared" si="8"/>
        <v>0</v>
      </c>
      <c r="BS18" s="292">
        <f t="shared" si="9"/>
        <v>1225000</v>
      </c>
      <c r="BT18" s="308">
        <f t="shared" si="10"/>
        <v>1225000</v>
      </c>
    </row>
    <row r="19" spans="1:72" x14ac:dyDescent="0.35">
      <c r="A19" s="165">
        <v>144</v>
      </c>
      <c r="B19" s="165">
        <v>7024</v>
      </c>
      <c r="C19" s="166" t="s">
        <v>22</v>
      </c>
      <c r="D19" s="174">
        <v>117</v>
      </c>
      <c r="E19" s="174">
        <v>167</v>
      </c>
      <c r="F19" s="175">
        <f t="shared" si="0"/>
        <v>284</v>
      </c>
      <c r="G19" s="217">
        <f t="shared" si="2"/>
        <v>7</v>
      </c>
      <c r="H19" s="217">
        <f t="shared" si="3"/>
        <v>9</v>
      </c>
      <c r="I19" s="217">
        <v>121</v>
      </c>
      <c r="J19" s="217">
        <v>144</v>
      </c>
      <c r="K19" s="217">
        <v>29</v>
      </c>
      <c r="L19" s="217">
        <f>Rates!W20</f>
        <v>320</v>
      </c>
      <c r="M19" s="218">
        <f>Rates!H20</f>
        <v>75</v>
      </c>
      <c r="N19" s="218">
        <f>Rates!I20</f>
        <v>4</v>
      </c>
      <c r="O19" s="218">
        <f>Rates!J20</f>
        <v>76</v>
      </c>
      <c r="P19" s="218">
        <f>Rates!K20</f>
        <v>0</v>
      </c>
      <c r="Q19" s="218">
        <f>Rates!L20</f>
        <v>0</v>
      </c>
      <c r="R19" s="218">
        <f>Rates!M20</f>
        <v>0</v>
      </c>
      <c r="S19" s="218">
        <f>Rates!N20</f>
        <v>152</v>
      </c>
      <c r="T19" s="218">
        <f>Rates!O20</f>
        <v>0</v>
      </c>
      <c r="U19" s="218">
        <f>Rates!P20</f>
        <v>14</v>
      </c>
      <c r="V19" s="218">
        <f>Rates!Q20</f>
        <v>0</v>
      </c>
      <c r="W19" s="218">
        <f>Rates!S20</f>
        <v>0</v>
      </c>
      <c r="X19" s="219">
        <v>300</v>
      </c>
      <c r="Y19" s="220">
        <v>4865726.7</v>
      </c>
      <c r="Z19" s="221">
        <f>1916209+2940000</f>
        <v>4856209</v>
      </c>
      <c r="AA19" s="222">
        <v>0.89229999999999998</v>
      </c>
      <c r="AB19" s="204">
        <f t="shared" si="4"/>
        <v>3083333.3333333335</v>
      </c>
      <c r="AC19" s="223">
        <f t="shared" si="17"/>
        <v>105336.015</v>
      </c>
      <c r="AD19" s="205">
        <f t="shared" si="18"/>
        <v>3148</v>
      </c>
      <c r="AE19" s="223">
        <f t="shared" si="19"/>
        <v>400310.76439999999</v>
      </c>
      <c r="AF19" s="223">
        <f t="shared" si="20"/>
        <v>0</v>
      </c>
      <c r="AG19" s="223">
        <f t="shared" si="21"/>
        <v>0</v>
      </c>
      <c r="AH19" s="223">
        <f t="shared" si="22"/>
        <v>0</v>
      </c>
      <c r="AI19" s="223">
        <f t="shared" si="23"/>
        <v>1423161.3928</v>
      </c>
      <c r="AJ19" s="223">
        <f t="shared" si="24"/>
        <v>0</v>
      </c>
      <c r="AK19" s="223">
        <f t="shared" si="25"/>
        <v>229394.26859999998</v>
      </c>
      <c r="AL19" s="223">
        <f t="shared" si="26"/>
        <v>0</v>
      </c>
      <c r="AM19" s="223">
        <f t="shared" si="5"/>
        <v>2161350.4408</v>
      </c>
      <c r="AN19" s="224">
        <f t="shared" si="6"/>
        <v>5244683.7741333339</v>
      </c>
      <c r="AO19" s="224">
        <v>1986266</v>
      </c>
      <c r="AP19" s="181">
        <f t="shared" si="7"/>
        <v>5069599.333333334</v>
      </c>
      <c r="AQ19" s="405">
        <f>'[1]MFG Calc -revised rates'!$Y$23</f>
        <v>307.20495155809527</v>
      </c>
      <c r="AR19" s="277">
        <f>'[1]MFG Calc -revised rates'!$X$23</f>
        <v>1986265.6723769871</v>
      </c>
      <c r="AS19" s="324">
        <f>Rates!H20</f>
        <v>75</v>
      </c>
      <c r="AT19" s="324">
        <f>Rates!I20</f>
        <v>4</v>
      </c>
      <c r="AU19" s="324">
        <f>Rates!J20</f>
        <v>76</v>
      </c>
      <c r="AV19" s="324">
        <f>Rates!K20</f>
        <v>0</v>
      </c>
      <c r="AW19" s="324">
        <f>Rates!L20</f>
        <v>0</v>
      </c>
      <c r="AX19" s="324">
        <f>Rates!M20</f>
        <v>0</v>
      </c>
      <c r="AY19" s="324">
        <f>Rates!N20</f>
        <v>152</v>
      </c>
      <c r="AZ19" s="324">
        <f>Rates!O20</f>
        <v>0</v>
      </c>
      <c r="BA19" s="324">
        <f>Rates!P20</f>
        <v>14</v>
      </c>
      <c r="BB19" s="324">
        <f>Rates!Q20</f>
        <v>0</v>
      </c>
      <c r="BC19" s="280"/>
      <c r="BD19" s="271">
        <f t="shared" si="1"/>
        <v>0</v>
      </c>
      <c r="BE19" s="169">
        <f>Rates!F22</f>
        <v>6</v>
      </c>
      <c r="BF19" s="300">
        <f>Rates!V20</f>
        <v>1.0122</v>
      </c>
      <c r="BG19" s="290">
        <f>((AS19*BG5)+(AS19*$BD$19))*$BF$19</f>
        <v>160636.13999999998</v>
      </c>
      <c r="BH19" s="291">
        <f>((AT19*BH5)+(AT19*($BD$19/2)))*$BF$19</f>
        <v>4283.6304</v>
      </c>
      <c r="BI19" s="291">
        <f>((AU19*BI5)+(AU19*$BD$19))*$BF$19</f>
        <v>610648.11360000004</v>
      </c>
      <c r="BJ19" s="291">
        <f>((AV19*BJ5)+(AV19*($BD$19/2)))*$BF$19</f>
        <v>0</v>
      </c>
      <c r="BK19" s="291">
        <f>((AW19*BK5)+(AW19*$BD$19))*$BF$19</f>
        <v>0</v>
      </c>
      <c r="BL19" s="291">
        <f>((AX19*BL5)+(AX19*($BD$19/2)))*$BF$19</f>
        <v>0</v>
      </c>
      <c r="BM19" s="291">
        <f>((AY19*BM5)+(AY19*$BD$19))*$BF$19</f>
        <v>2170885.5839999998</v>
      </c>
      <c r="BN19" s="291">
        <f>((AZ19*BN5)+(AZ19*($BD$19/2)))*$BF$19</f>
        <v>0</v>
      </c>
      <c r="BO19" s="291">
        <f>((BA19*BO5)+(BA19*$BD$19))*$BF$19</f>
        <v>353745.68040000001</v>
      </c>
      <c r="BP19" s="291">
        <f>((BB19*BP5)+(BB19*($BD$19/2)))*$BF$19</f>
        <v>0</v>
      </c>
      <c r="BQ19" s="291"/>
      <c r="BR19" s="291">
        <f t="shared" si="8"/>
        <v>3300199.1483999998</v>
      </c>
      <c r="BS19" s="292">
        <f t="shared" si="9"/>
        <v>1285000</v>
      </c>
      <c r="BT19" s="308">
        <f t="shared" si="10"/>
        <v>4585199.1483999994</v>
      </c>
    </row>
    <row r="20" spans="1:72" x14ac:dyDescent="0.35">
      <c r="A20" s="165">
        <v>145</v>
      </c>
      <c r="B20" s="165">
        <v>7025</v>
      </c>
      <c r="C20" s="166" t="s">
        <v>23</v>
      </c>
      <c r="D20" s="174">
        <v>34</v>
      </c>
      <c r="E20" s="174">
        <v>56</v>
      </c>
      <c r="F20" s="175">
        <f t="shared" si="0"/>
        <v>90</v>
      </c>
      <c r="G20" s="217">
        <f t="shared" si="2"/>
        <v>4</v>
      </c>
      <c r="H20" s="217">
        <f t="shared" si="3"/>
        <v>6</v>
      </c>
      <c r="I20" s="217">
        <v>35.72</v>
      </c>
      <c r="J20" s="217">
        <v>48.88</v>
      </c>
      <c r="K20" s="217">
        <v>9.4</v>
      </c>
      <c r="L20" s="217">
        <f>Rates!W21</f>
        <v>125</v>
      </c>
      <c r="M20" s="218">
        <f>Rates!H21</f>
        <v>9</v>
      </c>
      <c r="N20" s="218">
        <f>Rates!I21</f>
        <v>0</v>
      </c>
      <c r="O20" s="218">
        <f>Rates!J21</f>
        <v>53</v>
      </c>
      <c r="P20" s="218">
        <f>Rates!K21</f>
        <v>0</v>
      </c>
      <c r="Q20" s="218">
        <f>Rates!L21</f>
        <v>0</v>
      </c>
      <c r="R20" s="218">
        <f>Rates!M21</f>
        <v>0</v>
      </c>
      <c r="S20" s="218">
        <f>Rates!N21</f>
        <v>44</v>
      </c>
      <c r="T20" s="218">
        <f>Rates!O21</f>
        <v>0</v>
      </c>
      <c r="U20" s="218">
        <f>Rates!P21</f>
        <v>4</v>
      </c>
      <c r="V20" s="218">
        <f>Rates!Q21</f>
        <v>0</v>
      </c>
      <c r="W20" s="218">
        <f>Rates!S21</f>
        <v>0</v>
      </c>
      <c r="X20" s="219">
        <v>100</v>
      </c>
      <c r="Y20" s="220">
        <v>1820202.32</v>
      </c>
      <c r="Z20" s="221">
        <f>935716+1000000</f>
        <v>1935716</v>
      </c>
      <c r="AA20" s="222">
        <v>1.1808000000000001</v>
      </c>
      <c r="AB20" s="204">
        <f t="shared" si="4"/>
        <v>1104166.6666666665</v>
      </c>
      <c r="AC20" s="223">
        <f t="shared" si="17"/>
        <v>16727.212800000001</v>
      </c>
      <c r="AD20" s="205">
        <f t="shared" si="18"/>
        <v>0</v>
      </c>
      <c r="AE20" s="223">
        <f t="shared" si="19"/>
        <v>369423.90720000002</v>
      </c>
      <c r="AF20" s="223">
        <f t="shared" si="20"/>
        <v>0</v>
      </c>
      <c r="AG20" s="223">
        <f t="shared" si="21"/>
        <v>0</v>
      </c>
      <c r="AH20" s="223">
        <f t="shared" si="22"/>
        <v>0</v>
      </c>
      <c r="AI20" s="223">
        <f t="shared" si="23"/>
        <v>545165.91360000009</v>
      </c>
      <c r="AJ20" s="223">
        <f t="shared" si="24"/>
        <v>0</v>
      </c>
      <c r="AK20" s="223">
        <f t="shared" si="25"/>
        <v>86732.121599999999</v>
      </c>
      <c r="AL20" s="223">
        <f t="shared" si="26"/>
        <v>0</v>
      </c>
      <c r="AM20" s="223">
        <f t="shared" si="5"/>
        <v>1018049.1552</v>
      </c>
      <c r="AN20" s="224">
        <f t="shared" si="6"/>
        <v>2122215.8218666664</v>
      </c>
      <c r="AO20" s="224">
        <v>796928</v>
      </c>
      <c r="AP20" s="181">
        <f t="shared" si="7"/>
        <v>1901094.6666666665</v>
      </c>
      <c r="AQ20" s="405">
        <f>'[1]MFG Calc -revised rates'!$AA$23</f>
        <v>83.152829504454388</v>
      </c>
      <c r="AR20" s="277">
        <f>'[1]MFG Calc -revised rates'!$Z$23</f>
        <v>796927.69494585518</v>
      </c>
      <c r="AS20" s="324">
        <f>Rates!H21</f>
        <v>9</v>
      </c>
      <c r="AT20" s="324">
        <f>Rates!I21</f>
        <v>0</v>
      </c>
      <c r="AU20" s="324">
        <f>Rates!J21</f>
        <v>53</v>
      </c>
      <c r="AV20" s="324">
        <f>Rates!K21</f>
        <v>0</v>
      </c>
      <c r="AW20" s="324">
        <f>Rates!L21</f>
        <v>0</v>
      </c>
      <c r="AX20" s="324">
        <f>Rates!M21</f>
        <v>0</v>
      </c>
      <c r="AY20" s="324">
        <f>Rates!N21</f>
        <v>44</v>
      </c>
      <c r="AZ20" s="324">
        <f>Rates!O21</f>
        <v>0</v>
      </c>
      <c r="BA20" s="324">
        <f>Rates!P21</f>
        <v>4</v>
      </c>
      <c r="BB20" s="324">
        <f>Rates!Q21</f>
        <v>0</v>
      </c>
      <c r="BC20" s="279"/>
      <c r="BD20" s="271">
        <f t="shared" si="1"/>
        <v>0</v>
      </c>
      <c r="BE20" s="169" t="e">
        <f>Rates!#REF!</f>
        <v>#REF!</v>
      </c>
      <c r="BF20" s="300">
        <f>Rates!V21</f>
        <v>0</v>
      </c>
      <c r="BG20" s="290">
        <f>((AS20*BG5)+(AS20*$BD$20))*$BF$20</f>
        <v>0</v>
      </c>
      <c r="BH20" s="291">
        <f>((AT20*BH5)+(AT20*($BD$20/2)))*$BF$20</f>
        <v>0</v>
      </c>
      <c r="BI20" s="291">
        <f>((AU20*BI5)+(AU20*$BD$20))*$BF$20</f>
        <v>0</v>
      </c>
      <c r="BJ20" s="291">
        <f>((AV20*BJ5)+(AV20*($BD$20/2)))*$BF$20</f>
        <v>0</v>
      </c>
      <c r="BK20" s="291">
        <f>((AW20*BK5)+(AW20*$BD$20))*$BF$20</f>
        <v>0</v>
      </c>
      <c r="BL20" s="291">
        <f>((AX20*BL5)+(AX20*($BD$20/2)))*$BF$20</f>
        <v>0</v>
      </c>
      <c r="BM20" s="291">
        <f>((AY20*BM5)+(AY20*$BD$20))*$BF$20</f>
        <v>0</v>
      </c>
      <c r="BN20" s="291">
        <f>((AZ20*BN5)+(AZ20*($BD$20/2)))*$BF$20</f>
        <v>0</v>
      </c>
      <c r="BO20" s="291">
        <f>((BA20*BO5)+(BA20*$BD$20))*$BF$20</f>
        <v>0</v>
      </c>
      <c r="BP20" s="291">
        <f>((BB20*BP5)+(BB20*($BD$20/2)))*$BF$20</f>
        <v>0</v>
      </c>
      <c r="BQ20" s="291"/>
      <c r="BR20" s="291">
        <f t="shared" si="8"/>
        <v>0</v>
      </c>
      <c r="BS20" s="292" t="e">
        <f t="shared" si="9"/>
        <v>#REF!</v>
      </c>
      <c r="BT20" s="308" t="e">
        <f t="shared" si="10"/>
        <v>#REF!</v>
      </c>
    </row>
    <row r="21" spans="1:72" x14ac:dyDescent="0.35">
      <c r="A21" s="167"/>
      <c r="B21" s="167"/>
      <c r="C21" s="177"/>
      <c r="D21" s="178"/>
      <c r="E21" s="178"/>
      <c r="F21" s="178"/>
      <c r="G21" s="233"/>
      <c r="H21" s="233"/>
      <c r="I21" s="233"/>
      <c r="J21" s="233"/>
      <c r="K21" s="233"/>
      <c r="L21" s="217"/>
      <c r="M21" s="234"/>
      <c r="N21" s="234"/>
      <c r="O21" s="234"/>
      <c r="P21" s="234"/>
      <c r="Q21" s="234"/>
      <c r="R21" s="234"/>
      <c r="S21" s="234"/>
      <c r="T21" s="234"/>
      <c r="U21" s="234"/>
      <c r="V21" s="234"/>
      <c r="W21" s="234"/>
      <c r="X21" s="234"/>
      <c r="Y21" s="235"/>
      <c r="Z21" s="236"/>
      <c r="AA21" s="206"/>
      <c r="AB21" s="204"/>
      <c r="AC21" s="205"/>
      <c r="AD21" s="205"/>
      <c r="AE21" s="205"/>
      <c r="AF21" s="205"/>
      <c r="AG21" s="205"/>
      <c r="AH21" s="205"/>
      <c r="AI21" s="205"/>
      <c r="AJ21" s="205"/>
      <c r="AK21" s="205"/>
      <c r="AL21" s="205"/>
      <c r="AM21" s="223">
        <f t="shared" si="5"/>
        <v>0</v>
      </c>
      <c r="AN21" s="224">
        <f t="shared" si="6"/>
        <v>0</v>
      </c>
      <c r="AO21" s="224"/>
      <c r="AP21" s="181">
        <f t="shared" si="7"/>
        <v>0</v>
      </c>
      <c r="AQ21" s="405"/>
      <c r="AR21" s="277"/>
      <c r="AS21" s="322"/>
      <c r="AT21" s="322"/>
      <c r="AU21" s="322"/>
      <c r="AV21" s="322"/>
      <c r="AW21" s="322"/>
      <c r="AX21" s="322"/>
      <c r="AY21" s="322"/>
      <c r="AZ21" s="322"/>
      <c r="BA21" s="322"/>
      <c r="BB21" s="322"/>
      <c r="BD21" s="271"/>
      <c r="BF21" s="300"/>
      <c r="BG21" s="290"/>
      <c r="BH21" s="291"/>
      <c r="BI21" s="291"/>
      <c r="BJ21" s="291"/>
      <c r="BK21" s="291"/>
      <c r="BL21" s="291"/>
      <c r="BM21" s="291"/>
      <c r="BN21" s="291"/>
      <c r="BO21" s="291"/>
      <c r="BP21" s="291"/>
      <c r="BQ21" s="291"/>
      <c r="BR21" s="291"/>
      <c r="BS21" s="292">
        <f t="shared" si="9"/>
        <v>0</v>
      </c>
      <c r="BT21" s="308">
        <f t="shared" si="10"/>
        <v>0</v>
      </c>
    </row>
    <row r="22" spans="1:72" x14ac:dyDescent="0.35">
      <c r="A22" s="165" t="s">
        <v>24</v>
      </c>
      <c r="B22" s="165"/>
      <c r="C22" s="166" t="s">
        <v>24</v>
      </c>
      <c r="D22" s="176"/>
      <c r="E22" s="176"/>
      <c r="F22" s="175">
        <v>6</v>
      </c>
      <c r="G22" s="237"/>
      <c r="H22" s="237"/>
      <c r="I22" s="237"/>
      <c r="J22" s="237"/>
      <c r="K22" s="217">
        <v>6</v>
      </c>
      <c r="L22" s="217">
        <f>Rates!W22</f>
        <v>6</v>
      </c>
      <c r="M22" s="218"/>
      <c r="N22" s="218"/>
      <c r="O22" s="218"/>
      <c r="P22" s="218"/>
      <c r="Q22" s="218"/>
      <c r="R22" s="218"/>
      <c r="S22" s="218"/>
      <c r="T22" s="218"/>
      <c r="U22" s="218">
        <v>6</v>
      </c>
      <c r="V22" s="218"/>
      <c r="W22" s="218"/>
      <c r="X22" s="218">
        <v>6</v>
      </c>
      <c r="Y22" s="238">
        <v>127056</v>
      </c>
      <c r="Z22" s="238">
        <f>127056+60000</f>
        <v>187056</v>
      </c>
      <c r="AA22" s="206">
        <v>1.1276999999999999</v>
      </c>
      <c r="AB22" s="204">
        <f t="shared" si="4"/>
        <v>60000</v>
      </c>
      <c r="AC22" s="223">
        <f>((M22*$AC$5)+(M22*W22))*AA22</f>
        <v>0</v>
      </c>
      <c r="AD22" s="205">
        <f>((N22*($AD$5)+(N22*(W22/2))*AA22))</f>
        <v>0</v>
      </c>
      <c r="AE22" s="223">
        <f>((O22*$AE$5)+(O22*W22))*AA22</f>
        <v>0</v>
      </c>
      <c r="AF22" s="223">
        <f>((P22*($AF$5)+(P22*(W22/2)))*AA22)</f>
        <v>0</v>
      </c>
      <c r="AG22" s="223">
        <f>((Q22*$AG$5)+(Q22*W22))*AA22</f>
        <v>0</v>
      </c>
      <c r="AH22" s="223">
        <f>((R22*($AH$5)+(R22*(W22/2)))*AA22)</f>
        <v>0</v>
      </c>
      <c r="AI22" s="223">
        <f>((S22*$AI$5)+(S22*W22))*AA22</f>
        <v>0</v>
      </c>
      <c r="AJ22" s="223">
        <f>((T22*($AJ$5)+(T22*(W22/2)))*AA22)</f>
        <v>0</v>
      </c>
      <c r="AK22" s="223">
        <f>((U22*$AK$5)+(U22*W22))*AA22</f>
        <v>124247.7306</v>
      </c>
      <c r="AL22" s="223">
        <f>((V22*$AL$5)+(V22*(W22/2)))*AA22</f>
        <v>0</v>
      </c>
      <c r="AM22" s="223">
        <f t="shared" si="5"/>
        <v>124247.7306</v>
      </c>
      <c r="AN22" s="224">
        <f t="shared" si="6"/>
        <v>184247.73060000001</v>
      </c>
      <c r="AO22" s="224">
        <v>141325</v>
      </c>
      <c r="AP22" s="181">
        <f t="shared" si="7"/>
        <v>201325</v>
      </c>
      <c r="AQ22" s="405">
        <f>'[1]MFG Calc -revised rates'!$AC$23</f>
        <v>6.824657534246577</v>
      </c>
      <c r="AR22" s="277">
        <f>'[1]MFG Calc -revised rates'!$AB$23</f>
        <v>141324.70179205481</v>
      </c>
      <c r="AS22" s="322">
        <f>Rates!H22</f>
        <v>0</v>
      </c>
      <c r="AT22" s="322">
        <f>Rates!I22</f>
        <v>0</v>
      </c>
      <c r="AU22" s="322">
        <f>Rates!J22</f>
        <v>0</v>
      </c>
      <c r="AV22" s="322">
        <f>Rates!K22</f>
        <v>0</v>
      </c>
      <c r="AW22" s="322">
        <f>Rates!L22</f>
        <v>0</v>
      </c>
      <c r="AX22" s="322">
        <f>Rates!M22</f>
        <v>0</v>
      </c>
      <c r="AY22" s="322">
        <f>Rates!N22</f>
        <v>0</v>
      </c>
      <c r="AZ22" s="322">
        <f>Rates!O22</f>
        <v>0</v>
      </c>
      <c r="BA22" s="322">
        <f>Rates!P22</f>
        <v>7</v>
      </c>
      <c r="BB22" s="322">
        <f>Rates!Q22</f>
        <v>0</v>
      </c>
      <c r="BC22" s="277"/>
      <c r="BD22" s="271">
        <f>W22</f>
        <v>0</v>
      </c>
      <c r="BE22" s="271">
        <f>Rates!G22</f>
        <v>7</v>
      </c>
      <c r="BF22" s="300">
        <f>Rates!V22</f>
        <v>0</v>
      </c>
      <c r="BG22" s="290">
        <f>((AS22*BG5)+(AS22*$BD$22))*$BF$22</f>
        <v>0</v>
      </c>
      <c r="BH22" s="291">
        <f>((AT22*BH5)+(AT22*($BD$22/2)))*$BF$22</f>
        <v>0</v>
      </c>
      <c r="BI22" s="291">
        <f>((AU22*BI5)+(AU22*$BD$22))*$BF$22</f>
        <v>0</v>
      </c>
      <c r="BJ22" s="291">
        <f>((AV22*BJ5)+(AV22*($BD$22/2)))*$BF$22</f>
        <v>0</v>
      </c>
      <c r="BK22" s="291">
        <f>((AW22*BK5)+(AW22*$BD$22))*$BF$22</f>
        <v>0</v>
      </c>
      <c r="BL22" s="291">
        <f>((AX22*BL5)+(AX22*($BD$22/2)))*$BF$22</f>
        <v>0</v>
      </c>
      <c r="BM22" s="291">
        <f>((AY22*BM5)+(AY22*$BD$22))*$BF$22</f>
        <v>0</v>
      </c>
      <c r="BN22" s="291">
        <f>((AZ22*BN5)+(AZ22*($BD$22/2)))*$BF$22</f>
        <v>0</v>
      </c>
      <c r="BO22" s="291">
        <f>((BA22*BO5)+(BA22*$BD$22))*$BF$22</f>
        <v>0</v>
      </c>
      <c r="BP22" s="291">
        <f>((BB22*BP5)+(BB22*($BD$22/2)))*$BF$22</f>
        <v>0</v>
      </c>
      <c r="BQ22" s="291"/>
      <c r="BR22" s="291">
        <f t="shared" si="8"/>
        <v>0</v>
      </c>
      <c r="BS22" s="292">
        <f t="shared" si="9"/>
        <v>65833</v>
      </c>
      <c r="BT22" s="308">
        <f t="shared" si="10"/>
        <v>65833</v>
      </c>
    </row>
    <row r="23" spans="1:72" x14ac:dyDescent="0.35">
      <c r="A23" s="167"/>
      <c r="B23" s="167"/>
      <c r="C23" s="1150"/>
      <c r="D23" s="178"/>
      <c r="E23" s="178"/>
      <c r="F23" s="178"/>
      <c r="G23" s="233"/>
      <c r="H23" s="233"/>
      <c r="I23" s="233"/>
      <c r="J23" s="233"/>
      <c r="K23" s="233"/>
      <c r="L23" s="233"/>
      <c r="M23" s="234"/>
      <c r="N23" s="234"/>
      <c r="O23" s="234"/>
      <c r="P23" s="234"/>
      <c r="Q23" s="234"/>
      <c r="R23" s="234"/>
      <c r="S23" s="234"/>
      <c r="T23" s="234"/>
      <c r="U23" s="234"/>
      <c r="V23" s="234"/>
      <c r="W23" s="234"/>
      <c r="X23" s="234"/>
      <c r="Y23" s="235"/>
      <c r="Z23" s="236"/>
      <c r="AA23" s="236"/>
      <c r="AB23" s="205"/>
      <c r="AC23" s="205"/>
      <c r="AD23" s="205"/>
      <c r="AE23" s="205"/>
      <c r="AF23" s="205"/>
      <c r="AG23" s="205"/>
      <c r="AH23" s="205"/>
      <c r="AI23" s="205"/>
      <c r="AJ23" s="205"/>
      <c r="AK23" s="205"/>
      <c r="AL23" s="205"/>
      <c r="AM23" s="205"/>
      <c r="AN23" s="206"/>
      <c r="AO23" s="206"/>
      <c r="AR23" s="277"/>
      <c r="AS23" s="322"/>
      <c r="AT23" s="322"/>
      <c r="AU23" s="322"/>
      <c r="AV23" s="322"/>
      <c r="AW23" s="322"/>
      <c r="AX23" s="322"/>
      <c r="AY23" s="322"/>
      <c r="AZ23" s="322"/>
      <c r="BA23" s="322"/>
      <c r="BB23" s="322"/>
      <c r="BG23" s="290"/>
      <c r="BH23" s="291"/>
      <c r="BI23" s="291"/>
      <c r="BJ23" s="291"/>
      <c r="BK23" s="291"/>
      <c r="BL23" s="291"/>
      <c r="BM23" s="291"/>
      <c r="BN23" s="291"/>
      <c r="BO23" s="291"/>
      <c r="BP23" s="291"/>
      <c r="BQ23" s="291"/>
      <c r="BR23" s="291"/>
      <c r="BS23" s="292">
        <f t="shared" si="9"/>
        <v>0</v>
      </c>
      <c r="BT23" s="308">
        <f t="shared" si="10"/>
        <v>0</v>
      </c>
    </row>
    <row r="24" spans="1:72" ht="15" thickBot="1" x14ac:dyDescent="0.4">
      <c r="A24" s="179"/>
      <c r="B24" s="179"/>
      <c r="C24" s="1151"/>
      <c r="D24" s="180">
        <f>SUM(D9:D22)</f>
        <v>501</v>
      </c>
      <c r="E24" s="180">
        <f t="shared" ref="E24:X24" si="27">SUM(E9:E22)</f>
        <v>567</v>
      </c>
      <c r="F24" s="180">
        <f t="shared" si="27"/>
        <v>1074</v>
      </c>
      <c r="G24" s="239">
        <f t="shared" si="27"/>
        <v>25</v>
      </c>
      <c r="H24" s="239">
        <f t="shared" si="27"/>
        <v>9</v>
      </c>
      <c r="I24" s="239">
        <f t="shared" si="27"/>
        <v>449.3826639344262</v>
      </c>
      <c r="J24" s="239">
        <f t="shared" si="27"/>
        <v>410.23464232488823</v>
      </c>
      <c r="K24" s="239">
        <f t="shared" si="27"/>
        <v>100.38269374068555</v>
      </c>
      <c r="L24" s="239">
        <f t="shared" si="27"/>
        <v>1379</v>
      </c>
      <c r="M24" s="239">
        <f t="shared" si="27"/>
        <v>200</v>
      </c>
      <c r="N24" s="239">
        <f t="shared" si="27"/>
        <v>4</v>
      </c>
      <c r="O24" s="239">
        <f t="shared" si="27"/>
        <v>486</v>
      </c>
      <c r="P24" s="239">
        <f t="shared" si="27"/>
        <v>1</v>
      </c>
      <c r="Q24" s="239">
        <f t="shared" si="27"/>
        <v>0</v>
      </c>
      <c r="R24" s="239">
        <f t="shared" si="27"/>
        <v>0</v>
      </c>
      <c r="S24" s="239">
        <f t="shared" si="27"/>
        <v>564</v>
      </c>
      <c r="T24" s="239">
        <f t="shared" si="27"/>
        <v>0</v>
      </c>
      <c r="U24" s="239">
        <f t="shared" si="27"/>
        <v>77</v>
      </c>
      <c r="V24" s="239">
        <f t="shared" si="27"/>
        <v>0</v>
      </c>
      <c r="W24" s="239"/>
      <c r="X24" s="239">
        <f t="shared" si="27"/>
        <v>1108</v>
      </c>
      <c r="Y24" s="240">
        <f>SUM(Y9:Y22)</f>
        <v>20603216.267744783</v>
      </c>
      <c r="Z24" s="240">
        <f>SUM(Z9:Z22)</f>
        <v>20789972</v>
      </c>
      <c r="AA24" s="240"/>
      <c r="AB24" s="240">
        <f>SUM(AB9:AB22)</f>
        <v>12209166.666666666</v>
      </c>
      <c r="AC24" s="240">
        <f t="shared" ref="AC24:BE24" si="28">SUM(AC9:AC22)</f>
        <v>326394.45399999997</v>
      </c>
      <c r="AD24" s="240">
        <f t="shared" si="28"/>
        <v>3148</v>
      </c>
      <c r="AE24" s="240">
        <f t="shared" si="28"/>
        <v>3161023.6612999998</v>
      </c>
      <c r="AF24" s="240">
        <f t="shared" si="28"/>
        <v>3394</v>
      </c>
      <c r="AG24" s="240">
        <f t="shared" si="28"/>
        <v>0</v>
      </c>
      <c r="AH24" s="240">
        <f t="shared" si="28"/>
        <v>0</v>
      </c>
      <c r="AI24" s="240">
        <f t="shared" si="28"/>
        <v>6286702.0837999992</v>
      </c>
      <c r="AJ24" s="240">
        <f t="shared" si="28"/>
        <v>0</v>
      </c>
      <c r="AK24" s="240">
        <f t="shared" si="28"/>
        <v>1559601.2102999999</v>
      </c>
      <c r="AL24" s="240">
        <f t="shared" si="28"/>
        <v>0</v>
      </c>
      <c r="AM24" s="240">
        <f t="shared" si="28"/>
        <v>11340263.409400001</v>
      </c>
      <c r="AN24" s="240">
        <f t="shared" si="28"/>
        <v>23549430.076066662</v>
      </c>
      <c r="AO24" s="240">
        <f t="shared" si="28"/>
        <v>9117993</v>
      </c>
      <c r="AP24" s="240">
        <f t="shared" si="28"/>
        <v>21327159.666666668</v>
      </c>
      <c r="AQ24" s="283"/>
      <c r="AR24" s="457">
        <f>SUM(AR9:AR23)</f>
        <v>9117993.2112022527</v>
      </c>
      <c r="AS24" s="325">
        <f t="shared" si="28"/>
        <v>200</v>
      </c>
      <c r="AT24" s="325">
        <f t="shared" si="28"/>
        <v>4</v>
      </c>
      <c r="AU24" s="325">
        <f t="shared" si="28"/>
        <v>486</v>
      </c>
      <c r="AV24" s="325">
        <f t="shared" si="28"/>
        <v>1</v>
      </c>
      <c r="AW24" s="325">
        <f t="shared" si="28"/>
        <v>0</v>
      </c>
      <c r="AX24" s="325">
        <f t="shared" si="28"/>
        <v>0</v>
      </c>
      <c r="AY24" s="325">
        <f t="shared" si="28"/>
        <v>564</v>
      </c>
      <c r="AZ24" s="325">
        <f t="shared" si="28"/>
        <v>0</v>
      </c>
      <c r="BA24" s="325">
        <f t="shared" si="28"/>
        <v>78</v>
      </c>
      <c r="BB24" s="325">
        <f t="shared" si="28"/>
        <v>0</v>
      </c>
      <c r="BC24" s="302"/>
      <c r="BE24" s="281" t="e">
        <f t="shared" si="28"/>
        <v>#REF!</v>
      </c>
      <c r="BG24" s="295">
        <f>SUM(BG9:BG23)</f>
        <v>346072.22320000001</v>
      </c>
      <c r="BH24" s="296">
        <f t="shared" ref="BH24:BT24" si="29">SUM(BH9:BH23)</f>
        <v>4283.6304</v>
      </c>
      <c r="BI24" s="296">
        <f t="shared" si="29"/>
        <v>1842764.6286000002</v>
      </c>
      <c r="BJ24" s="296">
        <f t="shared" si="29"/>
        <v>5121.9944999999998</v>
      </c>
      <c r="BK24" s="296">
        <f t="shared" si="29"/>
        <v>0</v>
      </c>
      <c r="BL24" s="296">
        <f t="shared" si="29"/>
        <v>0</v>
      </c>
      <c r="BM24" s="296">
        <f t="shared" si="29"/>
        <v>4221133.49</v>
      </c>
      <c r="BN24" s="296">
        <f t="shared" si="29"/>
        <v>0</v>
      </c>
      <c r="BO24" s="296">
        <f t="shared" si="29"/>
        <v>805580.973</v>
      </c>
      <c r="BP24" s="296">
        <f t="shared" si="29"/>
        <v>0</v>
      </c>
      <c r="BQ24" s="296">
        <f t="shared" si="29"/>
        <v>0</v>
      </c>
      <c r="BR24" s="296">
        <f t="shared" si="29"/>
        <v>7224956.9397</v>
      </c>
      <c r="BS24" s="297" t="e">
        <f t="shared" si="29"/>
        <v>#REF!</v>
      </c>
      <c r="BT24" s="309" t="e">
        <f t="shared" si="29"/>
        <v>#REF!</v>
      </c>
    </row>
    <row r="25" spans="1:72" ht="15" thickTop="1" x14ac:dyDescent="0.35"/>
    <row r="26" spans="1:72" ht="15" thickBot="1" x14ac:dyDescent="0.4">
      <c r="BS26" s="304" t="e">
        <f>BR24+BS24</f>
        <v>#REF!</v>
      </c>
    </row>
    <row r="27" spans="1:72" ht="15" thickTop="1" x14ac:dyDescent="0.35">
      <c r="Z27" s="201"/>
      <c r="AA27" s="201"/>
    </row>
    <row r="28" spans="1:72" x14ac:dyDescent="0.35">
      <c r="X28" s="181"/>
      <c r="Z28" s="201"/>
      <c r="AA28" s="201"/>
    </row>
    <row r="30" spans="1:72" x14ac:dyDescent="0.35">
      <c r="Z30" s="201"/>
      <c r="AA30" s="201"/>
    </row>
  </sheetData>
  <mergeCells count="11">
    <mergeCell ref="C23:C24"/>
    <mergeCell ref="I7:K7"/>
    <mergeCell ref="M7:X7"/>
    <mergeCell ref="BG7:BR7"/>
    <mergeCell ref="AC3:AL4"/>
    <mergeCell ref="D7:F7"/>
    <mergeCell ref="G7:H7"/>
    <mergeCell ref="Y7:Y8"/>
    <mergeCell ref="Z7:Z8"/>
    <mergeCell ref="AP7:AP8"/>
    <mergeCell ref="AS7:BB7"/>
  </mergeCells>
  <pageMargins left="0.33" right="0.25" top="0.74803149606299213" bottom="0.74803149606299213" header="0.31496062992125984" footer="0.31496062992125984"/>
  <pageSetup paperSize="9" scale="3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B050"/>
  </sheetPr>
  <dimension ref="A1:AY29"/>
  <sheetViews>
    <sheetView workbookViewId="0">
      <pane xSplit="2" ySplit="5" topLeftCell="C6" activePane="bottomRight" state="frozen"/>
      <selection pane="topRight" activeCell="C1" sqref="C1"/>
      <selection pane="bottomLeft" activeCell="A6" sqref="A6"/>
      <selection pane="bottomRight" activeCell="A8" sqref="A8"/>
    </sheetView>
  </sheetViews>
  <sheetFormatPr defaultRowHeight="14.5" x14ac:dyDescent="0.35"/>
  <cols>
    <col min="2" max="2" width="43" customWidth="1"/>
    <col min="3" max="25" width="12.7265625" customWidth="1"/>
    <col min="51" max="51" width="10.453125" customWidth="1"/>
  </cols>
  <sheetData>
    <row r="1" spans="1:51" ht="18" x14ac:dyDescent="0.4">
      <c r="B1" s="328" t="s">
        <v>324</v>
      </c>
    </row>
    <row r="2" spans="1:51" x14ac:dyDescent="0.35">
      <c r="A2">
        <v>1</v>
      </c>
      <c r="B2" s="329">
        <v>2</v>
      </c>
      <c r="C2">
        <v>3</v>
      </c>
      <c r="D2">
        <v>4</v>
      </c>
      <c r="E2" s="329">
        <v>5</v>
      </c>
      <c r="F2">
        <v>6</v>
      </c>
      <c r="G2">
        <v>7</v>
      </c>
      <c r="H2" s="329">
        <v>8</v>
      </c>
      <c r="I2">
        <v>9</v>
      </c>
      <c r="J2">
        <v>10</v>
      </c>
      <c r="K2" s="329">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row>
    <row r="3" spans="1:51" x14ac:dyDescent="0.35">
      <c r="B3" s="330"/>
      <c r="C3" s="1186" t="s">
        <v>326</v>
      </c>
      <c r="D3" s="1187"/>
      <c r="E3" s="1187"/>
      <c r="F3" s="1187"/>
      <c r="G3" s="1187"/>
      <c r="H3" s="1187"/>
      <c r="I3" s="1187"/>
      <c r="J3" s="1187"/>
      <c r="K3" s="1187"/>
      <c r="L3" s="1187"/>
      <c r="M3" s="1188"/>
      <c r="N3" s="381"/>
      <c r="O3" s="1186" t="s">
        <v>304</v>
      </c>
      <c r="P3" s="1187"/>
      <c r="Q3" s="1187"/>
      <c r="R3" s="1187"/>
      <c r="S3" s="1187"/>
      <c r="T3" s="1187"/>
      <c r="U3" s="1187"/>
      <c r="V3" s="1187"/>
      <c r="W3" s="1187"/>
      <c r="X3" s="1187"/>
      <c r="Y3" s="1188"/>
      <c r="AA3" t="s">
        <v>194</v>
      </c>
      <c r="AM3" t="s">
        <v>194</v>
      </c>
    </row>
    <row r="4" spans="1:51" ht="15" customHeight="1" x14ac:dyDescent="0.35">
      <c r="B4" s="331"/>
      <c r="C4" s="1184" t="s">
        <v>32</v>
      </c>
      <c r="D4" s="1179" t="s">
        <v>181</v>
      </c>
      <c r="E4" s="1179" t="s">
        <v>182</v>
      </c>
      <c r="F4" s="1179" t="s">
        <v>121</v>
      </c>
      <c r="G4" s="1179" t="s">
        <v>122</v>
      </c>
      <c r="H4" s="1179" t="s">
        <v>8</v>
      </c>
      <c r="I4" s="1181" t="s">
        <v>150</v>
      </c>
      <c r="J4" s="1181"/>
      <c r="K4" s="1177" t="s">
        <v>183</v>
      </c>
      <c r="L4" s="1177" t="s">
        <v>184</v>
      </c>
      <c r="M4" s="1182" t="s">
        <v>88</v>
      </c>
      <c r="N4" s="382"/>
      <c r="O4" s="1184" t="s">
        <v>118</v>
      </c>
      <c r="P4" s="1179" t="s">
        <v>181</v>
      </c>
      <c r="Q4" s="1179" t="s">
        <v>182</v>
      </c>
      <c r="R4" s="1179" t="s">
        <v>121</v>
      </c>
      <c r="S4" s="1179" t="s">
        <v>122</v>
      </c>
      <c r="T4" s="1179" t="s">
        <v>8</v>
      </c>
      <c r="U4" s="1181" t="s">
        <v>150</v>
      </c>
      <c r="V4" s="1181"/>
      <c r="W4" s="1177" t="s">
        <v>183</v>
      </c>
      <c r="X4" s="1177" t="s">
        <v>184</v>
      </c>
      <c r="Y4" s="1182" t="s">
        <v>88</v>
      </c>
      <c r="AA4" s="1184" t="s">
        <v>118</v>
      </c>
      <c r="AB4" s="1179" t="s">
        <v>181</v>
      </c>
      <c r="AC4" s="1179" t="s">
        <v>182</v>
      </c>
      <c r="AD4" s="1179" t="s">
        <v>121</v>
      </c>
      <c r="AE4" s="1179" t="s">
        <v>122</v>
      </c>
      <c r="AF4" s="1179" t="s">
        <v>8</v>
      </c>
      <c r="AG4" s="1181" t="s">
        <v>150</v>
      </c>
      <c r="AH4" s="1181"/>
      <c r="AI4" s="1177" t="s">
        <v>183</v>
      </c>
      <c r="AJ4" s="1177" t="s">
        <v>184</v>
      </c>
      <c r="AM4" s="1184" t="s">
        <v>118</v>
      </c>
      <c r="AN4" s="1179" t="s">
        <v>181</v>
      </c>
      <c r="AO4" s="1179" t="s">
        <v>182</v>
      </c>
      <c r="AP4" s="1179" t="s">
        <v>121</v>
      </c>
      <c r="AQ4" s="1179" t="s">
        <v>122</v>
      </c>
      <c r="AR4" s="1179" t="s">
        <v>8</v>
      </c>
      <c r="AS4" s="1181" t="s">
        <v>150</v>
      </c>
      <c r="AT4" s="1181"/>
      <c r="AU4" s="1177" t="s">
        <v>183</v>
      </c>
      <c r="AV4" s="1177" t="s">
        <v>184</v>
      </c>
    </row>
    <row r="5" spans="1:51" ht="28.5" thickBot="1" x14ac:dyDescent="0.4">
      <c r="B5" s="331"/>
      <c r="C5" s="1185"/>
      <c r="D5" s="1180"/>
      <c r="E5" s="1180"/>
      <c r="F5" s="1180"/>
      <c r="G5" s="1180"/>
      <c r="H5" s="1180"/>
      <c r="I5" s="332" t="s">
        <v>185</v>
      </c>
      <c r="J5" s="332" t="s">
        <v>186</v>
      </c>
      <c r="K5" s="1178"/>
      <c r="L5" s="1178"/>
      <c r="M5" s="1183"/>
      <c r="N5" s="382"/>
      <c r="O5" s="1185"/>
      <c r="P5" s="1180"/>
      <c r="Q5" s="1180"/>
      <c r="R5" s="1180"/>
      <c r="S5" s="1180"/>
      <c r="T5" s="1180"/>
      <c r="U5" s="332" t="s">
        <v>185</v>
      </c>
      <c r="V5" s="332" t="s">
        <v>186</v>
      </c>
      <c r="W5" s="1178"/>
      <c r="X5" s="1178"/>
      <c r="Y5" s="1183"/>
      <c r="AA5" s="1185"/>
      <c r="AB5" s="1180"/>
      <c r="AC5" s="1180"/>
      <c r="AD5" s="1180"/>
      <c r="AE5" s="1180"/>
      <c r="AF5" s="1180"/>
      <c r="AG5" s="332" t="s">
        <v>185</v>
      </c>
      <c r="AH5" s="332" t="s">
        <v>186</v>
      </c>
      <c r="AI5" s="1178"/>
      <c r="AJ5" s="1178"/>
      <c r="AM5" s="1185"/>
      <c r="AN5" s="1180"/>
      <c r="AO5" s="1180"/>
      <c r="AP5" s="1180"/>
      <c r="AQ5" s="1180"/>
      <c r="AR5" s="1180"/>
      <c r="AS5" s="332" t="s">
        <v>185</v>
      </c>
      <c r="AT5" s="332" t="s">
        <v>186</v>
      </c>
      <c r="AU5" s="1178"/>
      <c r="AV5" s="1178"/>
    </row>
    <row r="6" spans="1:51" ht="21.5" thickBot="1" x14ac:dyDescent="0.4">
      <c r="A6" s="77">
        <v>125</v>
      </c>
      <c r="B6" s="868" t="s">
        <v>327</v>
      </c>
      <c r="C6" s="904">
        <v>133784</v>
      </c>
      <c r="D6" s="905">
        <v>218178</v>
      </c>
      <c r="E6" s="905">
        <v>218178</v>
      </c>
      <c r="F6" s="905">
        <v>77570</v>
      </c>
      <c r="G6" s="905">
        <v>22625</v>
      </c>
      <c r="H6" s="905">
        <f>'MFG Calc 1718'!D16</f>
        <v>0</v>
      </c>
      <c r="I6" s="905">
        <v>40332</v>
      </c>
      <c r="J6" s="905"/>
      <c r="K6" s="905">
        <v>27296</v>
      </c>
      <c r="L6" s="905">
        <f>IF('MFG Calc 1718'!D22&lt;0,'MFG Calc 1718'!D22,0)</f>
        <v>0</v>
      </c>
      <c r="M6" s="906">
        <f>SUM(C6:L6)</f>
        <v>737963</v>
      </c>
      <c r="N6" s="389" t="s">
        <v>186</v>
      </c>
      <c r="O6" s="333">
        <f>'MFG Calc 1718'!$D$7</f>
        <v>0</v>
      </c>
      <c r="P6" s="334">
        <f>'MFG Calc 1718'!$D$9</f>
        <v>0</v>
      </c>
      <c r="Q6" s="334">
        <f>'MFG Calc 1718'!$D$11</f>
        <v>0</v>
      </c>
      <c r="R6" s="334">
        <f>'MFG Calc 1718'!$D$13</f>
        <v>0</v>
      </c>
      <c r="S6" s="334">
        <f>'MFG Calc 1718'!$D$15</f>
        <v>0</v>
      </c>
      <c r="T6" s="334"/>
      <c r="U6" s="334"/>
      <c r="V6" s="334">
        <f>'MFG Calc 1718'!$D$21</f>
        <v>0</v>
      </c>
      <c r="W6" s="334"/>
      <c r="X6" s="334"/>
      <c r="Y6" s="335">
        <f t="shared" ref="Y6:Y15" si="0">SUM(O6:X6)</f>
        <v>0</v>
      </c>
      <c r="Z6" s="337" t="s">
        <v>187</v>
      </c>
      <c r="AA6" s="876">
        <v>69</v>
      </c>
      <c r="AB6" s="877">
        <v>30</v>
      </c>
      <c r="AC6" s="877">
        <v>18</v>
      </c>
      <c r="AD6" s="877">
        <v>6</v>
      </c>
      <c r="AE6" s="877">
        <v>1</v>
      </c>
      <c r="AF6" s="877">
        <f>'MFG Calc 1718'!$E$16</f>
        <v>0</v>
      </c>
      <c r="AG6" s="877"/>
      <c r="AH6" s="877"/>
      <c r="AI6" s="877"/>
      <c r="AJ6" s="877"/>
      <c r="AK6" s="878">
        <f>SUM(AA6:AJ6)</f>
        <v>124</v>
      </c>
      <c r="AL6" s="879" t="s">
        <v>188</v>
      </c>
      <c r="AM6" s="880">
        <f>'MFG Calc 1718'!$E$7</f>
        <v>0</v>
      </c>
      <c r="AN6" s="881">
        <f>'MFG Calc 1718'!$E$9</f>
        <v>0</v>
      </c>
      <c r="AO6" s="881">
        <f>'MFG Calc 1718'!$E$11</f>
        <v>0</v>
      </c>
      <c r="AP6" s="881">
        <f>'MFG Calc 1718'!$E$13</f>
        <v>0</v>
      </c>
      <c r="AQ6" s="881">
        <f>'MFG Calc 1718'!$E$15</f>
        <v>0</v>
      </c>
      <c r="AR6" s="881"/>
      <c r="AS6" s="881"/>
      <c r="AT6" s="881"/>
      <c r="AU6" s="881"/>
      <c r="AV6" s="881"/>
      <c r="AW6" s="882">
        <f>SUM(AM6:AV6)</f>
        <v>0</v>
      </c>
      <c r="AX6" s="351">
        <f>AK6+AW6</f>
        <v>124</v>
      </c>
      <c r="AY6" s="856">
        <f>M6+Y6</f>
        <v>737963</v>
      </c>
    </row>
    <row r="7" spans="1:51" s="341" customFormat="1" ht="15" thickBot="1" x14ac:dyDescent="0.4">
      <c r="A7" s="341">
        <v>126</v>
      </c>
      <c r="B7" s="869" t="s">
        <v>328</v>
      </c>
      <c r="C7" s="904">
        <v>46828</v>
      </c>
      <c r="D7" s="905">
        <v>129812</v>
      </c>
      <c r="E7" s="905">
        <v>50908</v>
      </c>
      <c r="F7" s="905">
        <v>13575</v>
      </c>
      <c r="G7" s="905">
        <v>23756</v>
      </c>
      <c r="H7" s="905">
        <f>'MFG Calc 1718'!F16</f>
        <v>0</v>
      </c>
      <c r="I7" s="905">
        <v>112315</v>
      </c>
      <c r="J7" s="905"/>
      <c r="K7" s="905">
        <v>6664</v>
      </c>
      <c r="L7" s="905">
        <f>IF('MFG Calc 1718'!F22&lt;0,'MFG Calc 1718'!F22,0)</f>
        <v>0</v>
      </c>
      <c r="M7" s="906">
        <f>SUM(C7:L7)</f>
        <v>383858</v>
      </c>
      <c r="N7" s="346" t="s">
        <v>186</v>
      </c>
      <c r="O7" s="333">
        <f>'MFG Calc 1718'!$F$7</f>
        <v>0</v>
      </c>
      <c r="P7" s="334">
        <f>'MFG Calc 1718'!$F$9</f>
        <v>0</v>
      </c>
      <c r="Q7" s="334">
        <f>'MFG Calc 1718'!$F$11</f>
        <v>0</v>
      </c>
      <c r="R7" s="334">
        <f>'MFG Calc 1718'!$F$13</f>
        <v>0</v>
      </c>
      <c r="S7" s="334">
        <f>'MFG Calc 1718'!$F$15</f>
        <v>0</v>
      </c>
      <c r="T7" s="334"/>
      <c r="U7" s="334"/>
      <c r="V7" s="334">
        <f>'MFG Calc 1718'!$F$21</f>
        <v>0</v>
      </c>
      <c r="W7" s="347"/>
      <c r="X7" s="347"/>
      <c r="Y7" s="348">
        <f t="shared" si="0"/>
        <v>0</v>
      </c>
      <c r="Z7" s="337" t="s">
        <v>187</v>
      </c>
      <c r="AA7" s="876">
        <v>23</v>
      </c>
      <c r="AB7" s="877">
        <v>17</v>
      </c>
      <c r="AC7" s="877">
        <v>4</v>
      </c>
      <c r="AD7" s="877">
        <v>1</v>
      </c>
      <c r="AE7" s="877">
        <v>1</v>
      </c>
      <c r="AF7" s="877">
        <f>'MFG Calc 1718'!$G$16</f>
        <v>0</v>
      </c>
      <c r="AG7" s="886"/>
      <c r="AH7" s="886"/>
      <c r="AI7" s="886"/>
      <c r="AJ7" s="886"/>
      <c r="AK7" s="878">
        <f t="shared" ref="AK7:AK18" si="1">SUM(AA7:AJ7)</f>
        <v>46</v>
      </c>
      <c r="AL7" s="879" t="s">
        <v>188</v>
      </c>
      <c r="AM7" s="880">
        <f>'MFG Calc 1718'!$G$7</f>
        <v>0</v>
      </c>
      <c r="AN7" s="881">
        <f>'MFG Calc 1718'!$G$9</f>
        <v>0</v>
      </c>
      <c r="AO7" s="881">
        <f>'MFG Calc 1718'!$G$11</f>
        <v>0</v>
      </c>
      <c r="AP7" s="881">
        <f>'MFG Calc 1718'!$G$13</f>
        <v>0</v>
      </c>
      <c r="AQ7" s="881">
        <f>'MFG Calc 1718'!$G$15</f>
        <v>0</v>
      </c>
      <c r="AR7" s="884"/>
      <c r="AS7" s="884"/>
      <c r="AT7" s="884"/>
      <c r="AU7" s="884"/>
      <c r="AV7" s="884"/>
      <c r="AW7" s="885">
        <f>SUM(AM7:AV7)</f>
        <v>0</v>
      </c>
      <c r="AX7" s="351">
        <f t="shared" ref="AX7:AX18" si="2">AK7+AW7</f>
        <v>46</v>
      </c>
      <c r="AY7" s="856">
        <f t="shared" ref="AY7:AY18" si="3">M7+Y7</f>
        <v>383858</v>
      </c>
    </row>
    <row r="8" spans="1:51" s="341" customFormat="1" ht="15" thickBot="1" x14ac:dyDescent="0.4">
      <c r="A8" s="341">
        <v>127</v>
      </c>
      <c r="B8" s="869" t="s">
        <v>329</v>
      </c>
      <c r="C8" s="904">
        <v>11633</v>
      </c>
      <c r="D8" s="905">
        <v>319994</v>
      </c>
      <c r="E8" s="905">
        <v>569687</v>
      </c>
      <c r="F8" s="905">
        <v>517132</v>
      </c>
      <c r="G8" s="905">
        <v>113126</v>
      </c>
      <c r="H8" s="905">
        <f>'MFG Calc 1718'!H16</f>
        <v>0</v>
      </c>
      <c r="I8" s="905">
        <v>41400</v>
      </c>
      <c r="J8" s="905">
        <v>254</v>
      </c>
      <c r="K8" s="905">
        <f>IF('MFG Calc 1718'!H22&gt;0,'MFG Calc 1718'!H22,0)</f>
        <v>0</v>
      </c>
      <c r="L8" s="905">
        <v>-25601</v>
      </c>
      <c r="M8" s="906">
        <f t="shared" ref="M8:M18" si="4">SUM(C8:L8)</f>
        <v>1547625</v>
      </c>
      <c r="N8" s="346" t="s">
        <v>186</v>
      </c>
      <c r="O8" s="333">
        <v>0</v>
      </c>
      <c r="P8" s="334">
        <v>3636</v>
      </c>
      <c r="Q8" s="334">
        <v>6061</v>
      </c>
      <c r="R8" s="334"/>
      <c r="S8" s="334">
        <f>'MFG Calc 1718'!$H$15</f>
        <v>0</v>
      </c>
      <c r="T8" s="334"/>
      <c r="U8" s="334"/>
      <c r="V8" s="334">
        <v>254</v>
      </c>
      <c r="W8" s="347"/>
      <c r="X8" s="347"/>
      <c r="Y8" s="348">
        <f t="shared" si="0"/>
        <v>9951</v>
      </c>
      <c r="Z8" s="337" t="s">
        <v>187</v>
      </c>
      <c r="AA8" s="876">
        <v>6</v>
      </c>
      <c r="AB8" s="877">
        <v>44</v>
      </c>
      <c r="AC8" s="877">
        <v>47</v>
      </c>
      <c r="AD8" s="877">
        <v>40</v>
      </c>
      <c r="AE8" s="877">
        <v>5</v>
      </c>
      <c r="AF8" s="877">
        <f>'MFG Calc 1718'!$I$16</f>
        <v>0</v>
      </c>
      <c r="AG8" s="883"/>
      <c r="AH8" s="883"/>
      <c r="AI8" s="883"/>
      <c r="AJ8" s="883"/>
      <c r="AK8" s="878">
        <f t="shared" si="1"/>
        <v>142</v>
      </c>
      <c r="AL8" s="879" t="s">
        <v>188</v>
      </c>
      <c r="AM8" s="880">
        <v>0</v>
      </c>
      <c r="AN8" s="881">
        <v>1</v>
      </c>
      <c r="AO8" s="881">
        <v>1</v>
      </c>
      <c r="AP8" s="881">
        <v>0</v>
      </c>
      <c r="AQ8" s="881">
        <f>'MFG Calc 1718'!$I$15</f>
        <v>0</v>
      </c>
      <c r="AR8" s="884"/>
      <c r="AS8" s="884"/>
      <c r="AT8" s="884"/>
      <c r="AU8" s="884"/>
      <c r="AV8" s="884"/>
      <c r="AW8" s="885">
        <f t="shared" ref="AW8:AW18" si="5">SUM(AM8:AQ8)</f>
        <v>2</v>
      </c>
      <c r="AX8" s="351">
        <f t="shared" si="2"/>
        <v>144</v>
      </c>
      <c r="AY8" s="856">
        <f t="shared" si="3"/>
        <v>1557576</v>
      </c>
    </row>
    <row r="9" spans="1:51" s="341" customFormat="1" ht="15" thickBot="1" x14ac:dyDescent="0.4">
      <c r="A9" s="341">
        <v>130</v>
      </c>
      <c r="B9" s="869" t="s">
        <v>330</v>
      </c>
      <c r="C9" s="904">
        <v>50900</v>
      </c>
      <c r="D9" s="905">
        <v>160356</v>
      </c>
      <c r="E9" s="905">
        <v>63635</v>
      </c>
      <c r="F9" s="905">
        <v>27150</v>
      </c>
      <c r="G9" s="905">
        <v>23756</v>
      </c>
      <c r="H9" s="905">
        <f>'MFG Calc 1718'!J16</f>
        <v>0</v>
      </c>
      <c r="I9" s="905">
        <v>129111</v>
      </c>
      <c r="J9" s="905"/>
      <c r="K9" s="905">
        <v>44368</v>
      </c>
      <c r="L9" s="905">
        <f>IF('MFG Calc 1718'!J22&lt;0,'MFG Calc 1718'!J22,0)</f>
        <v>0</v>
      </c>
      <c r="M9" s="906">
        <f t="shared" si="4"/>
        <v>499276</v>
      </c>
      <c r="N9" s="346" t="s">
        <v>186</v>
      </c>
      <c r="O9" s="333">
        <f>'MFG Calc 1718'!$J$7</f>
        <v>0</v>
      </c>
      <c r="P9" s="334">
        <f>'MFG Calc 1718'!$J$9</f>
        <v>0</v>
      </c>
      <c r="Q9" s="334">
        <f>'MFG Calc 1718'!$J$11</f>
        <v>0</v>
      </c>
      <c r="R9" s="334">
        <f>'MFG Calc 1718'!$J$13</f>
        <v>0</v>
      </c>
      <c r="S9" s="334">
        <f>'MFG Calc 1718'!$J$15</f>
        <v>0</v>
      </c>
      <c r="T9" s="334"/>
      <c r="U9" s="334"/>
      <c r="V9" s="334">
        <f>'MFG Calc 1718'!$J$21</f>
        <v>0</v>
      </c>
      <c r="W9" s="347"/>
      <c r="X9" s="347"/>
      <c r="Y9" s="348">
        <f t="shared" si="0"/>
        <v>0</v>
      </c>
      <c r="Z9" s="337" t="s">
        <v>187</v>
      </c>
      <c r="AA9" s="876">
        <v>25</v>
      </c>
      <c r="AB9" s="877">
        <v>21</v>
      </c>
      <c r="AC9" s="877">
        <v>5</v>
      </c>
      <c r="AD9" s="877">
        <v>2</v>
      </c>
      <c r="AE9" s="877">
        <v>1</v>
      </c>
      <c r="AF9" s="877">
        <f>'MFG Calc 1718'!$K$16</f>
        <v>0</v>
      </c>
      <c r="AG9" s="883"/>
      <c r="AH9" s="883"/>
      <c r="AI9" s="883"/>
      <c r="AJ9" s="883"/>
      <c r="AK9" s="878">
        <f t="shared" si="1"/>
        <v>54</v>
      </c>
      <c r="AL9" s="879" t="s">
        <v>188</v>
      </c>
      <c r="AM9" s="880">
        <f>'MFG Calc 1718'!$K$7</f>
        <v>0</v>
      </c>
      <c r="AN9" s="881">
        <f>'MFG Calc 1718'!$K$9</f>
        <v>0</v>
      </c>
      <c r="AO9" s="881">
        <f>'MFG Calc 1718'!$K$11</f>
        <v>0</v>
      </c>
      <c r="AP9" s="881">
        <f>'MFG Calc 1718'!$K$13</f>
        <v>0</v>
      </c>
      <c r="AQ9" s="881">
        <f>'MFG Calc 1718'!$K$15</f>
        <v>0</v>
      </c>
      <c r="AR9" s="884"/>
      <c r="AS9" s="884"/>
      <c r="AT9" s="884"/>
      <c r="AU9" s="884"/>
      <c r="AV9" s="884"/>
      <c r="AW9" s="885">
        <f t="shared" si="5"/>
        <v>0</v>
      </c>
      <c r="AX9" s="351">
        <f t="shared" si="2"/>
        <v>54</v>
      </c>
      <c r="AY9" s="856">
        <f t="shared" si="3"/>
        <v>499276</v>
      </c>
    </row>
    <row r="10" spans="1:51" s="341" customFormat="1" ht="15" thickBot="1" x14ac:dyDescent="0.4">
      <c r="A10" s="341">
        <v>132</v>
      </c>
      <c r="B10" s="345" t="s">
        <v>320</v>
      </c>
      <c r="C10" s="888"/>
      <c r="D10" s="889"/>
      <c r="E10" s="889"/>
      <c r="F10" s="889"/>
      <c r="G10" s="889"/>
      <c r="H10" s="889"/>
      <c r="I10" s="889"/>
      <c r="J10" s="889"/>
      <c r="K10" s="889">
        <f>IF('MFG Calc 1718'!L22&gt;0,'MFG Calc 1718'!L22,0)</f>
        <v>0</v>
      </c>
      <c r="L10" s="889">
        <f>IF('MFG Calc 1718'!L22&lt;0,'MFG Calc 1718'!L22,0)</f>
        <v>0</v>
      </c>
      <c r="M10" s="890">
        <f t="shared" si="4"/>
        <v>0</v>
      </c>
      <c r="N10" s="346" t="s">
        <v>186</v>
      </c>
      <c r="O10" s="333">
        <f>'MFG Calc 1718'!$L$7</f>
        <v>0</v>
      </c>
      <c r="P10" s="334">
        <f>'MFG Calc 1718'!$L$9</f>
        <v>0</v>
      </c>
      <c r="Q10" s="334">
        <f>'MFG Calc 1718'!$L$11</f>
        <v>0</v>
      </c>
      <c r="R10" s="334">
        <f>'MFG Calc 1718'!$L$13</f>
        <v>0</v>
      </c>
      <c r="S10" s="334">
        <f>'MFG Calc 1718'!$L$15</f>
        <v>0</v>
      </c>
      <c r="T10" s="334"/>
      <c r="U10" s="334"/>
      <c r="V10" s="334">
        <f>'MFG Calc 1718'!$L$21</f>
        <v>0</v>
      </c>
      <c r="W10" s="347"/>
      <c r="X10" s="347"/>
      <c r="Y10" s="348">
        <f t="shared" si="0"/>
        <v>0</v>
      </c>
      <c r="Z10" s="337" t="s">
        <v>187</v>
      </c>
      <c r="AA10" s="338"/>
      <c r="AB10" s="339"/>
      <c r="AC10" s="339"/>
      <c r="AD10" s="339"/>
      <c r="AE10" s="339"/>
      <c r="AF10" s="339"/>
      <c r="AG10" s="352"/>
      <c r="AH10" s="352"/>
      <c r="AI10" s="352"/>
      <c r="AJ10" s="352"/>
      <c r="AK10" s="340">
        <f>SUM(AA10:AJ10)-AF10</f>
        <v>0</v>
      </c>
      <c r="AL10" s="342" t="s">
        <v>188</v>
      </c>
      <c r="AM10" s="343">
        <f>'MFG Calc 1718'!$M$7</f>
        <v>0</v>
      </c>
      <c r="AN10" s="344">
        <f>'MFG Calc 1718'!$M$9</f>
        <v>0</v>
      </c>
      <c r="AO10" s="344">
        <f>'MFG Calc 1718'!$M$11</f>
        <v>0</v>
      </c>
      <c r="AP10" s="344">
        <f>'MFG Calc 1718'!$M$13</f>
        <v>0</v>
      </c>
      <c r="AQ10" s="344">
        <f>'MFG Calc 1718'!$M$15</f>
        <v>0</v>
      </c>
      <c r="AR10" s="349"/>
      <c r="AS10" s="349"/>
      <c r="AT10" s="349"/>
      <c r="AU10" s="349"/>
      <c r="AV10" s="349"/>
      <c r="AW10" s="350">
        <f t="shared" si="5"/>
        <v>0</v>
      </c>
      <c r="AX10" s="351">
        <f t="shared" si="2"/>
        <v>0</v>
      </c>
      <c r="AY10" s="856">
        <f t="shared" si="3"/>
        <v>0</v>
      </c>
    </row>
    <row r="11" spans="1:51" s="341" customFormat="1" ht="15" thickBot="1" x14ac:dyDescent="0.4">
      <c r="A11" s="341">
        <v>137</v>
      </c>
      <c r="B11" s="869" t="s">
        <v>331</v>
      </c>
      <c r="C11" s="904">
        <v>3878</v>
      </c>
      <c r="D11" s="905">
        <v>87271</v>
      </c>
      <c r="E11" s="905">
        <v>169694</v>
      </c>
      <c r="F11" s="905">
        <v>116355</v>
      </c>
      <c r="G11" s="905">
        <v>0</v>
      </c>
      <c r="H11" s="905">
        <f>'MFG Calc 1718'!N16</f>
        <v>0</v>
      </c>
      <c r="I11" s="905">
        <v>63105</v>
      </c>
      <c r="J11" s="905"/>
      <c r="K11" s="905">
        <f>IF('MFG Calc 1718'!N22&gt;0,'MFG Calc 1718'!N22,0)</f>
        <v>0</v>
      </c>
      <c r="L11" s="905">
        <v>-14990</v>
      </c>
      <c r="M11" s="906">
        <f t="shared" si="4"/>
        <v>425313</v>
      </c>
      <c r="N11" s="346" t="s">
        <v>186</v>
      </c>
      <c r="O11" s="333">
        <f>'MFG Calc 1718'!$N$7</f>
        <v>0</v>
      </c>
      <c r="P11" s="334">
        <f>'MFG Calc 1718'!$N$9</f>
        <v>0</v>
      </c>
      <c r="Q11" s="334">
        <f>'MFG Calc 1718'!$N$11</f>
        <v>0</v>
      </c>
      <c r="R11" s="334">
        <v>0</v>
      </c>
      <c r="S11" s="334">
        <f>'MFG Calc 1718'!$N$15</f>
        <v>0</v>
      </c>
      <c r="T11" s="334"/>
      <c r="U11" s="334"/>
      <c r="V11" s="334">
        <v>0</v>
      </c>
      <c r="W11" s="347"/>
      <c r="X11" s="347"/>
      <c r="Y11" s="348">
        <f t="shared" si="0"/>
        <v>0</v>
      </c>
      <c r="Z11" s="337" t="s">
        <v>187</v>
      </c>
      <c r="AA11" s="876">
        <v>2</v>
      </c>
      <c r="AB11" s="877">
        <v>12</v>
      </c>
      <c r="AC11" s="877">
        <v>14</v>
      </c>
      <c r="AD11" s="877">
        <v>9</v>
      </c>
      <c r="AE11" s="877">
        <v>0</v>
      </c>
      <c r="AF11" s="877">
        <f>'MFG Calc 1718'!$O$16</f>
        <v>0</v>
      </c>
      <c r="AG11" s="887"/>
      <c r="AH11" s="887"/>
      <c r="AI11" s="887"/>
      <c r="AJ11" s="887"/>
      <c r="AK11" s="878">
        <f t="shared" si="1"/>
        <v>37</v>
      </c>
      <c r="AL11" s="879" t="s">
        <v>188</v>
      </c>
      <c r="AM11" s="880">
        <f>'MFG Calc 1718'!$O$7</f>
        <v>0</v>
      </c>
      <c r="AN11" s="881">
        <f>'MFG Calc 1718'!$O$9</f>
        <v>0</v>
      </c>
      <c r="AO11" s="881">
        <f>'MFG Calc 1718'!$O$11</f>
        <v>0</v>
      </c>
      <c r="AP11" s="881">
        <v>0</v>
      </c>
      <c r="AQ11" s="881">
        <f>'MFG Calc 1718'!$O$15</f>
        <v>0</v>
      </c>
      <c r="AR11" s="884"/>
      <c r="AS11" s="884"/>
      <c r="AT11" s="884"/>
      <c r="AU11" s="884"/>
      <c r="AV11" s="884"/>
      <c r="AW11" s="885">
        <f t="shared" si="5"/>
        <v>0</v>
      </c>
      <c r="AX11" s="351">
        <f t="shared" si="2"/>
        <v>37</v>
      </c>
      <c r="AY11" s="856">
        <f t="shared" si="3"/>
        <v>425313</v>
      </c>
    </row>
    <row r="12" spans="1:51" s="341" customFormat="1" ht="15" thickBot="1" x14ac:dyDescent="0.4">
      <c r="A12" s="341">
        <v>138</v>
      </c>
      <c r="B12" s="869" t="s">
        <v>332</v>
      </c>
      <c r="C12" s="904">
        <v>2036</v>
      </c>
      <c r="D12" s="905">
        <v>22908</v>
      </c>
      <c r="E12" s="905"/>
      <c r="F12" s="905">
        <v>13575</v>
      </c>
      <c r="G12" s="905">
        <f>'MFG Calc 1718'!P14</f>
        <v>0</v>
      </c>
      <c r="H12" s="905">
        <f>'MFG Calc 1718'!P16</f>
        <v>0</v>
      </c>
      <c r="I12" s="905">
        <v>8489</v>
      </c>
      <c r="J12" s="905"/>
      <c r="K12" s="905">
        <f>IF('MFG Calc 1718'!P22&gt;0,'MFG Calc 1718'!P22,0)</f>
        <v>0</v>
      </c>
      <c r="L12" s="905">
        <v>-764</v>
      </c>
      <c r="M12" s="906">
        <f t="shared" si="4"/>
        <v>46244</v>
      </c>
      <c r="N12" s="346" t="s">
        <v>186</v>
      </c>
      <c r="O12" s="333">
        <f>'MFG Calc 1718'!$P$7</f>
        <v>0</v>
      </c>
      <c r="P12" s="334">
        <f>'MFG Calc 1718'!$P$9</f>
        <v>0</v>
      </c>
      <c r="Q12" s="334">
        <f>'MFG Calc 1718'!$P$11</f>
        <v>0</v>
      </c>
      <c r="R12" s="334">
        <f>'MFG Calc 1718'!$P$13</f>
        <v>0</v>
      </c>
      <c r="S12" s="334">
        <f>'MFG Calc 1718'!$P$15</f>
        <v>0</v>
      </c>
      <c r="T12" s="334"/>
      <c r="U12" s="334"/>
      <c r="V12" s="334">
        <f>'MFG Calc 1718'!$P$21</f>
        <v>0</v>
      </c>
      <c r="W12" s="347"/>
      <c r="X12" s="347"/>
      <c r="Y12" s="348">
        <f t="shared" si="0"/>
        <v>0</v>
      </c>
      <c r="Z12" s="337" t="s">
        <v>187</v>
      </c>
      <c r="AA12" s="876">
        <v>1</v>
      </c>
      <c r="AB12" s="877">
        <v>3</v>
      </c>
      <c r="AC12" s="877">
        <v>0</v>
      </c>
      <c r="AD12" s="877">
        <v>1</v>
      </c>
      <c r="AE12" s="877">
        <f>'MFG Calc 1718'!$Q$14</f>
        <v>0</v>
      </c>
      <c r="AF12" s="877">
        <f>'MFG Calc 1718'!$Q$16</f>
        <v>0</v>
      </c>
      <c r="AG12" s="883"/>
      <c r="AH12" s="883"/>
      <c r="AI12" s="883"/>
      <c r="AJ12" s="883"/>
      <c r="AK12" s="878">
        <f t="shared" si="1"/>
        <v>5</v>
      </c>
      <c r="AL12" s="879" t="s">
        <v>188</v>
      </c>
      <c r="AM12" s="880">
        <f>'MFG Calc 1718'!$Q$7</f>
        <v>0</v>
      </c>
      <c r="AN12" s="881">
        <f>'MFG Calc 1718'!$Q$9</f>
        <v>0</v>
      </c>
      <c r="AO12" s="881">
        <f>'MFG Calc 1718'!$Q$11</f>
        <v>0</v>
      </c>
      <c r="AP12" s="881">
        <f>'MFG Calc 1718'!$Q$13</f>
        <v>0</v>
      </c>
      <c r="AQ12" s="881">
        <f>'MFG Calc 1718'!$Q$15</f>
        <v>0</v>
      </c>
      <c r="AR12" s="884"/>
      <c r="AS12" s="884"/>
      <c r="AT12" s="884"/>
      <c r="AU12" s="884"/>
      <c r="AV12" s="884"/>
      <c r="AW12" s="885">
        <f t="shared" si="5"/>
        <v>0</v>
      </c>
      <c r="AX12" s="351">
        <f t="shared" si="2"/>
        <v>5</v>
      </c>
      <c r="AY12" s="856">
        <f t="shared" si="3"/>
        <v>46244</v>
      </c>
    </row>
    <row r="13" spans="1:51" s="341" customFormat="1" ht="15" thickBot="1" x14ac:dyDescent="0.4">
      <c r="A13" s="341">
        <v>139</v>
      </c>
      <c r="B13" s="869" t="s">
        <v>333</v>
      </c>
      <c r="C13" s="904">
        <v>34900</v>
      </c>
      <c r="D13" s="905">
        <v>479992</v>
      </c>
      <c r="E13" s="905">
        <v>375751</v>
      </c>
      <c r="F13" s="905">
        <v>38785</v>
      </c>
      <c r="G13" s="905">
        <v>0</v>
      </c>
      <c r="H13" s="905">
        <f>'MFG Calc 1718'!R16</f>
        <v>0</v>
      </c>
      <c r="I13" s="905">
        <v>45866</v>
      </c>
      <c r="J13" s="905">
        <v>831</v>
      </c>
      <c r="K13" s="905">
        <f>IF('MFG Calc 1718'!R22&gt;0,'MFG Calc 1718'!R22,0)</f>
        <v>0</v>
      </c>
      <c r="L13" s="905">
        <v>-64528</v>
      </c>
      <c r="M13" s="906">
        <f t="shared" si="4"/>
        <v>911597</v>
      </c>
      <c r="N13" s="346" t="s">
        <v>186</v>
      </c>
      <c r="O13" s="333">
        <v>359</v>
      </c>
      <c r="P13" s="334">
        <v>3636</v>
      </c>
      <c r="Q13" s="334">
        <v>6061</v>
      </c>
      <c r="R13" s="334">
        <v>0</v>
      </c>
      <c r="S13" s="334">
        <f>'MFG Calc 1718'!$R$15</f>
        <v>0</v>
      </c>
      <c r="T13" s="334"/>
      <c r="U13" s="334"/>
      <c r="V13" s="334">
        <v>831</v>
      </c>
      <c r="W13" s="347"/>
      <c r="X13" s="347"/>
      <c r="Y13" s="348">
        <f t="shared" si="0"/>
        <v>10887</v>
      </c>
      <c r="Z13" s="337" t="s">
        <v>187</v>
      </c>
      <c r="AA13" s="876">
        <v>18</v>
      </c>
      <c r="AB13" s="877">
        <v>66</v>
      </c>
      <c r="AC13" s="877">
        <v>31</v>
      </c>
      <c r="AD13" s="877">
        <v>3</v>
      </c>
      <c r="AE13" s="877">
        <v>0</v>
      </c>
      <c r="AF13" s="877">
        <f>'MFG Calc 1718'!$S$16</f>
        <v>0</v>
      </c>
      <c r="AG13" s="883"/>
      <c r="AH13" s="883"/>
      <c r="AI13" s="883"/>
      <c r="AJ13" s="883"/>
      <c r="AK13" s="878">
        <f t="shared" si="1"/>
        <v>118</v>
      </c>
      <c r="AL13" s="879" t="s">
        <v>188</v>
      </c>
      <c r="AM13" s="880">
        <v>0</v>
      </c>
      <c r="AN13" s="881">
        <v>1</v>
      </c>
      <c r="AO13" s="881">
        <v>1</v>
      </c>
      <c r="AP13" s="881">
        <v>3</v>
      </c>
      <c r="AQ13" s="881">
        <v>0</v>
      </c>
      <c r="AR13" s="884"/>
      <c r="AS13" s="884"/>
      <c r="AT13" s="884"/>
      <c r="AU13" s="884"/>
      <c r="AV13" s="884"/>
      <c r="AW13" s="885">
        <f t="shared" si="5"/>
        <v>5</v>
      </c>
      <c r="AX13" s="351">
        <f t="shared" si="2"/>
        <v>123</v>
      </c>
      <c r="AY13" s="856">
        <f t="shared" si="3"/>
        <v>922484</v>
      </c>
    </row>
    <row r="14" spans="1:51" s="341" customFormat="1" ht="15" thickBot="1" x14ac:dyDescent="0.4">
      <c r="A14" s="341">
        <v>141</v>
      </c>
      <c r="B14" s="869" t="s">
        <v>334</v>
      </c>
      <c r="C14" s="904">
        <v>30540</v>
      </c>
      <c r="D14" s="905">
        <v>76360</v>
      </c>
      <c r="E14" s="905">
        <v>114543</v>
      </c>
      <c r="F14" s="905">
        <v>40725</v>
      </c>
      <c r="G14" s="905">
        <f>'MFG Calc 1718'!T14</f>
        <v>0</v>
      </c>
      <c r="H14" s="905">
        <f>'MFG Calc 1718'!T16</f>
        <v>0</v>
      </c>
      <c r="I14" s="905">
        <v>63575</v>
      </c>
      <c r="J14" s="905">
        <v>13837</v>
      </c>
      <c r="K14" s="905">
        <v>31278</v>
      </c>
      <c r="L14" s="905"/>
      <c r="M14" s="906">
        <f t="shared" si="4"/>
        <v>370858</v>
      </c>
      <c r="N14" s="346" t="s">
        <v>186</v>
      </c>
      <c r="O14" s="333">
        <v>0</v>
      </c>
      <c r="P14" s="334">
        <v>0</v>
      </c>
      <c r="Q14" s="334">
        <v>0</v>
      </c>
      <c r="R14" s="334">
        <v>0</v>
      </c>
      <c r="S14" s="334">
        <f>'MFG Calc 1718'!$T$15</f>
        <v>0</v>
      </c>
      <c r="T14" s="334"/>
      <c r="U14" s="334"/>
      <c r="V14" s="334">
        <v>13837</v>
      </c>
      <c r="W14" s="347"/>
      <c r="X14" s="347"/>
      <c r="Y14" s="348">
        <f t="shared" si="0"/>
        <v>13837</v>
      </c>
      <c r="Z14" s="337" t="s">
        <v>187</v>
      </c>
      <c r="AA14" s="876">
        <v>9</v>
      </c>
      <c r="AB14" s="877">
        <v>8</v>
      </c>
      <c r="AC14" s="877">
        <v>7</v>
      </c>
      <c r="AD14" s="877">
        <v>1</v>
      </c>
      <c r="AE14" s="877">
        <f>'MFG Calc 1718'!$U$14</f>
        <v>0</v>
      </c>
      <c r="AF14" s="877">
        <f>'MFG Calc 1718'!$U$16</f>
        <v>0</v>
      </c>
      <c r="AG14" s="883"/>
      <c r="AH14" s="883"/>
      <c r="AI14" s="883"/>
      <c r="AJ14" s="883"/>
      <c r="AK14" s="878">
        <f t="shared" si="1"/>
        <v>25</v>
      </c>
      <c r="AL14" s="879" t="s">
        <v>188</v>
      </c>
      <c r="AM14" s="880">
        <v>6</v>
      </c>
      <c r="AN14" s="881">
        <v>2</v>
      </c>
      <c r="AO14" s="881">
        <v>2</v>
      </c>
      <c r="AP14" s="881">
        <v>2</v>
      </c>
      <c r="AQ14" s="881">
        <f>'MFG Calc 1718'!$U$15</f>
        <v>0</v>
      </c>
      <c r="AR14" s="884"/>
      <c r="AS14" s="884"/>
      <c r="AT14" s="884"/>
      <c r="AU14" s="884"/>
      <c r="AV14" s="884"/>
      <c r="AW14" s="885">
        <f t="shared" si="5"/>
        <v>12</v>
      </c>
      <c r="AX14" s="351">
        <f t="shared" si="2"/>
        <v>37</v>
      </c>
      <c r="AY14" s="856">
        <f t="shared" si="3"/>
        <v>384695</v>
      </c>
    </row>
    <row r="15" spans="1:51" s="341" customFormat="1" ht="15" thickBot="1" x14ac:dyDescent="0.4">
      <c r="A15" s="341">
        <v>143</v>
      </c>
      <c r="B15" s="869" t="s">
        <v>335</v>
      </c>
      <c r="C15" s="904">
        <v>118273</v>
      </c>
      <c r="D15" s="905">
        <v>261814</v>
      </c>
      <c r="E15" s="905">
        <v>169694</v>
      </c>
      <c r="F15" s="905">
        <v>64642</v>
      </c>
      <c r="G15" s="905">
        <f>'MFG Calc 1718'!V14</f>
        <v>0</v>
      </c>
      <c r="H15" s="905">
        <f>'MFG Calc 1718'!V16</f>
        <v>0</v>
      </c>
      <c r="I15" s="905">
        <v>52491</v>
      </c>
      <c r="J15" s="905"/>
      <c r="K15" s="905">
        <f>IF('MFG Calc 1718'!V22&gt;0,'MFG Calc 1718'!V22,0)</f>
        <v>0</v>
      </c>
      <c r="L15" s="905">
        <f>IF('MFG Calc 1718'!V22&lt;0,'MFG Calc 1718'!V22,0)</f>
        <v>0</v>
      </c>
      <c r="M15" s="906">
        <f t="shared" si="4"/>
        <v>666914</v>
      </c>
      <c r="N15" s="353" t="s">
        <v>186</v>
      </c>
      <c r="O15" s="333">
        <f>'MFG Calc 1718'!$V$7</f>
        <v>0</v>
      </c>
      <c r="P15" s="334">
        <f>'MFG Calc 1718'!$V$9</f>
        <v>0</v>
      </c>
      <c r="Q15" s="334">
        <f>'MFG Calc 1718'!$V$11</f>
        <v>0</v>
      </c>
      <c r="R15" s="334">
        <f>'MFG Calc 1718'!$V$13</f>
        <v>0</v>
      </c>
      <c r="S15" s="334">
        <f>'MFG Calc 1718'!$V$15</f>
        <v>0</v>
      </c>
      <c r="T15" s="334"/>
      <c r="U15" s="334"/>
      <c r="V15" s="334">
        <f>'MFG Calc 1718'!$V$21</f>
        <v>0</v>
      </c>
      <c r="W15" s="347"/>
      <c r="X15" s="347"/>
      <c r="Y15" s="348">
        <f t="shared" si="0"/>
        <v>0</v>
      </c>
      <c r="Z15" s="337" t="s">
        <v>187</v>
      </c>
      <c r="AA15" s="876">
        <v>61</v>
      </c>
      <c r="AB15" s="877">
        <v>36</v>
      </c>
      <c r="AC15" s="877">
        <v>14</v>
      </c>
      <c r="AD15" s="877">
        <v>5</v>
      </c>
      <c r="AE15" s="877">
        <f>'MFG Calc 1718'!$W$14</f>
        <v>0</v>
      </c>
      <c r="AF15" s="877">
        <f>'MFG Calc 1718'!$W$16</f>
        <v>0</v>
      </c>
      <c r="AG15" s="883"/>
      <c r="AH15" s="883"/>
      <c r="AI15" s="883"/>
      <c r="AJ15" s="883"/>
      <c r="AK15" s="878">
        <f t="shared" si="1"/>
        <v>116</v>
      </c>
      <c r="AL15" s="879" t="s">
        <v>188</v>
      </c>
      <c r="AM15" s="880">
        <f>'MFG Calc 1718'!$W$7</f>
        <v>0</v>
      </c>
      <c r="AN15" s="881">
        <f>'MFG Calc 1718'!$W$9</f>
        <v>0</v>
      </c>
      <c r="AO15" s="881">
        <f>'MFG Calc 1718'!$W$11</f>
        <v>0</v>
      </c>
      <c r="AP15" s="881">
        <f>'MFG Calc 1718'!$W$13</f>
        <v>0</v>
      </c>
      <c r="AQ15" s="881">
        <f>'MFG Calc 1718'!$W$15</f>
        <v>0</v>
      </c>
      <c r="AR15" s="884"/>
      <c r="AS15" s="884"/>
      <c r="AT15" s="884"/>
      <c r="AU15" s="884"/>
      <c r="AV15" s="884"/>
      <c r="AW15" s="885">
        <f t="shared" si="5"/>
        <v>0</v>
      </c>
      <c r="AX15" s="351">
        <f t="shared" si="2"/>
        <v>116</v>
      </c>
      <c r="AY15" s="856">
        <f t="shared" si="3"/>
        <v>666914</v>
      </c>
    </row>
    <row r="16" spans="1:51" s="341" customFormat="1" ht="15" thickBot="1" x14ac:dyDescent="0.4">
      <c r="A16" s="341">
        <v>144</v>
      </c>
      <c r="B16" s="869" t="s">
        <v>336</v>
      </c>
      <c r="C16" s="904">
        <v>89189</v>
      </c>
      <c r="D16" s="905">
        <v>814531</v>
      </c>
      <c r="E16" s="905">
        <v>1078769</v>
      </c>
      <c r="F16" s="905">
        <v>723985</v>
      </c>
      <c r="G16" s="905">
        <v>113126</v>
      </c>
      <c r="H16" s="905">
        <f>'MFG Calc 1718'!X16</f>
        <v>0</v>
      </c>
      <c r="I16" s="905">
        <f>'MFG Calc 1718'!X20</f>
        <v>0</v>
      </c>
      <c r="J16" s="905"/>
      <c r="K16" s="905">
        <f>IF('MFG Calc 1718'!X22&gt;0,'MFG Calc 1718'!X22,0)</f>
        <v>0</v>
      </c>
      <c r="L16" s="905">
        <v>-198429</v>
      </c>
      <c r="M16" s="906">
        <f t="shared" si="4"/>
        <v>2621171</v>
      </c>
      <c r="N16" s="346" t="s">
        <v>186</v>
      </c>
      <c r="O16" s="333"/>
      <c r="P16" s="334"/>
      <c r="Q16" s="334"/>
      <c r="R16" s="334"/>
      <c r="S16" s="334"/>
      <c r="T16" s="334"/>
      <c r="U16" s="334"/>
      <c r="V16" s="334"/>
      <c r="W16" s="347"/>
      <c r="X16" s="347"/>
      <c r="Y16" s="348"/>
      <c r="Z16" s="337" t="s">
        <v>187</v>
      </c>
      <c r="AA16" s="876">
        <v>46</v>
      </c>
      <c r="AB16" s="877">
        <v>112</v>
      </c>
      <c r="AC16" s="877">
        <v>89</v>
      </c>
      <c r="AD16" s="877">
        <v>56</v>
      </c>
      <c r="AE16" s="877">
        <v>5</v>
      </c>
      <c r="AF16" s="877">
        <v>0</v>
      </c>
      <c r="AG16" s="883"/>
      <c r="AH16" s="883"/>
      <c r="AI16" s="883"/>
      <c r="AJ16" s="883"/>
      <c r="AK16" s="878">
        <f t="shared" si="1"/>
        <v>308</v>
      </c>
      <c r="AL16" s="879" t="s">
        <v>188</v>
      </c>
      <c r="AM16" s="880">
        <v>0</v>
      </c>
      <c r="AN16" s="881">
        <v>0</v>
      </c>
      <c r="AO16" s="881">
        <v>0</v>
      </c>
      <c r="AP16" s="881">
        <v>0</v>
      </c>
      <c r="AQ16" s="881">
        <v>0</v>
      </c>
      <c r="AR16" s="884"/>
      <c r="AS16" s="884"/>
      <c r="AT16" s="884"/>
      <c r="AU16" s="884"/>
      <c r="AV16" s="884"/>
      <c r="AW16" s="885">
        <f t="shared" si="5"/>
        <v>0</v>
      </c>
      <c r="AX16" s="351">
        <f t="shared" si="2"/>
        <v>308</v>
      </c>
      <c r="AY16" s="856">
        <f t="shared" si="3"/>
        <v>2621171</v>
      </c>
    </row>
    <row r="17" spans="1:51" s="341" customFormat="1" ht="15" thickBot="1" x14ac:dyDescent="0.4">
      <c r="A17" s="341">
        <v>145</v>
      </c>
      <c r="B17" s="869" t="s">
        <v>337</v>
      </c>
      <c r="C17" s="904">
        <v>17450</v>
      </c>
      <c r="D17" s="905">
        <v>319994</v>
      </c>
      <c r="E17" s="905">
        <v>230299</v>
      </c>
      <c r="F17" s="905">
        <v>245638</v>
      </c>
      <c r="G17" s="905">
        <v>45250</v>
      </c>
      <c r="H17" s="905">
        <f>'MFG Calc 1718'!Z16</f>
        <v>0</v>
      </c>
      <c r="I17" s="905">
        <v>49275</v>
      </c>
      <c r="J17" s="905"/>
      <c r="K17" s="905">
        <v>0</v>
      </c>
      <c r="L17" s="905">
        <v>-4386</v>
      </c>
      <c r="M17" s="906">
        <f t="shared" si="4"/>
        <v>903520</v>
      </c>
      <c r="N17" s="346" t="s">
        <v>186</v>
      </c>
      <c r="O17" s="333"/>
      <c r="P17" s="334"/>
      <c r="Q17" s="334"/>
      <c r="R17" s="334"/>
      <c r="S17" s="334"/>
      <c r="T17" s="334"/>
      <c r="U17" s="334"/>
      <c r="V17" s="334"/>
      <c r="W17" s="347"/>
      <c r="X17" s="347"/>
      <c r="Y17" s="348"/>
      <c r="Z17" s="337" t="s">
        <v>187</v>
      </c>
      <c r="AA17" s="876">
        <v>9</v>
      </c>
      <c r="AB17" s="877">
        <v>44</v>
      </c>
      <c r="AC17" s="877">
        <v>19</v>
      </c>
      <c r="AD17" s="877">
        <v>19</v>
      </c>
      <c r="AE17" s="877">
        <v>2</v>
      </c>
      <c r="AF17" s="877">
        <f>'MFG Calc 1718'!$AA$16</f>
        <v>0</v>
      </c>
      <c r="AG17" s="883"/>
      <c r="AH17" s="883"/>
      <c r="AI17" s="883"/>
      <c r="AJ17" s="883"/>
      <c r="AK17" s="878">
        <f t="shared" si="1"/>
        <v>93</v>
      </c>
      <c r="AL17" s="879" t="s">
        <v>188</v>
      </c>
      <c r="AM17" s="880">
        <f>'MFG Calc 1718'!$AA$7</f>
        <v>0</v>
      </c>
      <c r="AN17" s="881">
        <f>'MFG Calc 1718'!$AA$9</f>
        <v>0</v>
      </c>
      <c r="AO17" s="881">
        <f>'MFG Calc 1718'!$AA$11</f>
        <v>0</v>
      </c>
      <c r="AP17" s="881">
        <f>'MFG Calc 1718'!$AA$13</f>
        <v>0</v>
      </c>
      <c r="AQ17" s="881">
        <v>0</v>
      </c>
      <c r="AR17" s="884"/>
      <c r="AS17" s="884"/>
      <c r="AT17" s="884"/>
      <c r="AU17" s="884"/>
      <c r="AV17" s="884"/>
      <c r="AW17" s="885">
        <f t="shared" si="5"/>
        <v>0</v>
      </c>
      <c r="AX17" s="351">
        <f t="shared" si="2"/>
        <v>93</v>
      </c>
      <c r="AY17" s="856">
        <f t="shared" si="3"/>
        <v>903520</v>
      </c>
    </row>
    <row r="18" spans="1:51" s="341" customFormat="1" ht="15" thickBot="1" x14ac:dyDescent="0.4">
      <c r="A18" s="341" t="s">
        <v>24</v>
      </c>
      <c r="B18" s="869" t="s">
        <v>338</v>
      </c>
      <c r="C18" s="904">
        <f>'MFG Calc 1718'!AB6</f>
        <v>0</v>
      </c>
      <c r="D18" s="905">
        <f>'MFG Calc 1718'!AB8</f>
        <v>0</v>
      </c>
      <c r="E18" s="905">
        <f>'MFG Calc 1718'!AB10</f>
        <v>0</v>
      </c>
      <c r="F18" s="905">
        <f>'MFG Calc 1718'!AB12</f>
        <v>0</v>
      </c>
      <c r="G18" s="905">
        <v>126474</v>
      </c>
      <c r="H18" s="905">
        <f>'MFG Calc 1718'!AB16</f>
        <v>0</v>
      </c>
      <c r="I18" s="905">
        <f>'MFG Calc 1718'!AB20</f>
        <v>0</v>
      </c>
      <c r="J18" s="905"/>
      <c r="K18" s="905">
        <f>IF('MFG Calc 1718'!AB22&gt;0,'MFG Calc 1718'!AB22,0)</f>
        <v>0</v>
      </c>
      <c r="L18" s="905">
        <v>-5783</v>
      </c>
      <c r="M18" s="906">
        <f t="shared" si="4"/>
        <v>120691</v>
      </c>
      <c r="N18" s="346" t="s">
        <v>186</v>
      </c>
      <c r="O18" s="333"/>
      <c r="P18" s="334"/>
      <c r="Q18" s="334"/>
      <c r="R18" s="334"/>
      <c r="S18" s="334"/>
      <c r="T18" s="334"/>
      <c r="U18" s="334"/>
      <c r="V18" s="334"/>
      <c r="W18" s="347"/>
      <c r="X18" s="347"/>
      <c r="Y18" s="348"/>
      <c r="Z18" s="337" t="s">
        <v>187</v>
      </c>
      <c r="AA18" s="338">
        <f>'MFG Calc 1718'!$AC$6</f>
        <v>0</v>
      </c>
      <c r="AB18" s="339">
        <f>'MFG Calc 1718'!$AC$8</f>
        <v>0</v>
      </c>
      <c r="AC18" s="339">
        <f>'MFG Calc 1718'!$AC$10</f>
        <v>0</v>
      </c>
      <c r="AD18" s="339">
        <f>'MFG Calc 1718'!$AC$12</f>
        <v>0</v>
      </c>
      <c r="AE18" s="339">
        <f>'MFG Calc 1718'!$AC$14</f>
        <v>5.9999734807801959</v>
      </c>
      <c r="AF18" s="339">
        <f>'MFG Calc 1718'!$AC$16</f>
        <v>0</v>
      </c>
      <c r="AG18" s="352"/>
      <c r="AH18" s="352"/>
      <c r="AI18" s="352"/>
      <c r="AJ18" s="352"/>
      <c r="AK18" s="340">
        <f t="shared" si="1"/>
        <v>5.9999734807801959</v>
      </c>
      <c r="AL18" s="342" t="s">
        <v>188</v>
      </c>
      <c r="AM18" s="343">
        <f>'MFG Calc 1718'!$AC$7</f>
        <v>0</v>
      </c>
      <c r="AN18" s="344">
        <f>'MFG Calc 1718'!$AC$9</f>
        <v>0</v>
      </c>
      <c r="AO18" s="344">
        <f>'MFG Calc 1718'!$AC$11</f>
        <v>0</v>
      </c>
      <c r="AP18" s="344">
        <f>'MFG Calc 1718'!$AC$13</f>
        <v>0</v>
      </c>
      <c r="AQ18" s="344">
        <f>'MFG Calc 1718'!$AC$15</f>
        <v>0</v>
      </c>
      <c r="AR18" s="349"/>
      <c r="AS18" s="349"/>
      <c r="AT18" s="349"/>
      <c r="AU18" s="349"/>
      <c r="AV18" s="349"/>
      <c r="AW18" s="350">
        <f t="shared" si="5"/>
        <v>0</v>
      </c>
      <c r="AX18" s="351">
        <f t="shared" si="2"/>
        <v>5.9999734807801959</v>
      </c>
      <c r="AY18" s="856">
        <f t="shared" si="3"/>
        <v>120691</v>
      </c>
    </row>
    <row r="19" spans="1:51" x14ac:dyDescent="0.35">
      <c r="C19" s="907"/>
      <c r="D19" s="907"/>
      <c r="E19" s="907"/>
      <c r="F19" s="907"/>
      <c r="G19" s="907"/>
      <c r="H19" s="907"/>
      <c r="I19" s="907"/>
      <c r="J19" s="907"/>
      <c r="K19" s="907"/>
      <c r="L19" s="907"/>
      <c r="M19" s="907"/>
      <c r="N19" s="383"/>
      <c r="O19" s="383"/>
      <c r="P19" s="383"/>
      <c r="Q19" s="383"/>
      <c r="R19" s="383"/>
      <c r="S19" s="383"/>
      <c r="T19" s="383"/>
      <c r="U19" s="383"/>
      <c r="V19" s="383"/>
      <c r="W19" s="383"/>
      <c r="X19" s="383"/>
      <c r="Y19" s="383"/>
      <c r="AY19" s="856">
        <f>SUM(AY6:AY18)</f>
        <v>9269705</v>
      </c>
    </row>
    <row r="20" spans="1:51" s="341" customFormat="1" ht="15" thickBot="1" x14ac:dyDescent="0.4">
      <c r="AA20" s="446">
        <f>SUM(AA6:AA19)</f>
        <v>269</v>
      </c>
      <c r="AB20" s="446">
        <f t="shared" ref="AB20:AJ20" si="6">SUM(AB6:AB19)</f>
        <v>393</v>
      </c>
      <c r="AC20" s="446">
        <f t="shared" si="6"/>
        <v>248</v>
      </c>
      <c r="AD20" s="446">
        <f t="shared" si="6"/>
        <v>143</v>
      </c>
      <c r="AE20" s="446">
        <f t="shared" si="6"/>
        <v>20.999973480780195</v>
      </c>
      <c r="AF20" s="446">
        <f t="shared" si="6"/>
        <v>0</v>
      </c>
      <c r="AG20" s="446">
        <f t="shared" si="6"/>
        <v>0</v>
      </c>
      <c r="AH20" s="446">
        <f t="shared" si="6"/>
        <v>0</v>
      </c>
      <c r="AI20" s="446">
        <f t="shared" si="6"/>
        <v>0</v>
      </c>
      <c r="AJ20" s="446">
        <f t="shared" si="6"/>
        <v>0</v>
      </c>
      <c r="AW20" s="857">
        <f>SUM(AW6:AW19)</f>
        <v>19</v>
      </c>
      <c r="AX20" s="857">
        <f>SUM(AX6:AX19)</f>
        <v>1092.9999734807802</v>
      </c>
    </row>
    <row r="21" spans="1:51" ht="15.5" thickTop="1" thickBot="1" x14ac:dyDescent="0.4"/>
    <row r="22" spans="1:51" x14ac:dyDescent="0.35">
      <c r="B22" s="354"/>
      <c r="C22" s="355"/>
      <c r="D22" s="355"/>
      <c r="E22" s="355"/>
      <c r="F22" s="355"/>
      <c r="G22" s="355"/>
      <c r="H22" s="355"/>
      <c r="I22" s="355"/>
      <c r="J22" s="355"/>
      <c r="K22" s="355"/>
      <c r="L22" s="355"/>
      <c r="M22" s="355"/>
      <c r="N22" s="356"/>
      <c r="O22" s="356"/>
      <c r="P22" s="356"/>
      <c r="Q22" s="356"/>
      <c r="R22" s="356"/>
      <c r="S22" s="356"/>
      <c r="T22" s="356"/>
      <c r="U22" s="356"/>
      <c r="V22" s="356"/>
      <c r="W22" s="356"/>
      <c r="X22" s="356"/>
      <c r="Y22" s="356"/>
    </row>
    <row r="23" spans="1:51" ht="15" thickBot="1" x14ac:dyDescent="0.4">
      <c r="B23" s="357" t="s">
        <v>189</v>
      </c>
      <c r="C23" s="358">
        <f t="shared" ref="C23:M23" si="7">SUM(C6+C7+C8+C9+C10+C11+C12+C13+C14+C15+C16+C17+C18)</f>
        <v>539411</v>
      </c>
      <c r="D23" s="359">
        <f t="shared" si="7"/>
        <v>2891210</v>
      </c>
      <c r="E23" s="359">
        <f t="shared" si="7"/>
        <v>3041158</v>
      </c>
      <c r="F23" s="359">
        <f t="shared" si="7"/>
        <v>1879132</v>
      </c>
      <c r="G23" s="359">
        <f t="shared" si="7"/>
        <v>468113</v>
      </c>
      <c r="H23" s="359">
        <f t="shared" si="7"/>
        <v>0</v>
      </c>
      <c r="I23" s="359">
        <f t="shared" si="7"/>
        <v>605959</v>
      </c>
      <c r="J23" s="359">
        <f t="shared" si="7"/>
        <v>14922</v>
      </c>
      <c r="K23" s="359">
        <f t="shared" si="7"/>
        <v>109606</v>
      </c>
      <c r="L23" s="359">
        <f t="shared" si="7"/>
        <v>-314481</v>
      </c>
      <c r="M23" s="360">
        <f t="shared" si="7"/>
        <v>9235030</v>
      </c>
      <c r="N23" s="384"/>
      <c r="O23" s="384"/>
      <c r="P23" s="384"/>
      <c r="Q23" s="384"/>
      <c r="R23" s="384"/>
      <c r="S23" s="384"/>
      <c r="T23" s="384"/>
      <c r="U23" s="384"/>
      <c r="V23" s="384"/>
      <c r="W23" s="384"/>
      <c r="X23" s="384"/>
      <c r="Y23" s="384"/>
      <c r="AW23" s="858">
        <f>SUM(AA20:AF20)+AW20-AF20</f>
        <v>1092.9999734807802</v>
      </c>
    </row>
    <row r="24" spans="1:51" s="336" customFormat="1" ht="15.5" thickTop="1" thickBot="1" x14ac:dyDescent="0.4">
      <c r="B24" s="361" t="s">
        <v>190</v>
      </c>
      <c r="C24" s="362">
        <f>SUM(O6+O7+O8+O9+O10+O11+O12+O13+O14+O15+O16+O17+O18)</f>
        <v>359</v>
      </c>
      <c r="D24" s="362">
        <f t="shared" ref="D24:M24" si="8">SUM(P6+P7+P8+P9+P10+P11+P12+P13+P14+P15+P16+P17+P18)</f>
        <v>7272</v>
      </c>
      <c r="E24" s="362">
        <f t="shared" si="8"/>
        <v>12122</v>
      </c>
      <c r="F24" s="362">
        <f t="shared" si="8"/>
        <v>0</v>
      </c>
      <c r="G24" s="362">
        <f t="shared" si="8"/>
        <v>0</v>
      </c>
      <c r="H24" s="362">
        <f t="shared" si="8"/>
        <v>0</v>
      </c>
      <c r="I24" s="362">
        <f t="shared" si="8"/>
        <v>0</v>
      </c>
      <c r="J24" s="362">
        <f t="shared" si="8"/>
        <v>14922</v>
      </c>
      <c r="K24" s="362">
        <f t="shared" si="8"/>
        <v>0</v>
      </c>
      <c r="L24" s="362">
        <f t="shared" si="8"/>
        <v>0</v>
      </c>
      <c r="M24" s="363">
        <f t="shared" si="8"/>
        <v>34675</v>
      </c>
      <c r="N24" s="385"/>
      <c r="O24" s="385"/>
      <c r="P24" s="385"/>
      <c r="Q24" s="385"/>
      <c r="R24" s="385"/>
      <c r="S24" s="385"/>
      <c r="T24" s="385"/>
      <c r="U24" s="385"/>
      <c r="V24" s="385"/>
      <c r="W24" s="385"/>
      <c r="X24" s="385"/>
      <c r="Y24" s="385"/>
    </row>
    <row r="25" spans="1:51" ht="15.5" thickTop="1" thickBot="1" x14ac:dyDescent="0.4">
      <c r="B25" s="364"/>
      <c r="M25" s="365">
        <f>SUM(M23:M24)</f>
        <v>9269705</v>
      </c>
      <c r="N25" s="384"/>
      <c r="O25" s="384"/>
      <c r="P25" s="384"/>
      <c r="Q25" s="384"/>
      <c r="R25" s="384"/>
      <c r="S25" s="384"/>
      <c r="T25" s="384"/>
      <c r="U25" s="384"/>
      <c r="V25" s="384"/>
      <c r="W25" s="384"/>
      <c r="X25" s="384"/>
      <c r="Y25" s="384"/>
      <c r="AL25" t="s">
        <v>193</v>
      </c>
    </row>
    <row r="26" spans="1:51" x14ac:dyDescent="0.35">
      <c r="B26" s="366" t="s">
        <v>191</v>
      </c>
      <c r="C26" s="367">
        <f t="shared" ref="C26:L26" si="9">SUM(AA6+AA7+AA8+AA9+AA10+AA11+AA12+AA13+AA14+AA15+AA16+AA17+AA18)</f>
        <v>269</v>
      </c>
      <c r="D26" s="368">
        <f t="shared" si="9"/>
        <v>393</v>
      </c>
      <c r="E26" s="369">
        <f t="shared" si="9"/>
        <v>248</v>
      </c>
      <c r="F26" s="367">
        <f t="shared" si="9"/>
        <v>143</v>
      </c>
      <c r="G26" s="369">
        <f t="shared" si="9"/>
        <v>20.999973480780195</v>
      </c>
      <c r="H26" s="367">
        <f t="shared" si="9"/>
        <v>0</v>
      </c>
      <c r="I26" s="369">
        <f t="shared" si="9"/>
        <v>0</v>
      </c>
      <c r="J26" s="367">
        <f t="shared" si="9"/>
        <v>0</v>
      </c>
      <c r="K26" s="369">
        <f t="shared" si="9"/>
        <v>0</v>
      </c>
      <c r="L26" s="370">
        <f t="shared" si="9"/>
        <v>0</v>
      </c>
      <c r="M26" s="371">
        <f>SUM(C26:G26)</f>
        <v>1073.9999734807802</v>
      </c>
      <c r="N26" s="386"/>
      <c r="O26" s="386"/>
      <c r="P26" s="386"/>
      <c r="Q26" s="386"/>
      <c r="R26" s="386"/>
      <c r="S26" s="386"/>
      <c r="T26" s="386"/>
      <c r="U26" s="386"/>
      <c r="V26" s="386"/>
      <c r="W26" s="386"/>
      <c r="X26" s="386"/>
      <c r="Y26" s="386"/>
    </row>
    <row r="27" spans="1:51" s="336" customFormat="1" ht="15" thickBot="1" x14ac:dyDescent="0.4">
      <c r="B27" s="372" t="s">
        <v>192</v>
      </c>
      <c r="C27" s="373">
        <f t="shared" ref="C27:L27" si="10">SUM(AM6+AM7+AM8+AM9+AM10+AM11+AM12+AM13+AM14+AM15+AM16+AM17+AM18)</f>
        <v>6</v>
      </c>
      <c r="D27" s="374">
        <f t="shared" si="10"/>
        <v>4</v>
      </c>
      <c r="E27" s="375">
        <f t="shared" si="10"/>
        <v>4</v>
      </c>
      <c r="F27" s="376">
        <f t="shared" si="10"/>
        <v>5</v>
      </c>
      <c r="G27" s="375">
        <f t="shared" si="10"/>
        <v>0</v>
      </c>
      <c r="H27" s="376">
        <f t="shared" si="10"/>
        <v>0</v>
      </c>
      <c r="I27" s="375">
        <f t="shared" si="10"/>
        <v>0</v>
      </c>
      <c r="J27" s="376">
        <f t="shared" si="10"/>
        <v>0</v>
      </c>
      <c r="K27" s="375">
        <f t="shared" si="10"/>
        <v>0</v>
      </c>
      <c r="L27" s="377">
        <f t="shared" si="10"/>
        <v>0</v>
      </c>
      <c r="M27" s="378">
        <f>SUM(C27:L27)</f>
        <v>19</v>
      </c>
      <c r="N27" s="387"/>
      <c r="O27" s="387"/>
      <c r="P27" s="387"/>
      <c r="Q27" s="387"/>
      <c r="R27" s="387"/>
      <c r="S27" s="387"/>
      <c r="T27" s="387"/>
      <c r="U27" s="387"/>
      <c r="V27" s="387"/>
      <c r="W27" s="387"/>
      <c r="X27" s="387"/>
      <c r="Y27" s="387"/>
    </row>
    <row r="28" spans="1:51" ht="15" thickBot="1" x14ac:dyDescent="0.4">
      <c r="B28" s="379"/>
      <c r="C28" s="380">
        <f>SUM(C26:C27)</f>
        <v>275</v>
      </c>
      <c r="D28" s="380">
        <f t="shared" ref="D28:M28" si="11">SUM(D26:D27)</f>
        <v>397</v>
      </c>
      <c r="E28" s="380">
        <f t="shared" si="11"/>
        <v>252</v>
      </c>
      <c r="F28" s="380">
        <f t="shared" si="11"/>
        <v>148</v>
      </c>
      <c r="G28" s="380">
        <f t="shared" si="11"/>
        <v>20.999973480780195</v>
      </c>
      <c r="H28" s="380">
        <f t="shared" si="11"/>
        <v>0</v>
      </c>
      <c r="I28" s="380">
        <f t="shared" si="11"/>
        <v>0</v>
      </c>
      <c r="J28" s="380">
        <f t="shared" si="11"/>
        <v>0</v>
      </c>
      <c r="K28" s="380">
        <f t="shared" si="11"/>
        <v>0</v>
      </c>
      <c r="L28" s="380">
        <f t="shared" si="11"/>
        <v>0</v>
      </c>
      <c r="M28" s="380">
        <f t="shared" si="11"/>
        <v>1092.9999734807802</v>
      </c>
      <c r="N28" s="388"/>
      <c r="O28" s="388"/>
      <c r="P28" s="388"/>
      <c r="Q28" s="388"/>
      <c r="R28" s="388"/>
      <c r="S28" s="388"/>
      <c r="T28" s="388"/>
      <c r="U28" s="388"/>
      <c r="V28" s="388"/>
      <c r="W28" s="388"/>
      <c r="X28" s="388"/>
      <c r="Y28" s="388"/>
    </row>
    <row r="29" spans="1:51" ht="15" thickTop="1" x14ac:dyDescent="0.35">
      <c r="B29" s="354"/>
      <c r="M29" s="351">
        <f>AK6+AW6+AK7+AW7+AK8+AW8+AK9+AW9+AK10+AW10+AK11+AW11+AK12+AW12+AK13+AW13+AK14+AW14+AK15+AW15+AK16+AW16+AK17+AW17+AK18+AW18</f>
        <v>1092.9999734807802</v>
      </c>
      <c r="N29" s="351"/>
      <c r="O29" s="351"/>
      <c r="P29" s="351"/>
      <c r="Q29" s="351"/>
      <c r="R29" s="351"/>
      <c r="S29" s="351"/>
      <c r="T29" s="351"/>
      <c r="U29" s="351"/>
      <c r="V29" s="351"/>
      <c r="W29" s="351"/>
      <c r="X29" s="351"/>
      <c r="Y29" s="351"/>
    </row>
  </sheetData>
  <mergeCells count="40">
    <mergeCell ref="AA4:AA5"/>
    <mergeCell ref="AB4:AB5"/>
    <mergeCell ref="C3:M3"/>
    <mergeCell ref="C4:C5"/>
    <mergeCell ref="D4:D5"/>
    <mergeCell ref="E4:E5"/>
    <mergeCell ref="F4:F5"/>
    <mergeCell ref="G4:G5"/>
    <mergeCell ref="H4:H5"/>
    <mergeCell ref="I4:J4"/>
    <mergeCell ref="K4:K5"/>
    <mergeCell ref="L4:L5"/>
    <mergeCell ref="M4:M5"/>
    <mergeCell ref="X4:X5"/>
    <mergeCell ref="O3:Y3"/>
    <mergeCell ref="T4:T5"/>
    <mergeCell ref="AC4:AC5"/>
    <mergeCell ref="AD4:AD5"/>
    <mergeCell ref="AM4:AM5"/>
    <mergeCell ref="AF4:AF5"/>
    <mergeCell ref="AG4:AH4"/>
    <mergeCell ref="AI4:AI5"/>
    <mergeCell ref="AJ4:AJ5"/>
    <mergeCell ref="AE4:AE5"/>
    <mergeCell ref="U4:V4"/>
    <mergeCell ref="Y4:Y5"/>
    <mergeCell ref="O4:O5"/>
    <mergeCell ref="P4:P5"/>
    <mergeCell ref="Q4:Q5"/>
    <mergeCell ref="R4:R5"/>
    <mergeCell ref="S4:S5"/>
    <mergeCell ref="W4:W5"/>
    <mergeCell ref="AU4:AU5"/>
    <mergeCell ref="AV4:AV5"/>
    <mergeCell ref="AN4:AN5"/>
    <mergeCell ref="AO4:AO5"/>
    <mergeCell ref="AP4:AP5"/>
    <mergeCell ref="AQ4:AQ5"/>
    <mergeCell ref="AR4:AR5"/>
    <mergeCell ref="AS4:AT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Calculator</vt:lpstr>
      <vt:lpstr>Notes</vt:lpstr>
      <vt:lpstr>Key Figures</vt:lpstr>
      <vt:lpstr>ISB</vt:lpstr>
      <vt:lpstr>Sheet2</vt:lpstr>
      <vt:lpstr>Sheet1</vt:lpstr>
      <vt:lpstr>Sheet3</vt:lpstr>
      <vt:lpstr>14-15 Budget working</vt:lpstr>
      <vt:lpstr>Sheet7</vt:lpstr>
      <vt:lpstr>Monthly Calculator</vt:lpstr>
      <vt:lpstr>MFG</vt:lpstr>
      <vt:lpstr>Rates</vt:lpstr>
      <vt:lpstr>Rates to apply</vt:lpstr>
      <vt:lpstr>Sheet4</vt:lpstr>
      <vt:lpstr>Sheet5</vt:lpstr>
      <vt:lpstr>Analysis</vt:lpstr>
      <vt:lpstr>MFG Calc 1718</vt:lpstr>
      <vt:lpstr>'14-15 Budget working'!Print_Area</vt:lpstr>
      <vt:lpstr>Analysis!Print_Area</vt:lpstr>
      <vt:lpstr>Calculator!Print_Area</vt:lpstr>
      <vt:lpstr>ISB!Print_Area</vt:lpstr>
      <vt:lpstr>MFG!Print_Area</vt:lpstr>
      <vt:lpstr>'Monthly Calculator'!Print_Area</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negles</dc:creator>
  <cp:lastModifiedBy>CHAPMAN, Victoria</cp:lastModifiedBy>
  <cp:lastPrinted>2018-02-26T11:04:58Z</cp:lastPrinted>
  <dcterms:created xsi:type="dcterms:W3CDTF">2014-02-25T09:25:32Z</dcterms:created>
  <dcterms:modified xsi:type="dcterms:W3CDTF">2023-02-18T12:06:24Z</dcterms:modified>
</cp:coreProperties>
</file>