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9020" windowHeight="12405"/>
  </bookViews>
  <sheets>
    <sheet name="Summary" sheetId="1" r:id="rId1"/>
    <sheet name="VOCs" sheetId="2" r:id="rId2"/>
    <sheet name="Sheet3" sheetId="3" r:id="rId3"/>
    <sheet name="VOT A417 Maisemore" sheetId="4" r:id="rId4"/>
    <sheet name="VOT B4215 Newent Rd" sheetId="5" r:id="rId5"/>
    <sheet name="VOT A40" sheetId="6" r:id="rId6"/>
  </sheets>
  <calcPr calcId="125725"/>
</workbook>
</file>

<file path=xl/calcChain.xml><?xml version="1.0" encoding="utf-8"?>
<calcChain xmlns="http://schemas.openxmlformats.org/spreadsheetml/2006/main">
  <c r="T18" i="6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17"/>
  <c r="K40" i="1"/>
  <c r="K39"/>
  <c r="K38"/>
  <c r="H18" i="6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17"/>
  <c r="D18"/>
  <c r="D19" s="1"/>
  <c r="V15"/>
  <c r="V16" s="1"/>
  <c r="V17" s="1"/>
  <c r="R15"/>
  <c r="R16" s="1"/>
  <c r="R17" s="1"/>
  <c r="N15"/>
  <c r="N16" s="1"/>
  <c r="N17" s="1"/>
  <c r="K15"/>
  <c r="K16" s="1"/>
  <c r="K17" s="1"/>
  <c r="G15"/>
  <c r="G16" s="1"/>
  <c r="G17" s="1"/>
  <c r="B39" i="1"/>
  <c r="B40"/>
  <c r="B38"/>
  <c r="H42"/>
  <c r="J42" s="1"/>
  <c r="H41"/>
  <c r="F41"/>
  <c r="L40"/>
  <c r="H40"/>
  <c r="D40"/>
  <c r="F40" s="1"/>
  <c r="L39"/>
  <c r="H39"/>
  <c r="D39"/>
  <c r="F39" s="1"/>
  <c r="H38"/>
  <c r="D38"/>
  <c r="F38" s="1"/>
  <c r="C55" i="2"/>
  <c r="C48"/>
  <c r="C47"/>
  <c r="C38"/>
  <c r="C37"/>
  <c r="C29"/>
  <c r="C22"/>
  <c r="C21"/>
  <c r="C12"/>
  <c r="C11"/>
  <c r="K18" i="6" l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L17"/>
  <c r="R18"/>
  <c r="R19" s="1"/>
  <c r="R20" s="1"/>
  <c r="R21" s="1"/>
  <c r="R22" s="1"/>
  <c r="R23" s="1"/>
  <c r="R24" s="1"/>
  <c r="R25" s="1"/>
  <c r="R26" s="1"/>
  <c r="R27" s="1"/>
  <c r="R28" s="1"/>
  <c r="R29" s="1"/>
  <c r="R30" s="1"/>
  <c r="R31" s="1"/>
  <c r="R32" s="1"/>
  <c r="R33" s="1"/>
  <c r="R34" s="1"/>
  <c r="R35" s="1"/>
  <c r="R36" s="1"/>
  <c r="R37" s="1"/>
  <c r="R38" s="1"/>
  <c r="R39" s="1"/>
  <c r="R40" s="1"/>
  <c r="R41" s="1"/>
  <c r="R42" s="1"/>
  <c r="R43" s="1"/>
  <c r="R44" s="1"/>
  <c r="R45" s="1"/>
  <c r="R46" s="1"/>
  <c r="R47" s="1"/>
  <c r="R48" s="1"/>
  <c r="R49" s="1"/>
  <c r="R50" s="1"/>
  <c r="R51" s="1"/>
  <c r="R52" s="1"/>
  <c r="R53" s="1"/>
  <c r="R54" s="1"/>
  <c r="R55" s="1"/>
  <c r="R56" s="1"/>
  <c r="R57" s="1"/>
  <c r="R58" s="1"/>
  <c r="R59" s="1"/>
  <c r="R60" s="1"/>
  <c r="R61" s="1"/>
  <c r="R62" s="1"/>
  <c r="R63" s="1"/>
  <c r="R64" s="1"/>
  <c r="R65" s="1"/>
  <c r="R66" s="1"/>
  <c r="R67" s="1"/>
  <c r="R68" s="1"/>
  <c r="R69" s="1"/>
  <c r="R70" s="1"/>
  <c r="R71" s="1"/>
  <c r="R72" s="1"/>
  <c r="R73" s="1"/>
  <c r="R74" s="1"/>
  <c r="R75" s="1"/>
  <c r="R76" s="1"/>
  <c r="R77" s="1"/>
  <c r="S17"/>
  <c r="L19"/>
  <c r="D20"/>
  <c r="G18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I17"/>
  <c r="N18"/>
  <c r="N19" s="1"/>
  <c r="N20" s="1"/>
  <c r="N21" s="1"/>
  <c r="N22" s="1"/>
  <c r="N23" s="1"/>
  <c r="N24" s="1"/>
  <c r="N25" s="1"/>
  <c r="N26" s="1"/>
  <c r="N27" s="1"/>
  <c r="N28" s="1"/>
  <c r="N29" s="1"/>
  <c r="N30" s="1"/>
  <c r="N31" s="1"/>
  <c r="N32" s="1"/>
  <c r="N33" s="1"/>
  <c r="N34" s="1"/>
  <c r="N35" s="1"/>
  <c r="N36" s="1"/>
  <c r="N37" s="1"/>
  <c r="N38" s="1"/>
  <c r="N39" s="1"/>
  <c r="N40" s="1"/>
  <c r="N41" s="1"/>
  <c r="N42" s="1"/>
  <c r="N43" s="1"/>
  <c r="N44" s="1"/>
  <c r="N45" s="1"/>
  <c r="N46" s="1"/>
  <c r="N47" s="1"/>
  <c r="N48" s="1"/>
  <c r="N49" s="1"/>
  <c r="N50" s="1"/>
  <c r="N51" s="1"/>
  <c r="N52" s="1"/>
  <c r="N53" s="1"/>
  <c r="N54" s="1"/>
  <c r="N55" s="1"/>
  <c r="N56" s="1"/>
  <c r="N57" s="1"/>
  <c r="N58" s="1"/>
  <c r="N59" s="1"/>
  <c r="N60" s="1"/>
  <c r="N61" s="1"/>
  <c r="N62" s="1"/>
  <c r="N63" s="1"/>
  <c r="N64" s="1"/>
  <c r="N65" s="1"/>
  <c r="N66" s="1"/>
  <c r="N67" s="1"/>
  <c r="N68" s="1"/>
  <c r="N69" s="1"/>
  <c r="N70" s="1"/>
  <c r="N71" s="1"/>
  <c r="N72" s="1"/>
  <c r="N73" s="1"/>
  <c r="N74" s="1"/>
  <c r="N75" s="1"/>
  <c r="N76" s="1"/>
  <c r="N77" s="1"/>
  <c r="O17"/>
  <c r="V18"/>
  <c r="V19" s="1"/>
  <c r="V20" s="1"/>
  <c r="V21" s="1"/>
  <c r="V22" s="1"/>
  <c r="V23" s="1"/>
  <c r="V24" s="1"/>
  <c r="V25" s="1"/>
  <c r="V26" s="1"/>
  <c r="V27" s="1"/>
  <c r="V28" s="1"/>
  <c r="V29" s="1"/>
  <c r="V30" s="1"/>
  <c r="V31" s="1"/>
  <c r="V32" s="1"/>
  <c r="V33" s="1"/>
  <c r="V34" s="1"/>
  <c r="V35" s="1"/>
  <c r="V36" s="1"/>
  <c r="V37" s="1"/>
  <c r="V38" s="1"/>
  <c r="V39" s="1"/>
  <c r="V40" s="1"/>
  <c r="V41" s="1"/>
  <c r="V42" s="1"/>
  <c r="V43" s="1"/>
  <c r="V44" s="1"/>
  <c r="V45" s="1"/>
  <c r="V46" s="1"/>
  <c r="V47" s="1"/>
  <c r="V48" s="1"/>
  <c r="V49" s="1"/>
  <c r="V50" s="1"/>
  <c r="V51" s="1"/>
  <c r="V52" s="1"/>
  <c r="V53" s="1"/>
  <c r="V54" s="1"/>
  <c r="V55" s="1"/>
  <c r="V56" s="1"/>
  <c r="V57" s="1"/>
  <c r="V58" s="1"/>
  <c r="V59" s="1"/>
  <c r="V60" s="1"/>
  <c r="V61" s="1"/>
  <c r="V62" s="1"/>
  <c r="V63" s="1"/>
  <c r="V64" s="1"/>
  <c r="V65" s="1"/>
  <c r="V66" s="1"/>
  <c r="V67" s="1"/>
  <c r="V68" s="1"/>
  <c r="V69" s="1"/>
  <c r="V70" s="1"/>
  <c r="V71" s="1"/>
  <c r="V72" s="1"/>
  <c r="V73" s="1"/>
  <c r="V74" s="1"/>
  <c r="V75" s="1"/>
  <c r="V76" s="1"/>
  <c r="V77" s="1"/>
  <c r="W17"/>
  <c r="I18"/>
  <c r="L18"/>
  <c r="O18"/>
  <c r="W18"/>
  <c r="J41" i="1"/>
  <c r="J40"/>
  <c r="J39"/>
  <c r="J38"/>
  <c r="L38"/>
  <c r="E72"/>
  <c r="E74" s="1"/>
  <c r="E65"/>
  <c r="E64"/>
  <c r="K25"/>
  <c r="L25" s="1"/>
  <c r="K24"/>
  <c r="L24" s="1"/>
  <c r="K23"/>
  <c r="L23" s="1"/>
  <c r="K22"/>
  <c r="L22" s="1"/>
  <c r="K21"/>
  <c r="G15" i="5"/>
  <c r="G16" s="1"/>
  <c r="G17" s="1"/>
  <c r="D18"/>
  <c r="V15"/>
  <c r="V16" s="1"/>
  <c r="V17" s="1"/>
  <c r="R15"/>
  <c r="R16" s="1"/>
  <c r="R17" s="1"/>
  <c r="N15"/>
  <c r="N16" s="1"/>
  <c r="N17" s="1"/>
  <c r="K15"/>
  <c r="K16" s="1"/>
  <c r="K17" s="1"/>
  <c r="K12" i="1"/>
  <c r="L12" s="1"/>
  <c r="K11"/>
  <c r="L11" s="1"/>
  <c r="K10"/>
  <c r="L10" s="1"/>
  <c r="K9"/>
  <c r="K8"/>
  <c r="L8" s="1"/>
  <c r="X78" i="4"/>
  <c r="W77"/>
  <c r="W76"/>
  <c r="W75"/>
  <c r="W74"/>
  <c r="W73"/>
  <c r="W72"/>
  <c r="W71"/>
  <c r="W70"/>
  <c r="W69"/>
  <c r="W68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V16"/>
  <c r="V17" s="1"/>
  <c r="V18" s="1"/>
  <c r="V19" s="1"/>
  <c r="V20" s="1"/>
  <c r="V21" s="1"/>
  <c r="V22" s="1"/>
  <c r="V23" s="1"/>
  <c r="V24" s="1"/>
  <c r="V25" s="1"/>
  <c r="V26" s="1"/>
  <c r="V27" s="1"/>
  <c r="V28" s="1"/>
  <c r="V29" s="1"/>
  <c r="V30" s="1"/>
  <c r="V31" s="1"/>
  <c r="V32" s="1"/>
  <c r="V33" s="1"/>
  <c r="V34" s="1"/>
  <c r="V35" s="1"/>
  <c r="V36" s="1"/>
  <c r="V37" s="1"/>
  <c r="V38" s="1"/>
  <c r="V39" s="1"/>
  <c r="V40" s="1"/>
  <c r="V41" s="1"/>
  <c r="V42" s="1"/>
  <c r="V43" s="1"/>
  <c r="V44" s="1"/>
  <c r="V45" s="1"/>
  <c r="V46" s="1"/>
  <c r="V47" s="1"/>
  <c r="V48" s="1"/>
  <c r="V49" s="1"/>
  <c r="V50" s="1"/>
  <c r="V51" s="1"/>
  <c r="V52" s="1"/>
  <c r="V53" s="1"/>
  <c r="V54" s="1"/>
  <c r="V55" s="1"/>
  <c r="V56" s="1"/>
  <c r="V57" s="1"/>
  <c r="V58" s="1"/>
  <c r="V59" s="1"/>
  <c r="V60" s="1"/>
  <c r="V61" s="1"/>
  <c r="V62" s="1"/>
  <c r="V63" s="1"/>
  <c r="V64" s="1"/>
  <c r="V65" s="1"/>
  <c r="V66" s="1"/>
  <c r="V67" s="1"/>
  <c r="V68" s="1"/>
  <c r="V69" s="1"/>
  <c r="V70" s="1"/>
  <c r="V71" s="1"/>
  <c r="V72" s="1"/>
  <c r="V73" s="1"/>
  <c r="V74" s="1"/>
  <c r="V75" s="1"/>
  <c r="V76" s="1"/>
  <c r="V77" s="1"/>
  <c r="V15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R16"/>
  <c r="R17" s="1"/>
  <c r="R18" s="1"/>
  <c r="R19" s="1"/>
  <c r="R20" s="1"/>
  <c r="R21" s="1"/>
  <c r="R22" s="1"/>
  <c r="R23" s="1"/>
  <c r="R24" s="1"/>
  <c r="R25" s="1"/>
  <c r="R26" s="1"/>
  <c r="R27" s="1"/>
  <c r="R28" s="1"/>
  <c r="R29" s="1"/>
  <c r="R30" s="1"/>
  <c r="R31" s="1"/>
  <c r="R32" s="1"/>
  <c r="R33" s="1"/>
  <c r="R34" s="1"/>
  <c r="R35" s="1"/>
  <c r="R36" s="1"/>
  <c r="R37" s="1"/>
  <c r="R38" s="1"/>
  <c r="R39" s="1"/>
  <c r="R40" s="1"/>
  <c r="R41" s="1"/>
  <c r="R42" s="1"/>
  <c r="R43" s="1"/>
  <c r="R44" s="1"/>
  <c r="R45" s="1"/>
  <c r="R46" s="1"/>
  <c r="R47" s="1"/>
  <c r="R48" s="1"/>
  <c r="R49" s="1"/>
  <c r="R50" s="1"/>
  <c r="R51" s="1"/>
  <c r="R52" s="1"/>
  <c r="R53" s="1"/>
  <c r="R54" s="1"/>
  <c r="R55" s="1"/>
  <c r="R56" s="1"/>
  <c r="R57" s="1"/>
  <c r="R58" s="1"/>
  <c r="R59" s="1"/>
  <c r="R60" s="1"/>
  <c r="R61" s="1"/>
  <c r="R62" s="1"/>
  <c r="R63" s="1"/>
  <c r="R64" s="1"/>
  <c r="R65" s="1"/>
  <c r="R66" s="1"/>
  <c r="R67" s="1"/>
  <c r="R68" s="1"/>
  <c r="R69" s="1"/>
  <c r="R70" s="1"/>
  <c r="R71" s="1"/>
  <c r="R72" s="1"/>
  <c r="R73" s="1"/>
  <c r="R74" s="1"/>
  <c r="R75" s="1"/>
  <c r="R76" s="1"/>
  <c r="R77" s="1"/>
  <c r="R15"/>
  <c r="N16"/>
  <c r="N17" s="1"/>
  <c r="N18" s="1"/>
  <c r="N19" s="1"/>
  <c r="N20" s="1"/>
  <c r="N21" s="1"/>
  <c r="N22" s="1"/>
  <c r="N23" s="1"/>
  <c r="N24" s="1"/>
  <c r="N25" s="1"/>
  <c r="N26" s="1"/>
  <c r="N27" s="1"/>
  <c r="N28" s="1"/>
  <c r="N29" s="1"/>
  <c r="N30" s="1"/>
  <c r="N31" s="1"/>
  <c r="N32" s="1"/>
  <c r="N33" s="1"/>
  <c r="N34" s="1"/>
  <c r="N35" s="1"/>
  <c r="N36" s="1"/>
  <c r="N37" s="1"/>
  <c r="N38" s="1"/>
  <c r="N39" s="1"/>
  <c r="N40" s="1"/>
  <c r="N41" s="1"/>
  <c r="N42" s="1"/>
  <c r="N43" s="1"/>
  <c r="N44" s="1"/>
  <c r="N45" s="1"/>
  <c r="N46" s="1"/>
  <c r="N47" s="1"/>
  <c r="N48" s="1"/>
  <c r="N49" s="1"/>
  <c r="N50" s="1"/>
  <c r="N51" s="1"/>
  <c r="N52" s="1"/>
  <c r="N53" s="1"/>
  <c r="N54" s="1"/>
  <c r="N55" s="1"/>
  <c r="N56" s="1"/>
  <c r="N57" s="1"/>
  <c r="N58" s="1"/>
  <c r="N59" s="1"/>
  <c r="N60" s="1"/>
  <c r="N61" s="1"/>
  <c r="N62" s="1"/>
  <c r="N63" s="1"/>
  <c r="N64" s="1"/>
  <c r="N65" s="1"/>
  <c r="N66" s="1"/>
  <c r="N67" s="1"/>
  <c r="N68" s="1"/>
  <c r="N69" s="1"/>
  <c r="N70" s="1"/>
  <c r="N71" s="1"/>
  <c r="N72" s="1"/>
  <c r="N73" s="1"/>
  <c r="N74" s="1"/>
  <c r="N75" s="1"/>
  <c r="N76" s="1"/>
  <c r="N77" s="1"/>
  <c r="N15"/>
  <c r="K16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15"/>
  <c r="G16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15"/>
  <c r="D18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I19" i="6" l="1"/>
  <c r="O19"/>
  <c r="W19"/>
  <c r="D21"/>
  <c r="W20"/>
  <c r="S20"/>
  <c r="O20"/>
  <c r="L20"/>
  <c r="I20"/>
  <c r="S18"/>
  <c r="S19"/>
  <c r="K13" i="1"/>
  <c r="L13" s="1"/>
  <c r="E60" s="1"/>
  <c r="L9"/>
  <c r="K26"/>
  <c r="L26" s="1"/>
  <c r="E61" s="1"/>
  <c r="L21"/>
  <c r="G18" i="5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I17"/>
  <c r="N18"/>
  <c r="N19" s="1"/>
  <c r="N20" s="1"/>
  <c r="N21" s="1"/>
  <c r="N22" s="1"/>
  <c r="N23" s="1"/>
  <c r="N24" s="1"/>
  <c r="N25" s="1"/>
  <c r="N26" s="1"/>
  <c r="N27" s="1"/>
  <c r="N28" s="1"/>
  <c r="N29" s="1"/>
  <c r="N30" s="1"/>
  <c r="N31" s="1"/>
  <c r="N32" s="1"/>
  <c r="N33" s="1"/>
  <c r="N34" s="1"/>
  <c r="N35" s="1"/>
  <c r="N36" s="1"/>
  <c r="N37" s="1"/>
  <c r="N38" s="1"/>
  <c r="N39" s="1"/>
  <c r="N40" s="1"/>
  <c r="N41" s="1"/>
  <c r="N42" s="1"/>
  <c r="N43" s="1"/>
  <c r="N44" s="1"/>
  <c r="N45" s="1"/>
  <c r="N46" s="1"/>
  <c r="N47" s="1"/>
  <c r="N48" s="1"/>
  <c r="N49" s="1"/>
  <c r="N50" s="1"/>
  <c r="N51" s="1"/>
  <c r="N52" s="1"/>
  <c r="N53" s="1"/>
  <c r="N54" s="1"/>
  <c r="N55" s="1"/>
  <c r="N56" s="1"/>
  <c r="N57" s="1"/>
  <c r="N58" s="1"/>
  <c r="N59" s="1"/>
  <c r="N60" s="1"/>
  <c r="N61" s="1"/>
  <c r="N62" s="1"/>
  <c r="N63" s="1"/>
  <c r="N64" s="1"/>
  <c r="N65" s="1"/>
  <c r="N66" s="1"/>
  <c r="N67" s="1"/>
  <c r="N68" s="1"/>
  <c r="N69" s="1"/>
  <c r="N70" s="1"/>
  <c r="N71" s="1"/>
  <c r="N72" s="1"/>
  <c r="N73" s="1"/>
  <c r="N74" s="1"/>
  <c r="N75" s="1"/>
  <c r="N76" s="1"/>
  <c r="N77" s="1"/>
  <c r="O17"/>
  <c r="V18"/>
  <c r="V19" s="1"/>
  <c r="V20" s="1"/>
  <c r="V21" s="1"/>
  <c r="V22" s="1"/>
  <c r="V23" s="1"/>
  <c r="V24" s="1"/>
  <c r="V25" s="1"/>
  <c r="V26" s="1"/>
  <c r="V27" s="1"/>
  <c r="V28" s="1"/>
  <c r="V29" s="1"/>
  <c r="V30" s="1"/>
  <c r="V31" s="1"/>
  <c r="V32" s="1"/>
  <c r="V33" s="1"/>
  <c r="V34" s="1"/>
  <c r="V35" s="1"/>
  <c r="V36" s="1"/>
  <c r="V37" s="1"/>
  <c r="V38" s="1"/>
  <c r="V39" s="1"/>
  <c r="V40" s="1"/>
  <c r="V41" s="1"/>
  <c r="V42" s="1"/>
  <c r="V43" s="1"/>
  <c r="V44" s="1"/>
  <c r="V45" s="1"/>
  <c r="V46" s="1"/>
  <c r="V47" s="1"/>
  <c r="V48" s="1"/>
  <c r="V49" s="1"/>
  <c r="V50" s="1"/>
  <c r="V51" s="1"/>
  <c r="V52" s="1"/>
  <c r="V53" s="1"/>
  <c r="V54" s="1"/>
  <c r="V55" s="1"/>
  <c r="V56" s="1"/>
  <c r="V57" s="1"/>
  <c r="V58" s="1"/>
  <c r="V59" s="1"/>
  <c r="V60" s="1"/>
  <c r="V61" s="1"/>
  <c r="V62" s="1"/>
  <c r="V63" s="1"/>
  <c r="V64" s="1"/>
  <c r="V65" s="1"/>
  <c r="V66" s="1"/>
  <c r="V67" s="1"/>
  <c r="V68" s="1"/>
  <c r="V69" s="1"/>
  <c r="V70" s="1"/>
  <c r="V71" s="1"/>
  <c r="V72" s="1"/>
  <c r="V73" s="1"/>
  <c r="V74" s="1"/>
  <c r="V75" s="1"/>
  <c r="V76" s="1"/>
  <c r="V77" s="1"/>
  <c r="W17"/>
  <c r="W18"/>
  <c r="K18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L17"/>
  <c r="R18"/>
  <c r="R19" s="1"/>
  <c r="R20" s="1"/>
  <c r="R21" s="1"/>
  <c r="R22" s="1"/>
  <c r="R23" s="1"/>
  <c r="R24" s="1"/>
  <c r="R25" s="1"/>
  <c r="R26" s="1"/>
  <c r="R27" s="1"/>
  <c r="R28" s="1"/>
  <c r="R29" s="1"/>
  <c r="R30" s="1"/>
  <c r="R31" s="1"/>
  <c r="R32" s="1"/>
  <c r="R33" s="1"/>
  <c r="R34" s="1"/>
  <c r="R35" s="1"/>
  <c r="R36" s="1"/>
  <c r="R37" s="1"/>
  <c r="R38" s="1"/>
  <c r="R39" s="1"/>
  <c r="R40" s="1"/>
  <c r="R41" s="1"/>
  <c r="R42" s="1"/>
  <c r="R43" s="1"/>
  <c r="R44" s="1"/>
  <c r="R45" s="1"/>
  <c r="R46" s="1"/>
  <c r="R47" s="1"/>
  <c r="R48" s="1"/>
  <c r="R49" s="1"/>
  <c r="R50" s="1"/>
  <c r="R51" s="1"/>
  <c r="R52" s="1"/>
  <c r="R53" s="1"/>
  <c r="R54" s="1"/>
  <c r="R55" s="1"/>
  <c r="R56" s="1"/>
  <c r="R57" s="1"/>
  <c r="R58" s="1"/>
  <c r="R59" s="1"/>
  <c r="R60" s="1"/>
  <c r="R61" s="1"/>
  <c r="R62" s="1"/>
  <c r="R63" s="1"/>
  <c r="R64" s="1"/>
  <c r="R65" s="1"/>
  <c r="R66" s="1"/>
  <c r="R67" s="1"/>
  <c r="R68" s="1"/>
  <c r="R69" s="1"/>
  <c r="R70" s="1"/>
  <c r="R71" s="1"/>
  <c r="R72" s="1"/>
  <c r="R73" s="1"/>
  <c r="R74" s="1"/>
  <c r="R75" s="1"/>
  <c r="R76" s="1"/>
  <c r="R77" s="1"/>
  <c r="S17"/>
  <c r="D19"/>
  <c r="I18"/>
  <c r="L18"/>
  <c r="O18"/>
  <c r="S18"/>
  <c r="L77" i="4"/>
  <c r="L17"/>
  <c r="O77"/>
  <c r="O17"/>
  <c r="L19"/>
  <c r="L27"/>
  <c r="L35"/>
  <c r="L18"/>
  <c r="L22"/>
  <c r="L26"/>
  <c r="L30"/>
  <c r="L34"/>
  <c r="L38"/>
  <c r="L44"/>
  <c r="L60"/>
  <c r="I77"/>
  <c r="I17"/>
  <c r="W21" i="6" l="1"/>
  <c r="S21"/>
  <c r="O21"/>
  <c r="L21"/>
  <c r="I21"/>
  <c r="D22"/>
  <c r="D20" i="5"/>
  <c r="W19"/>
  <c r="S19"/>
  <c r="O19"/>
  <c r="L19"/>
  <c r="I19"/>
  <c r="O62" i="4"/>
  <c r="L76"/>
  <c r="L61"/>
  <c r="L68"/>
  <c r="L52"/>
  <c r="L45"/>
  <c r="O30"/>
  <c r="O33"/>
  <c r="O46"/>
  <c r="O65"/>
  <c r="O49"/>
  <c r="O70"/>
  <c r="O54"/>
  <c r="O38"/>
  <c r="O22"/>
  <c r="L72"/>
  <c r="L64"/>
  <c r="L56"/>
  <c r="L48"/>
  <c r="L40"/>
  <c r="L36"/>
  <c r="L32"/>
  <c r="L28"/>
  <c r="L24"/>
  <c r="L20"/>
  <c r="O73"/>
  <c r="O57"/>
  <c r="O41"/>
  <c r="O25"/>
  <c r="L69"/>
  <c r="L53"/>
  <c r="L39"/>
  <c r="L31"/>
  <c r="L23"/>
  <c r="O74"/>
  <c r="O66"/>
  <c r="O58"/>
  <c r="O50"/>
  <c r="O42"/>
  <c r="O34"/>
  <c r="O26"/>
  <c r="O18"/>
  <c r="L74"/>
  <c r="L70"/>
  <c r="L66"/>
  <c r="L62"/>
  <c r="L58"/>
  <c r="L54"/>
  <c r="L50"/>
  <c r="L46"/>
  <c r="L42"/>
  <c r="O69"/>
  <c r="O61"/>
  <c r="O53"/>
  <c r="O45"/>
  <c r="O37"/>
  <c r="O29"/>
  <c r="O21"/>
  <c r="L73"/>
  <c r="L65"/>
  <c r="L57"/>
  <c r="L49"/>
  <c r="L41"/>
  <c r="L37"/>
  <c r="L33"/>
  <c r="L29"/>
  <c r="L25"/>
  <c r="L21"/>
  <c r="I73"/>
  <c r="I65"/>
  <c r="I57"/>
  <c r="I49"/>
  <c r="I41"/>
  <c r="I33"/>
  <c r="I21"/>
  <c r="I69"/>
  <c r="I61"/>
  <c r="I53"/>
  <c r="I45"/>
  <c r="I37"/>
  <c r="I29"/>
  <c r="I25"/>
  <c r="I76"/>
  <c r="I72"/>
  <c r="I68"/>
  <c r="I64"/>
  <c r="I60"/>
  <c r="I56"/>
  <c r="I52"/>
  <c r="I48"/>
  <c r="I44"/>
  <c r="I40"/>
  <c r="I36"/>
  <c r="I32"/>
  <c r="I28"/>
  <c r="I24"/>
  <c r="I20"/>
  <c r="O76"/>
  <c r="O72"/>
  <c r="O68"/>
  <c r="O64"/>
  <c r="O60"/>
  <c r="O56"/>
  <c r="O52"/>
  <c r="O48"/>
  <c r="O44"/>
  <c r="O40"/>
  <c r="O36"/>
  <c r="O32"/>
  <c r="O28"/>
  <c r="O24"/>
  <c r="O20"/>
  <c r="I75"/>
  <c r="I71"/>
  <c r="I67"/>
  <c r="I63"/>
  <c r="I59"/>
  <c r="I55"/>
  <c r="I51"/>
  <c r="I47"/>
  <c r="I43"/>
  <c r="I39"/>
  <c r="I35"/>
  <c r="I31"/>
  <c r="I27"/>
  <c r="I23"/>
  <c r="I19"/>
  <c r="O75"/>
  <c r="O71"/>
  <c r="O67"/>
  <c r="O63"/>
  <c r="O59"/>
  <c r="O55"/>
  <c r="O51"/>
  <c r="O47"/>
  <c r="O43"/>
  <c r="O39"/>
  <c r="O35"/>
  <c r="O31"/>
  <c r="O27"/>
  <c r="O23"/>
  <c r="O19"/>
  <c r="L75"/>
  <c r="L71"/>
  <c r="L67"/>
  <c r="L63"/>
  <c r="L59"/>
  <c r="L55"/>
  <c r="L51"/>
  <c r="L47"/>
  <c r="L43"/>
  <c r="I74"/>
  <c r="I70"/>
  <c r="I66"/>
  <c r="I62"/>
  <c r="I58"/>
  <c r="I54"/>
  <c r="I50"/>
  <c r="I46"/>
  <c r="I42"/>
  <c r="I38"/>
  <c r="I34"/>
  <c r="I30"/>
  <c r="I26"/>
  <c r="I22"/>
  <c r="I18"/>
  <c r="I78" s="1"/>
  <c r="O78"/>
  <c r="L78"/>
  <c r="L5" i="3"/>
  <c r="K6"/>
  <c r="L6" s="1"/>
  <c r="K7"/>
  <c r="L7" s="1"/>
  <c r="K8"/>
  <c r="L8" s="1"/>
  <c r="K9"/>
  <c r="L9" s="1"/>
  <c r="K10"/>
  <c r="L10" s="1"/>
  <c r="K11"/>
  <c r="L11" s="1"/>
  <c r="K12"/>
  <c r="L12" s="1"/>
  <c r="K13"/>
  <c r="L13" s="1"/>
  <c r="K14"/>
  <c r="L14" s="1"/>
  <c r="K15"/>
  <c r="L15" s="1"/>
  <c r="K16"/>
  <c r="L16" s="1"/>
  <c r="K17"/>
  <c r="L17" s="1"/>
  <c r="K18"/>
  <c r="L18" s="1"/>
  <c r="K19"/>
  <c r="L19" s="1"/>
  <c r="K20"/>
  <c r="L20" s="1"/>
  <c r="K21"/>
  <c r="L21" s="1"/>
  <c r="K22"/>
  <c r="L22" s="1"/>
  <c r="K23"/>
  <c r="L23" s="1"/>
  <c r="K24"/>
  <c r="L24" s="1"/>
  <c r="K25"/>
  <c r="L25" s="1"/>
  <c r="K26"/>
  <c r="L26" s="1"/>
  <c r="K27"/>
  <c r="L27" s="1"/>
  <c r="K28"/>
  <c r="L28" s="1"/>
  <c r="K29"/>
  <c r="L29" s="1"/>
  <c r="K30"/>
  <c r="L30" s="1"/>
  <c r="K31"/>
  <c r="L31" s="1"/>
  <c r="K32"/>
  <c r="L32" s="1"/>
  <c r="K33"/>
  <c r="L33" s="1"/>
  <c r="K34"/>
  <c r="L34" s="1"/>
  <c r="K35"/>
  <c r="L35" s="1"/>
  <c r="K36"/>
  <c r="L36" s="1"/>
  <c r="K37"/>
  <c r="L37" s="1"/>
  <c r="K38"/>
  <c r="L38" s="1"/>
  <c r="K39"/>
  <c r="L39" s="1"/>
  <c r="K40"/>
  <c r="L40" s="1"/>
  <c r="K41"/>
  <c r="L41" s="1"/>
  <c r="K42"/>
  <c r="L42" s="1"/>
  <c r="D23" i="6" l="1"/>
  <c r="W22"/>
  <c r="S22"/>
  <c r="O22"/>
  <c r="L22"/>
  <c r="I22"/>
  <c r="W20" i="5"/>
  <c r="S20"/>
  <c r="O20"/>
  <c r="L20"/>
  <c r="I20"/>
  <c r="D21"/>
  <c r="M6" i="3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W23" i="6" l="1"/>
  <c r="S23"/>
  <c r="O23"/>
  <c r="L23"/>
  <c r="I23"/>
  <c r="D24"/>
  <c r="D22" i="5"/>
  <c r="W21"/>
  <c r="S21"/>
  <c r="O21"/>
  <c r="L21"/>
  <c r="I21"/>
  <c r="C50" i="2"/>
  <c r="C54" s="1"/>
  <c r="C24"/>
  <c r="C28" s="1"/>
  <c r="F24" i="1"/>
  <c r="B22"/>
  <c r="B23"/>
  <c r="B21"/>
  <c r="H25"/>
  <c r="J25" s="1"/>
  <c r="H24"/>
  <c r="H23"/>
  <c r="D23"/>
  <c r="F23" s="1"/>
  <c r="H22"/>
  <c r="D22"/>
  <c r="F22" s="1"/>
  <c r="H21"/>
  <c r="D21"/>
  <c r="F21" s="1"/>
  <c r="H9"/>
  <c r="H10"/>
  <c r="H11"/>
  <c r="J11" s="1"/>
  <c r="H12"/>
  <c r="J12" s="1"/>
  <c r="H8"/>
  <c r="D8"/>
  <c r="F8" s="1"/>
  <c r="D9"/>
  <c r="F9" s="1"/>
  <c r="D10"/>
  <c r="F10" s="1"/>
  <c r="D25" i="6" l="1"/>
  <c r="W24"/>
  <c r="S24"/>
  <c r="O24"/>
  <c r="L24"/>
  <c r="I24"/>
  <c r="C16" i="2"/>
  <c r="C17" s="1"/>
  <c r="D58" s="1"/>
  <c r="W22" i="5"/>
  <c r="S22"/>
  <c r="O22"/>
  <c r="L22"/>
  <c r="I22"/>
  <c r="D23"/>
  <c r="J8" i="1"/>
  <c r="J9"/>
  <c r="J10"/>
  <c r="C42" i="2"/>
  <c r="C43" s="1"/>
  <c r="J24" i="1"/>
  <c r="J22"/>
  <c r="J21"/>
  <c r="J23"/>
  <c r="W25" i="6" l="1"/>
  <c r="S25"/>
  <c r="O25"/>
  <c r="L25"/>
  <c r="I25"/>
  <c r="D26"/>
  <c r="E63" i="1"/>
  <c r="D24" i="5"/>
  <c r="W23"/>
  <c r="S23"/>
  <c r="O23"/>
  <c r="L23"/>
  <c r="I23"/>
  <c r="D27" i="6" l="1"/>
  <c r="W26"/>
  <c r="S26"/>
  <c r="O26"/>
  <c r="L26"/>
  <c r="I26"/>
  <c r="W24" i="5"/>
  <c r="S24"/>
  <c r="O24"/>
  <c r="L24"/>
  <c r="I24"/>
  <c r="D25"/>
  <c r="W27" i="6" l="1"/>
  <c r="S27"/>
  <c r="O27"/>
  <c r="L27"/>
  <c r="I27"/>
  <c r="D28"/>
  <c r="D26" i="5"/>
  <c r="W25"/>
  <c r="S25"/>
  <c r="O25"/>
  <c r="L25"/>
  <c r="I25"/>
  <c r="S78" i="4"/>
  <c r="D29" i="6" l="1"/>
  <c r="W28"/>
  <c r="S28"/>
  <c r="O28"/>
  <c r="L28"/>
  <c r="I28"/>
  <c r="W26" i="5"/>
  <c r="S26"/>
  <c r="O26"/>
  <c r="L26"/>
  <c r="I26"/>
  <c r="D27"/>
  <c r="W78" i="4"/>
  <c r="W29" i="6" l="1"/>
  <c r="S29"/>
  <c r="O29"/>
  <c r="L29"/>
  <c r="I29"/>
  <c r="D30"/>
  <c r="D28" i="5"/>
  <c r="W27"/>
  <c r="S27"/>
  <c r="O27"/>
  <c r="L27"/>
  <c r="I27"/>
  <c r="D31" i="6" l="1"/>
  <c r="W30"/>
  <c r="S30"/>
  <c r="O30"/>
  <c r="L30"/>
  <c r="I30"/>
  <c r="W28" i="5"/>
  <c r="S28"/>
  <c r="O28"/>
  <c r="L28"/>
  <c r="I28"/>
  <c r="D29"/>
  <c r="D32" i="6" l="1"/>
  <c r="W31"/>
  <c r="S31"/>
  <c r="O31"/>
  <c r="L31"/>
  <c r="I31"/>
  <c r="D30" i="5"/>
  <c r="W29"/>
  <c r="S29"/>
  <c r="O29"/>
  <c r="L29"/>
  <c r="I29"/>
  <c r="W32" i="6" l="1"/>
  <c r="S32"/>
  <c r="O32"/>
  <c r="L32"/>
  <c r="I32"/>
  <c r="D33"/>
  <c r="W30" i="5"/>
  <c r="S30"/>
  <c r="O30"/>
  <c r="L30"/>
  <c r="I30"/>
  <c r="D31"/>
  <c r="D34" i="6" l="1"/>
  <c r="W33"/>
  <c r="S33"/>
  <c r="O33"/>
  <c r="L33"/>
  <c r="I33"/>
  <c r="D32" i="5"/>
  <c r="W31"/>
  <c r="S31"/>
  <c r="O31"/>
  <c r="L31"/>
  <c r="I31"/>
  <c r="W34" i="6" l="1"/>
  <c r="S34"/>
  <c r="O34"/>
  <c r="L34"/>
  <c r="I34"/>
  <c r="D35"/>
  <c r="W32" i="5"/>
  <c r="S32"/>
  <c r="O32"/>
  <c r="L32"/>
  <c r="I32"/>
  <c r="D33"/>
  <c r="D36" i="6" l="1"/>
  <c r="W35"/>
  <c r="S35"/>
  <c r="O35"/>
  <c r="L35"/>
  <c r="I35"/>
  <c r="D34" i="5"/>
  <c r="W33"/>
  <c r="S33"/>
  <c r="O33"/>
  <c r="L33"/>
  <c r="I33"/>
  <c r="W36" i="6" l="1"/>
  <c r="S36"/>
  <c r="O36"/>
  <c r="L36"/>
  <c r="I36"/>
  <c r="D37"/>
  <c r="W34" i="5"/>
  <c r="S34"/>
  <c r="O34"/>
  <c r="L34"/>
  <c r="I34"/>
  <c r="D35"/>
  <c r="D38" i="6" l="1"/>
  <c r="W37"/>
  <c r="S37"/>
  <c r="O37"/>
  <c r="L37"/>
  <c r="I37"/>
  <c r="D36" i="5"/>
  <c r="W35"/>
  <c r="S35"/>
  <c r="O35"/>
  <c r="L35"/>
  <c r="I35"/>
  <c r="W38" i="6" l="1"/>
  <c r="S38"/>
  <c r="O38"/>
  <c r="L38"/>
  <c r="I38"/>
  <c r="D39"/>
  <c r="W36" i="5"/>
  <c r="S36"/>
  <c r="O36"/>
  <c r="L36"/>
  <c r="I36"/>
  <c r="D37"/>
  <c r="D40" i="6" l="1"/>
  <c r="W39"/>
  <c r="S39"/>
  <c r="O39"/>
  <c r="L39"/>
  <c r="I39"/>
  <c r="D38" i="5"/>
  <c r="W37"/>
  <c r="S37"/>
  <c r="O37"/>
  <c r="L37"/>
  <c r="I37"/>
  <c r="W40" i="6" l="1"/>
  <c r="S40"/>
  <c r="O40"/>
  <c r="L40"/>
  <c r="I40"/>
  <c r="D41"/>
  <c r="W38" i="5"/>
  <c r="S38"/>
  <c r="O38"/>
  <c r="L38"/>
  <c r="I38"/>
  <c r="D39"/>
  <c r="D42" i="6" l="1"/>
  <c r="W41"/>
  <c r="S41"/>
  <c r="O41"/>
  <c r="L41"/>
  <c r="I41"/>
  <c r="D40" i="5"/>
  <c r="W39"/>
  <c r="S39"/>
  <c r="O39"/>
  <c r="L39"/>
  <c r="I39"/>
  <c r="W42" i="6" l="1"/>
  <c r="S42"/>
  <c r="O42"/>
  <c r="L42"/>
  <c r="I42"/>
  <c r="D43"/>
  <c r="W40" i="5"/>
  <c r="S40"/>
  <c r="O40"/>
  <c r="L40"/>
  <c r="I40"/>
  <c r="D41"/>
  <c r="D44" i="6" l="1"/>
  <c r="W43"/>
  <c r="S43"/>
  <c r="O43"/>
  <c r="L43"/>
  <c r="I43"/>
  <c r="D42" i="5"/>
  <c r="W41"/>
  <c r="S41"/>
  <c r="O41"/>
  <c r="L41"/>
  <c r="I41"/>
  <c r="W44" i="6" l="1"/>
  <c r="S44"/>
  <c r="O44"/>
  <c r="L44"/>
  <c r="I44"/>
  <c r="D45"/>
  <c r="W42" i="5"/>
  <c r="S42"/>
  <c r="O42"/>
  <c r="L42"/>
  <c r="I42"/>
  <c r="D43"/>
  <c r="D46" i="6" l="1"/>
  <c r="W45"/>
  <c r="S45"/>
  <c r="O45"/>
  <c r="L45"/>
  <c r="I45"/>
  <c r="D44" i="5"/>
  <c r="W43"/>
  <c r="S43"/>
  <c r="O43"/>
  <c r="L43"/>
  <c r="I43"/>
  <c r="W46" i="6" l="1"/>
  <c r="S46"/>
  <c r="O46"/>
  <c r="L46"/>
  <c r="I46"/>
  <c r="D47"/>
  <c r="W44" i="5"/>
  <c r="S44"/>
  <c r="O44"/>
  <c r="L44"/>
  <c r="I44"/>
  <c r="D45"/>
  <c r="D48" i="6" l="1"/>
  <c r="W47"/>
  <c r="S47"/>
  <c r="O47"/>
  <c r="L47"/>
  <c r="I47"/>
  <c r="D46" i="5"/>
  <c r="W45"/>
  <c r="S45"/>
  <c r="O45"/>
  <c r="L45"/>
  <c r="I45"/>
  <c r="W48" i="6" l="1"/>
  <c r="S48"/>
  <c r="O48"/>
  <c r="L48"/>
  <c r="I48"/>
  <c r="D49"/>
  <c r="W46" i="5"/>
  <c r="S46"/>
  <c r="O46"/>
  <c r="L46"/>
  <c r="I46"/>
  <c r="D47"/>
  <c r="D50" i="6" l="1"/>
  <c r="W49"/>
  <c r="S49"/>
  <c r="O49"/>
  <c r="L49"/>
  <c r="I49"/>
  <c r="D48" i="5"/>
  <c r="W47"/>
  <c r="S47"/>
  <c r="O47"/>
  <c r="L47"/>
  <c r="I47"/>
  <c r="W50" i="6" l="1"/>
  <c r="S50"/>
  <c r="O50"/>
  <c r="L50"/>
  <c r="I50"/>
  <c r="D51"/>
  <c r="W48" i="5"/>
  <c r="S48"/>
  <c r="O48"/>
  <c r="L48"/>
  <c r="I48"/>
  <c r="D49"/>
  <c r="D52" i="6" l="1"/>
  <c r="W51"/>
  <c r="S51"/>
  <c r="O51"/>
  <c r="L51"/>
  <c r="I51"/>
  <c r="D50" i="5"/>
  <c r="W49"/>
  <c r="S49"/>
  <c r="O49"/>
  <c r="L49"/>
  <c r="I49"/>
  <c r="W52" i="6" l="1"/>
  <c r="S52"/>
  <c r="O52"/>
  <c r="L52"/>
  <c r="I52"/>
  <c r="D53"/>
  <c r="W50" i="5"/>
  <c r="S50"/>
  <c r="O50"/>
  <c r="L50"/>
  <c r="I50"/>
  <c r="D51"/>
  <c r="D54" i="6" l="1"/>
  <c r="W53"/>
  <c r="S53"/>
  <c r="O53"/>
  <c r="L53"/>
  <c r="I53"/>
  <c r="D52" i="5"/>
  <c r="W51"/>
  <c r="S51"/>
  <c r="O51"/>
  <c r="L51"/>
  <c r="I51"/>
  <c r="W54" i="6" l="1"/>
  <c r="S54"/>
  <c r="O54"/>
  <c r="L54"/>
  <c r="I54"/>
  <c r="D55"/>
  <c r="W52" i="5"/>
  <c r="S52"/>
  <c r="O52"/>
  <c r="L52"/>
  <c r="I52"/>
  <c r="D53"/>
  <c r="D56" i="6" l="1"/>
  <c r="W55"/>
  <c r="S55"/>
  <c r="O55"/>
  <c r="L55"/>
  <c r="I55"/>
  <c r="D54" i="5"/>
  <c r="W53"/>
  <c r="S53"/>
  <c r="O53"/>
  <c r="L53"/>
  <c r="I53"/>
  <c r="W56" i="6" l="1"/>
  <c r="S56"/>
  <c r="O56"/>
  <c r="L56"/>
  <c r="I56"/>
  <c r="D57"/>
  <c r="W54" i="5"/>
  <c r="S54"/>
  <c r="O54"/>
  <c r="L54"/>
  <c r="I54"/>
  <c r="D55"/>
  <c r="D58" i="6" l="1"/>
  <c r="W57"/>
  <c r="S57"/>
  <c r="O57"/>
  <c r="L57"/>
  <c r="I57"/>
  <c r="D56" i="5"/>
  <c r="W55"/>
  <c r="S55"/>
  <c r="O55"/>
  <c r="L55"/>
  <c r="I55"/>
  <c r="W58" i="6" l="1"/>
  <c r="S58"/>
  <c r="O58"/>
  <c r="L58"/>
  <c r="I58"/>
  <c r="D59"/>
  <c r="W56" i="5"/>
  <c r="S56"/>
  <c r="O56"/>
  <c r="L56"/>
  <c r="I56"/>
  <c r="D57"/>
  <c r="D60" i="6" l="1"/>
  <c r="W59"/>
  <c r="S59"/>
  <c r="O59"/>
  <c r="L59"/>
  <c r="I59"/>
  <c r="D58" i="5"/>
  <c r="W57"/>
  <c r="S57"/>
  <c r="O57"/>
  <c r="L57"/>
  <c r="I57"/>
  <c r="W60" i="6" l="1"/>
  <c r="S60"/>
  <c r="O60"/>
  <c r="L60"/>
  <c r="I60"/>
  <c r="D61"/>
  <c r="W58" i="5"/>
  <c r="S58"/>
  <c r="O58"/>
  <c r="L58"/>
  <c r="I58"/>
  <c r="D59"/>
  <c r="D62" i="6" l="1"/>
  <c r="W61"/>
  <c r="S61"/>
  <c r="O61"/>
  <c r="L61"/>
  <c r="I61"/>
  <c r="D60" i="5"/>
  <c r="W59"/>
  <c r="S59"/>
  <c r="O59"/>
  <c r="L59"/>
  <c r="I59"/>
  <c r="W62" i="6" l="1"/>
  <c r="S62"/>
  <c r="O62"/>
  <c r="L62"/>
  <c r="I62"/>
  <c r="D63"/>
  <c r="W60" i="5"/>
  <c r="S60"/>
  <c r="O60"/>
  <c r="L60"/>
  <c r="I60"/>
  <c r="D61"/>
  <c r="D64" i="6" l="1"/>
  <c r="W63"/>
  <c r="S63"/>
  <c r="O63"/>
  <c r="L63"/>
  <c r="I63"/>
  <c r="D62" i="5"/>
  <c r="W61"/>
  <c r="S61"/>
  <c r="O61"/>
  <c r="L61"/>
  <c r="I61"/>
  <c r="W64" i="6" l="1"/>
  <c r="S64"/>
  <c r="O64"/>
  <c r="L64"/>
  <c r="I64"/>
  <c r="D65"/>
  <c r="W62" i="5"/>
  <c r="S62"/>
  <c r="O62"/>
  <c r="L62"/>
  <c r="I62"/>
  <c r="D63"/>
  <c r="D66" i="6" l="1"/>
  <c r="W65"/>
  <c r="S65"/>
  <c r="O65"/>
  <c r="L65"/>
  <c r="I65"/>
  <c r="D64" i="5"/>
  <c r="W63"/>
  <c r="S63"/>
  <c r="O63"/>
  <c r="L63"/>
  <c r="I63"/>
  <c r="W66" i="6" l="1"/>
  <c r="S66"/>
  <c r="O66"/>
  <c r="L66"/>
  <c r="I66"/>
  <c r="D67"/>
  <c r="W64" i="5"/>
  <c r="S64"/>
  <c r="O64"/>
  <c r="L64"/>
  <c r="I64"/>
  <c r="D65"/>
  <c r="D68" i="6" l="1"/>
  <c r="W67"/>
  <c r="S67"/>
  <c r="O67"/>
  <c r="L67"/>
  <c r="I67"/>
  <c r="D66" i="5"/>
  <c r="W65"/>
  <c r="S65"/>
  <c r="O65"/>
  <c r="L65"/>
  <c r="I65"/>
  <c r="W68" i="6" l="1"/>
  <c r="S68"/>
  <c r="O68"/>
  <c r="L68"/>
  <c r="I68"/>
  <c r="D69"/>
  <c r="W66" i="5"/>
  <c r="S66"/>
  <c r="O66"/>
  <c r="L66"/>
  <c r="I66"/>
  <c r="D67"/>
  <c r="D70" i="6" l="1"/>
  <c r="W69"/>
  <c r="S69"/>
  <c r="O69"/>
  <c r="L69"/>
  <c r="I69"/>
  <c r="D68" i="5"/>
  <c r="W67"/>
  <c r="S67"/>
  <c r="O67"/>
  <c r="L67"/>
  <c r="I67"/>
  <c r="W70" i="6" l="1"/>
  <c r="S70"/>
  <c r="O70"/>
  <c r="L70"/>
  <c r="I70"/>
  <c r="D71"/>
  <c r="W68" i="5"/>
  <c r="S68"/>
  <c r="O68"/>
  <c r="L68"/>
  <c r="I68"/>
  <c r="D69"/>
  <c r="D72" i="6" l="1"/>
  <c r="W71"/>
  <c r="S71"/>
  <c r="O71"/>
  <c r="L71"/>
  <c r="I71"/>
  <c r="D70" i="5"/>
  <c r="W69"/>
  <c r="S69"/>
  <c r="O69"/>
  <c r="L69"/>
  <c r="I69"/>
  <c r="W72" i="6" l="1"/>
  <c r="S72"/>
  <c r="O72"/>
  <c r="L72"/>
  <c r="I72"/>
  <c r="D73"/>
  <c r="W70" i="5"/>
  <c r="S70"/>
  <c r="O70"/>
  <c r="L70"/>
  <c r="I70"/>
  <c r="D71"/>
  <c r="D74" i="6" l="1"/>
  <c r="W73"/>
  <c r="S73"/>
  <c r="O73"/>
  <c r="L73"/>
  <c r="I73"/>
  <c r="D72" i="5"/>
  <c r="W71"/>
  <c r="S71"/>
  <c r="O71"/>
  <c r="L71"/>
  <c r="I71"/>
  <c r="W74" i="6" l="1"/>
  <c r="S74"/>
  <c r="O74"/>
  <c r="L74"/>
  <c r="I74"/>
  <c r="D75"/>
  <c r="W72" i="5"/>
  <c r="S72"/>
  <c r="O72"/>
  <c r="L72"/>
  <c r="I72"/>
  <c r="D73"/>
  <c r="D76" i="6" l="1"/>
  <c r="W75"/>
  <c r="S75"/>
  <c r="O75"/>
  <c r="L75"/>
  <c r="I75"/>
  <c r="D74" i="5"/>
  <c r="W73"/>
  <c r="S73"/>
  <c r="O73"/>
  <c r="L73"/>
  <c r="I73"/>
  <c r="W76" i="6" l="1"/>
  <c r="S76"/>
  <c r="O76"/>
  <c r="L76"/>
  <c r="I76"/>
  <c r="D77"/>
  <c r="W74" i="5"/>
  <c r="S74"/>
  <c r="O74"/>
  <c r="L74"/>
  <c r="I74"/>
  <c r="D75"/>
  <c r="W77" i="6" l="1"/>
  <c r="W78" s="1"/>
  <c r="K42" i="1" s="1"/>
  <c r="L42" s="1"/>
  <c r="S77" i="6"/>
  <c r="S78" s="1"/>
  <c r="K41" i="1" s="1"/>
  <c r="O77" i="6"/>
  <c r="O78" s="1"/>
  <c r="L77"/>
  <c r="L78" s="1"/>
  <c r="I77"/>
  <c r="I78" s="1"/>
  <c r="D76" i="5"/>
  <c r="W75"/>
  <c r="S75"/>
  <c r="O75"/>
  <c r="L75"/>
  <c r="I75"/>
  <c r="K43" i="1" l="1"/>
  <c r="L43" s="1"/>
  <c r="E62" s="1"/>
  <c r="E66" s="1"/>
  <c r="E75" s="1"/>
  <c r="L41"/>
  <c r="X78" i="6"/>
  <c r="W76" i="5"/>
  <c r="S76"/>
  <c r="O76"/>
  <c r="L76"/>
  <c r="I76"/>
  <c r="D77"/>
  <c r="W77" l="1"/>
  <c r="W78" s="1"/>
  <c r="S77"/>
  <c r="S78" s="1"/>
  <c r="O77"/>
  <c r="O78" s="1"/>
  <c r="L77"/>
  <c r="L78" s="1"/>
  <c r="I77"/>
  <c r="I78" s="1"/>
  <c r="X78" l="1"/>
</calcChain>
</file>

<file path=xl/sharedStrings.xml><?xml version="1.0" encoding="utf-8"?>
<sst xmlns="http://schemas.openxmlformats.org/spreadsheetml/2006/main" count="411" uniqueCount="153">
  <si>
    <t>Work</t>
  </si>
  <si>
    <t>Commuting</t>
  </si>
  <si>
    <t>Other</t>
  </si>
  <si>
    <t>%</t>
  </si>
  <si>
    <t>vehs</t>
  </si>
  <si>
    <t>Bus Commuting</t>
  </si>
  <si>
    <t>Bus Other</t>
  </si>
  <si>
    <t>mins</t>
  </si>
  <si>
    <t>hours</t>
  </si>
  <si>
    <t>£/hr</t>
  </si>
  <si>
    <t>Total Cost</t>
  </si>
  <si>
    <t>£/day</t>
  </si>
  <si>
    <t>Days of flooding of A417 per year</t>
  </si>
  <si>
    <t>Days of disruption per year</t>
  </si>
  <si>
    <t>Days  of congestion on B4215</t>
  </si>
  <si>
    <t>Cost of scheme</t>
  </si>
  <si>
    <t>Total cost over 60 years</t>
  </si>
  <si>
    <t>Clean up</t>
  </si>
  <si>
    <t>BCR</t>
  </si>
  <si>
    <t>£</t>
  </si>
  <si>
    <t>a</t>
  </si>
  <si>
    <t>b</t>
  </si>
  <si>
    <t>c</t>
  </si>
  <si>
    <t>d</t>
  </si>
  <si>
    <t>v</t>
  </si>
  <si>
    <t>volume</t>
  </si>
  <si>
    <t>Litres per km</t>
  </si>
  <si>
    <t>km extra</t>
  </si>
  <si>
    <t>volume per day</t>
  </si>
  <si>
    <t>days per year</t>
  </si>
  <si>
    <t>FUEL</t>
  </si>
  <si>
    <t xml:space="preserve">OTHER </t>
  </si>
  <si>
    <t>DIVERSION VIA M5</t>
  </si>
  <si>
    <t>DIVERSION VIA B4215</t>
  </si>
  <si>
    <t>Total operationational cost over 60 years</t>
  </si>
  <si>
    <t>Vehicle operating costs (see sheet 2)</t>
  </si>
  <si>
    <t>factor</t>
  </si>
  <si>
    <t>TOTAL</t>
  </si>
  <si>
    <t>COST OF TIME DELAYS</t>
  </si>
  <si>
    <t>£ per km (a1)</t>
  </si>
  <si>
    <t>pence/hr (b1)</t>
  </si>
  <si>
    <t>Average speed kph (v)</t>
  </si>
  <si>
    <t>C=a1+b1/v</t>
  </si>
  <si>
    <t>Annual Maintenance</t>
  </si>
  <si>
    <t>£2k per annum</t>
  </si>
  <si>
    <t>Special Maintenance</t>
  </si>
  <si>
    <t>vehs per day</t>
  </si>
  <si>
    <t>assumed as only happening on work days</t>
  </si>
  <si>
    <t>TOTAL COST OF CLOSURE</t>
  </si>
  <si>
    <t>WORK TIME</t>
  </si>
  <si>
    <t>NON-WORK TIME</t>
  </si>
  <si>
    <t>assume only through traffic takes this route</t>
  </si>
  <si>
    <t>distance from commencement of diversion - this will be longer for traffic from point of closure</t>
  </si>
  <si>
    <t>once in 60 years</t>
  </si>
  <si>
    <t>Non-Work:  Commuting</t>
  </si>
  <si>
    <t>Non-Work: Other</t>
  </si>
  <si>
    <t>FUEL - Forecast Growth in the Resource Cost of Fuel - Table 14 - TAG Unit 3.5.6</t>
  </si>
  <si>
    <t>Average Car (% pa)</t>
  </si>
  <si>
    <t>Fuel Consumption Estimate =</t>
  </si>
  <si>
    <t xml:space="preserve"> WebTAG:  Release V1.3b:  Nov 2014:  Worksheet A.1.3.1 .   Value of Time per person (£ per hour, 2010 prices, 2010 values) - Resource Cost</t>
  </si>
  <si>
    <t>WebTAG: Release V1.3b:  Nov 2014:  Worksheet A1.3.3.  Car Occupancies (2000) - Occupancy Per Trip</t>
  </si>
  <si>
    <t xml:space="preserve">Other </t>
  </si>
  <si>
    <t xml:space="preserve">Work </t>
  </si>
  <si>
    <t>Factor</t>
  </si>
  <si>
    <t xml:space="preserve">Total </t>
  </si>
  <si>
    <t xml:space="preserve">Estimated </t>
  </si>
  <si>
    <t>Delay p/d</t>
  </si>
  <si>
    <t>Trips p/d</t>
  </si>
  <si>
    <t xml:space="preserve">Person </t>
  </si>
  <si>
    <t>per Person (hours)</t>
  </si>
  <si>
    <t>Total Person</t>
  </si>
  <si>
    <t xml:space="preserve">Delay </t>
  </si>
  <si>
    <t>Costs (£ per day)</t>
  </si>
  <si>
    <t>NRTF</t>
  </si>
  <si>
    <t>VOT (£/hr)</t>
  </si>
  <si>
    <t>60 Year Totals:</t>
  </si>
  <si>
    <t>Forecast</t>
  </si>
  <si>
    <t>Year</t>
  </si>
  <si>
    <t>per Passenger (hrs)</t>
  </si>
  <si>
    <t>Traffic Growth</t>
  </si>
  <si>
    <t>Forecast per Annum (%)</t>
  </si>
  <si>
    <t xml:space="preserve">Traffic Count Base Year </t>
  </si>
  <si>
    <t>Annual Discounting  Rate</t>
  </si>
  <si>
    <t xml:space="preserve">Discounting </t>
  </si>
  <si>
    <t>School Bus Diversions</t>
  </si>
  <si>
    <t>Scheme Opening Year</t>
  </si>
  <si>
    <t>average per trip</t>
  </si>
  <si>
    <t>A417 Maisemore Flood Resilence Scheme at 2010 prices and values</t>
  </si>
  <si>
    <t>A417 Maisemore</t>
  </si>
  <si>
    <t>24hr Vehicle Flow (average 7-day two-way flow - Oct 2014)</t>
  </si>
  <si>
    <t xml:space="preserve">VOT estimates based on WebTAG Data Book:  Release V1.3b:  Nov 2014:   </t>
  </si>
  <si>
    <t>WebTAG: Release V1.3b: Nov 2014: Worksheet A1.3.4.  Proportions of Trips made in  Work &amp; Non-Work Time  (All Week Average).</t>
  </si>
  <si>
    <t>24hr Vehicle Flow (average 7 day two-way flow) by Trip Purpose (Work / Non-Work Commuting/Other)</t>
  </si>
  <si>
    <t>average vehicle occupancy per trip</t>
  </si>
  <si>
    <t>person trips per day</t>
  </si>
  <si>
    <t>24hr Person Trips (average 7 day two-way flow) by Trip Purpose (Work / Non-Work Commuting/Other)</t>
  </si>
  <si>
    <t>Estimated Delay due to additional trip length (excluding congestion - which is picked up in the B4215 data analysis)</t>
  </si>
  <si>
    <t xml:space="preserve">Estimated Delay due to additional Trip Length - Defined as an Hourly Proportion  </t>
  </si>
  <si>
    <t>See Sheet 4</t>
  </si>
  <si>
    <t>10 minutes used - although diversion via M5/M50 takes 15 minutes</t>
  </si>
  <si>
    <t>B4215 - Newent Road</t>
  </si>
  <si>
    <t>B4215 Peak Flows:  Including traffic diverted from A417 (Southbound in AM peak (531 vehs), and Northbound in PM peak (813 vehs))</t>
  </si>
  <si>
    <t>WebTAG: Release V1.3b: Nov 2014: Worksheet A1.3.4.  Proportion of Trips Made in Work and Non-Work Time (average of 7am-10am &amp; 4pm-7pm Weekday periods, for cars).</t>
  </si>
  <si>
    <t xml:space="preserve"> Flow (combined three hour peaks (AM + PM) by Trip Purpose </t>
  </si>
  <si>
    <t>WebTAG: Release V1.3b:  Nov 2014:  Worksheet A1.3.3.  Car Occupancies (2000) - Occupancy per Trip (combined 3 hour peaks).</t>
  </si>
  <si>
    <t>Person Trips (combined 3 hour peak periods) by Trip Purpose (Work / Non-Work Commuting/Other)</t>
  </si>
  <si>
    <t>Flow (combined 3 hour peaks (AM + PM) during floods - Feb 2014)</t>
  </si>
  <si>
    <t>Estimated Delay due to 'additional' peak period congestion</t>
  </si>
  <si>
    <t xml:space="preserve">Estimated Delay due to 'additional' congestion - Defined as an Hourly Proportion  </t>
  </si>
  <si>
    <t>Work: (Employers Business)</t>
  </si>
  <si>
    <t>Table A1.3.2</t>
  </si>
  <si>
    <t>Future Year Values of Time per Person - Working &amp; Non-Working (Average Values) - Based on WebTAG  Release 1.3b:  Nov 2014:  Worksheet A1.3.2.</t>
  </si>
  <si>
    <t>Table A1.1.1.</t>
  </si>
  <si>
    <t xml:space="preserve">Discount Rates based on WebTAG Release 1.3b: November 2014: Worksheet A1.1.1. Green Book Discount Rates  </t>
  </si>
  <si>
    <t>A417 Maisemore - Additional Trip Journey Time</t>
  </si>
  <si>
    <t>B4215 - Newent Road - Additional Congestion</t>
  </si>
  <si>
    <t xml:space="preserve">Congestion Delay </t>
  </si>
  <si>
    <t>per Person per day (hrs)</t>
  </si>
  <si>
    <t>Total Person Delay (Time) Costs (at 2010 values)</t>
  </si>
  <si>
    <t>See Sheet 5</t>
  </si>
  <si>
    <t>assumes two flood incidents per year @ £10,000 per year.</t>
  </si>
  <si>
    <t>assumes 10 term days per year @ £2,490 per day.</t>
  </si>
  <si>
    <t>Cost over a 60 year assessment period £</t>
  </si>
  <si>
    <t>Forecast Values of Time per Person - Working &amp; Non-Working (Average Values) - WebTAG  Release 1.3b:  Nov 2014:  Worksheet A1.3.7.</t>
  </si>
  <si>
    <t>Petrol</t>
  </si>
  <si>
    <t>p/litre</t>
  </si>
  <si>
    <t>Resource Cost</t>
  </si>
  <si>
    <t>Duty</t>
  </si>
  <si>
    <t>VAT Rate</t>
  </si>
  <si>
    <t>Fuel &amp; Electricity Price Forecasts</t>
  </si>
  <si>
    <t>Vehicle Operating Costs (VOCs)</t>
  </si>
  <si>
    <t>Fuel VOCs and Non-Fuel VOCs</t>
  </si>
  <si>
    <t>v = Average Speed (kph).</t>
  </si>
  <si>
    <t>L = Consumption (litres/km).</t>
  </si>
  <si>
    <t>a,b,c and d = Parameters defined for each vehicle category.</t>
  </si>
  <si>
    <t>Cost per litre (in 2047)£</t>
  </si>
  <si>
    <t>(a, b, c and d parameters based on WebTAG, Nov 2014, Release  v1.3b, Table A1.3.8 'Fuel / Energy Consumption Parameters, for 'petrol car' category.)</t>
  </si>
  <si>
    <t>L=a/v+b+cv+dv2</t>
  </si>
  <si>
    <t>Based on WebTAG Nov 2014 Release v1.3b, Table A1.3.8 fuel consumption factor.</t>
  </si>
  <si>
    <t>Ave Year (2047)</t>
  </si>
  <si>
    <t>60 Year Assessment</t>
  </si>
  <si>
    <t>C = a1+b1/v</t>
  </si>
  <si>
    <t>b1 = Vehicle Capital Saving, at 2010.</t>
  </si>
  <si>
    <t>a1 = Distance related costs, at 2010.</t>
  </si>
  <si>
    <t>Based on WebTAG, Table A1.3.15, Forecast Non-Fuel Resource VOCs, at 2010 prices.</t>
  </si>
  <si>
    <t>Time Savings per day - estimated over 60 Year Assessment Period (2017-2077)</t>
  </si>
  <si>
    <t>Total Time Savings Estimated over 60 Year Assessment Period (2017-2077), assuming 14 days per annum</t>
  </si>
  <si>
    <t>Time Savings per day - Estimated over 60 Year Assessment Period (2017-2077)</t>
  </si>
  <si>
    <t>Total Time Savings Estimated over 60 Year Assessment Period (2017-2077), assuming 10 weekdays per annum</t>
  </si>
  <si>
    <t>A40</t>
  </si>
  <si>
    <t>A40 - Additional Congestion</t>
  </si>
  <si>
    <t>Days  of congestion on A40</t>
  </si>
  <si>
    <t>A40 Peak Flows:   AM peak (966 vehs), and Northbound in PM peak (1199 vehs)</t>
  </si>
</sst>
</file>

<file path=xl/styles.xml><?xml version="1.0" encoding="utf-8"?>
<styleSheet xmlns="http://schemas.openxmlformats.org/spreadsheetml/2006/main">
  <numFmts count="7">
    <numFmt numFmtId="164" formatCode="0.0%"/>
    <numFmt numFmtId="165" formatCode="0.0000"/>
    <numFmt numFmtId="166" formatCode="0.00000"/>
    <numFmt numFmtId="167" formatCode="0.000000"/>
    <numFmt numFmtId="168" formatCode="&quot;£&quot;#,##0"/>
    <numFmt numFmtId="169" formatCode="&quot;£&quot;#,##0.00"/>
    <numFmt numFmtId="170" formatCode="0.00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indexed="8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3" fillId="0" borderId="0" xfId="0" applyFont="1"/>
    <xf numFmtId="2" fontId="4" fillId="0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0" fillId="2" borderId="0" xfId="0" applyNumberForma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5" fontId="0" fillId="0" borderId="0" xfId="0" applyNumberFormat="1"/>
    <xf numFmtId="2" fontId="4" fillId="0" borderId="0" xfId="0" applyNumberFormat="1" applyFont="1" applyFill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/>
    </xf>
    <xf numFmtId="0" fontId="1" fillId="0" borderId="0" xfId="0" applyFont="1" applyFill="1"/>
    <xf numFmtId="0" fontId="0" fillId="0" borderId="0" xfId="0" applyFill="1"/>
    <xf numFmtId="166" fontId="4" fillId="0" borderId="0" xfId="0" applyNumberFormat="1" applyFont="1" applyFill="1" applyBorder="1" applyAlignment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0" fillId="4" borderId="0" xfId="0" applyFill="1"/>
    <xf numFmtId="164" fontId="1" fillId="4" borderId="0" xfId="0" applyNumberFormat="1" applyFont="1" applyFill="1" applyAlignment="1">
      <alignment horizontal="center"/>
    </xf>
    <xf numFmtId="2" fontId="4" fillId="4" borderId="0" xfId="0" applyNumberFormat="1" applyFont="1" applyFill="1" applyBorder="1" applyAlignment="1">
      <alignment horizontal="center" vertical="center" wrapText="1"/>
    </xf>
    <xf numFmtId="2" fontId="0" fillId="4" borderId="0" xfId="0" applyNumberFormat="1" applyFill="1" applyBorder="1" applyAlignment="1">
      <alignment horizontal="center"/>
    </xf>
    <xf numFmtId="167" fontId="4" fillId="4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0" fillId="0" borderId="0" xfId="0" applyFill="1" applyAlignme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2" fontId="4" fillId="4" borderId="6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0" fillId="0" borderId="5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4" fillId="0" borderId="9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2" fontId="4" fillId="0" borderId="5" xfId="0" applyNumberFormat="1" applyFont="1" applyFill="1" applyBorder="1" applyAlignment="1">
      <alignment horizontal="center" vertical="center" wrapText="1"/>
    </xf>
    <xf numFmtId="166" fontId="4" fillId="0" borderId="6" xfId="0" applyNumberFormat="1" applyFont="1" applyFill="1" applyBorder="1" applyAlignment="1">
      <alignment horizontal="center" vertical="center" wrapText="1"/>
    </xf>
    <xf numFmtId="2" fontId="4" fillId="4" borderId="5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167" fontId="4" fillId="0" borderId="8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8" fillId="0" borderId="0" xfId="0" applyNumberFormat="1" applyFont="1" applyFill="1" applyBorder="1" applyAlignment="1">
      <alignment horizontal="center" vertical="center" wrapText="1"/>
    </xf>
    <xf numFmtId="2" fontId="9" fillId="8" borderId="0" xfId="0" applyNumberFormat="1" applyFont="1" applyFill="1"/>
    <xf numFmtId="2" fontId="0" fillId="0" borderId="1" xfId="0" applyNumberFormat="1" applyBorder="1" applyAlignment="1">
      <alignment horizontal="center"/>
    </xf>
    <xf numFmtId="0" fontId="10" fillId="0" borderId="0" xfId="0" applyFont="1"/>
    <xf numFmtId="0" fontId="1" fillId="9" borderId="0" xfId="0" applyFont="1" applyFill="1"/>
    <xf numFmtId="0" fontId="10" fillId="9" borderId="0" xfId="0" applyFont="1" applyFill="1"/>
    <xf numFmtId="0" fontId="0" fillId="9" borderId="0" xfId="0" applyFill="1"/>
    <xf numFmtId="0" fontId="11" fillId="9" borderId="0" xfId="0" applyFont="1" applyFill="1"/>
    <xf numFmtId="168" fontId="1" fillId="0" borderId="1" xfId="0" applyNumberFormat="1" applyFon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2" fontId="12" fillId="0" borderId="0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3" fillId="0" borderId="0" xfId="0" applyFont="1"/>
    <xf numFmtId="2" fontId="12" fillId="2" borderId="0" xfId="0" applyNumberFormat="1" applyFont="1" applyFill="1" applyBorder="1" applyAlignment="1">
      <alignment horizontal="center" vertical="center" wrapText="1"/>
    </xf>
    <xf numFmtId="2" fontId="0" fillId="2" borderId="0" xfId="0" applyNumberFormat="1" applyFill="1"/>
    <xf numFmtId="169" fontId="1" fillId="2" borderId="0" xfId="0" applyNumberFormat="1" applyFont="1" applyFill="1"/>
    <xf numFmtId="0" fontId="0" fillId="0" borderId="0" xfId="0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1" xfId="0" applyFont="1" applyBorder="1" applyAlignment="1">
      <alignment horizontal="center"/>
    </xf>
    <xf numFmtId="169" fontId="1" fillId="0" borderId="1" xfId="0" applyNumberFormat="1" applyFont="1" applyBorder="1"/>
    <xf numFmtId="170" fontId="10" fillId="1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6" borderId="0" xfId="0" applyFill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5"/>
  <sheetViews>
    <sheetView tabSelected="1" topLeftCell="A28" workbookViewId="0">
      <selection activeCell="C11" sqref="C11"/>
    </sheetView>
  </sheetViews>
  <sheetFormatPr defaultRowHeight="15"/>
  <cols>
    <col min="1" max="1" width="27" customWidth="1"/>
    <col min="2" max="3" width="14.5703125" customWidth="1"/>
    <col min="4" max="4" width="15.85546875" customWidth="1"/>
    <col min="5" max="5" width="13.5703125" customWidth="1"/>
    <col min="6" max="6" width="14.140625" customWidth="1"/>
    <col min="7" max="7" width="13.140625" customWidth="1"/>
    <col min="8" max="8" width="11.85546875" customWidth="1"/>
    <col min="9" max="9" width="14.5703125" customWidth="1"/>
    <col min="10" max="10" width="10.7109375" customWidth="1"/>
    <col min="11" max="11" width="11.28515625" style="6" customWidth="1"/>
    <col min="12" max="12" width="15" customWidth="1"/>
    <col min="13" max="13" width="12.42578125" customWidth="1"/>
  </cols>
  <sheetData>
    <row r="1" spans="1:14" ht="18.75">
      <c r="A1" s="67" t="s">
        <v>87</v>
      </c>
    </row>
    <row r="2" spans="1:14" ht="15.75">
      <c r="A2" s="17" t="s">
        <v>90</v>
      </c>
    </row>
    <row r="3" spans="1:14">
      <c r="A3" s="1" t="s">
        <v>38</v>
      </c>
    </row>
    <row r="5" spans="1:14" ht="14.25" customHeight="1">
      <c r="A5" s="69" t="s">
        <v>88</v>
      </c>
    </row>
    <row r="6" spans="1:14" s="2" customFormat="1" ht="165">
      <c r="A6" s="4"/>
      <c r="B6" s="8" t="s">
        <v>89</v>
      </c>
      <c r="C6" s="8" t="s">
        <v>91</v>
      </c>
      <c r="D6" s="8" t="s">
        <v>92</v>
      </c>
      <c r="E6" s="8" t="s">
        <v>60</v>
      </c>
      <c r="F6" s="8" t="s">
        <v>95</v>
      </c>
      <c r="G6" s="8" t="s">
        <v>96</v>
      </c>
      <c r="H6" s="8" t="s">
        <v>97</v>
      </c>
      <c r="I6" s="8" t="s">
        <v>59</v>
      </c>
      <c r="J6" s="8" t="s">
        <v>118</v>
      </c>
      <c r="K6" s="13" t="s">
        <v>145</v>
      </c>
      <c r="L6" s="13" t="s">
        <v>146</v>
      </c>
      <c r="M6" s="80"/>
    </row>
    <row r="7" spans="1:14" s="2" customFormat="1" ht="60">
      <c r="A7" s="4"/>
      <c r="B7" s="8" t="s">
        <v>4</v>
      </c>
      <c r="C7" s="8" t="s">
        <v>3</v>
      </c>
      <c r="D7" s="8" t="s">
        <v>46</v>
      </c>
      <c r="E7" s="8" t="s">
        <v>93</v>
      </c>
      <c r="F7" s="8" t="s">
        <v>94</v>
      </c>
      <c r="G7" s="8" t="s">
        <v>7</v>
      </c>
      <c r="H7" s="8" t="s">
        <v>8</v>
      </c>
      <c r="I7" s="8" t="s">
        <v>9</v>
      </c>
      <c r="J7" s="8" t="s">
        <v>11</v>
      </c>
      <c r="K7" s="8" t="s">
        <v>98</v>
      </c>
      <c r="L7" s="4"/>
      <c r="M7" s="81"/>
    </row>
    <row r="8" spans="1:14">
      <c r="A8" s="3" t="s">
        <v>109</v>
      </c>
      <c r="B8" s="9">
        <v>10950</v>
      </c>
      <c r="C8" s="12">
        <v>5</v>
      </c>
      <c r="D8" s="9">
        <f t="shared" ref="D8:D9" si="0">B8*(C8/100)</f>
        <v>547.5</v>
      </c>
      <c r="E8" s="12">
        <v>1.22</v>
      </c>
      <c r="F8" s="9">
        <f>D8*E8</f>
        <v>667.94999999999993</v>
      </c>
      <c r="G8" s="9">
        <v>10</v>
      </c>
      <c r="H8" s="9">
        <f>G8/60</f>
        <v>0.16666666666666666</v>
      </c>
      <c r="I8" s="12">
        <v>22.75</v>
      </c>
      <c r="J8" s="9">
        <f>F8*H8*I8</f>
        <v>2532.6437499999997</v>
      </c>
      <c r="K8" s="66">
        <f>'VOT A417 Maisemore'!I78</f>
        <v>159007.00038471771</v>
      </c>
      <c r="L8" s="3">
        <f>K8*14</f>
        <v>2226098.005386048</v>
      </c>
      <c r="M8" s="82"/>
      <c r="N8" t="s">
        <v>99</v>
      </c>
    </row>
    <row r="9" spans="1:14">
      <c r="A9" s="3" t="s">
        <v>54</v>
      </c>
      <c r="B9" s="9">
        <v>10950</v>
      </c>
      <c r="C9" s="12">
        <v>20.3</v>
      </c>
      <c r="D9" s="9">
        <f t="shared" si="0"/>
        <v>2222.8500000000004</v>
      </c>
      <c r="E9" s="12">
        <v>1.1399999999999999</v>
      </c>
      <c r="F9" s="9">
        <f t="shared" ref="F9:F10" si="1">D9*E9</f>
        <v>2534.049</v>
      </c>
      <c r="G9" s="9">
        <v>10</v>
      </c>
      <c r="H9" s="9">
        <f t="shared" ref="H9:H12" si="2">G9/60</f>
        <v>0.16666666666666666</v>
      </c>
      <c r="I9" s="12">
        <v>5.72</v>
      </c>
      <c r="J9" s="9">
        <f t="shared" ref="J9:J12" si="3">F9*H9*I9</f>
        <v>2415.7933800000001</v>
      </c>
      <c r="K9" s="66">
        <f>'VOT A417 Maisemore'!L78</f>
        <v>151750.63526757571</v>
      </c>
      <c r="L9" s="3">
        <f t="shared" ref="L9:L12" si="4">K9*14</f>
        <v>2124508.8937460599</v>
      </c>
      <c r="M9" s="82"/>
    </row>
    <row r="10" spans="1:14">
      <c r="A10" s="3" t="s">
        <v>55</v>
      </c>
      <c r="B10" s="9">
        <v>10950</v>
      </c>
      <c r="C10" s="12">
        <v>74.7</v>
      </c>
      <c r="D10" s="9">
        <f>B10*(C10/100)</f>
        <v>8179.65</v>
      </c>
      <c r="E10" s="12">
        <v>1.79</v>
      </c>
      <c r="F10" s="9">
        <f t="shared" si="1"/>
        <v>14641.5735</v>
      </c>
      <c r="G10" s="9">
        <v>10</v>
      </c>
      <c r="H10" s="9">
        <f t="shared" si="2"/>
        <v>0.16666666666666666</v>
      </c>
      <c r="I10" s="12">
        <v>5.08</v>
      </c>
      <c r="J10" s="9">
        <f t="shared" si="3"/>
        <v>12396.532229999999</v>
      </c>
      <c r="K10" s="66">
        <f>'VOT A417 Maisemore'!O78</f>
        <v>778177.43542132736</v>
      </c>
      <c r="L10" s="3">
        <f t="shared" si="4"/>
        <v>10894484.095898584</v>
      </c>
      <c r="M10" s="82"/>
    </row>
    <row r="11" spans="1:14">
      <c r="A11" s="3" t="s">
        <v>5</v>
      </c>
      <c r="B11" s="9"/>
      <c r="C11" s="9"/>
      <c r="D11" s="9"/>
      <c r="E11" s="9"/>
      <c r="F11" s="9">
        <v>300</v>
      </c>
      <c r="G11" s="9">
        <v>20</v>
      </c>
      <c r="H11" s="9">
        <f t="shared" si="2"/>
        <v>0.33333333333333331</v>
      </c>
      <c r="I11" s="12">
        <v>5.72</v>
      </c>
      <c r="J11" s="9">
        <f t="shared" si="3"/>
        <v>572</v>
      </c>
      <c r="K11" s="66">
        <f>'VOT A417 Maisemore'!S78</f>
        <v>35930.681691612204</v>
      </c>
      <c r="L11" s="3">
        <f t="shared" si="4"/>
        <v>503029.54368257086</v>
      </c>
      <c r="M11" s="82"/>
    </row>
    <row r="12" spans="1:14">
      <c r="A12" s="3" t="s">
        <v>6</v>
      </c>
      <c r="B12" s="9"/>
      <c r="C12" s="9"/>
      <c r="D12" s="9"/>
      <c r="E12" s="9"/>
      <c r="F12" s="9">
        <v>50</v>
      </c>
      <c r="G12" s="9">
        <v>20</v>
      </c>
      <c r="H12" s="9">
        <f t="shared" si="2"/>
        <v>0.33333333333333331</v>
      </c>
      <c r="I12" s="12">
        <v>5.08</v>
      </c>
      <c r="J12" s="9">
        <f t="shared" si="3"/>
        <v>84.666666666666657</v>
      </c>
      <c r="K12" s="66">
        <f>'VOT A417 Maisemore'!W78</f>
        <v>5314.8337295364518</v>
      </c>
      <c r="L12" s="3">
        <f t="shared" si="4"/>
        <v>74407.672213510319</v>
      </c>
      <c r="M12" s="82"/>
    </row>
    <row r="13" spans="1:14" ht="30" customHeight="1">
      <c r="A13" s="3" t="s">
        <v>37</v>
      </c>
      <c r="B13" s="9"/>
      <c r="C13" s="9"/>
      <c r="D13" s="9"/>
      <c r="E13" s="9"/>
      <c r="F13" s="9"/>
      <c r="G13" s="9"/>
      <c r="H13" s="9"/>
      <c r="I13" s="9"/>
      <c r="J13" s="10"/>
      <c r="K13" s="83">
        <f>SUM(K8:K12)</f>
        <v>1130180.5864947694</v>
      </c>
      <c r="L13" s="84">
        <f>K13*14</f>
        <v>15822528.210926771</v>
      </c>
      <c r="M13" s="82"/>
    </row>
    <row r="16" spans="1:14" ht="18.75">
      <c r="A16" s="69" t="s">
        <v>100</v>
      </c>
      <c r="B16" s="70"/>
    </row>
    <row r="17" spans="1:12">
      <c r="A17" s="1" t="s">
        <v>101</v>
      </c>
    </row>
    <row r="19" spans="1:12" s="2" customFormat="1" ht="225">
      <c r="A19" s="4"/>
      <c r="B19" s="8" t="s">
        <v>106</v>
      </c>
      <c r="C19" s="8" t="s">
        <v>102</v>
      </c>
      <c r="D19" s="8" t="s">
        <v>103</v>
      </c>
      <c r="E19" s="8" t="s">
        <v>104</v>
      </c>
      <c r="F19" s="8" t="s">
        <v>105</v>
      </c>
      <c r="G19" s="8" t="s">
        <v>107</v>
      </c>
      <c r="H19" s="8" t="s">
        <v>108</v>
      </c>
      <c r="I19" s="8" t="s">
        <v>59</v>
      </c>
      <c r="J19" s="8" t="s">
        <v>118</v>
      </c>
      <c r="K19" s="13" t="s">
        <v>147</v>
      </c>
      <c r="L19" s="13" t="s">
        <v>148</v>
      </c>
    </row>
    <row r="20" spans="1:12" s="2" customFormat="1" ht="30">
      <c r="A20" s="4"/>
      <c r="B20" s="8" t="s">
        <v>4</v>
      </c>
      <c r="C20" s="8" t="s">
        <v>3</v>
      </c>
      <c r="D20" s="8" t="s">
        <v>46</v>
      </c>
      <c r="E20" s="8" t="s">
        <v>86</v>
      </c>
      <c r="F20" s="8" t="s">
        <v>94</v>
      </c>
      <c r="G20" s="8" t="s">
        <v>7</v>
      </c>
      <c r="H20" s="8" t="s">
        <v>8</v>
      </c>
      <c r="I20" s="8" t="s">
        <v>9</v>
      </c>
      <c r="J20" s="8" t="s">
        <v>11</v>
      </c>
      <c r="K20" s="8" t="s">
        <v>119</v>
      </c>
      <c r="L20" s="4"/>
    </row>
    <row r="21" spans="1:12">
      <c r="A21" s="3" t="s">
        <v>109</v>
      </c>
      <c r="B21" s="9">
        <f>1911+2541</f>
        <v>4452</v>
      </c>
      <c r="C21" s="12">
        <v>6.15</v>
      </c>
      <c r="D21" s="9">
        <f t="shared" ref="D21:D22" si="5">B21*(C21/100)</f>
        <v>273.798</v>
      </c>
      <c r="E21" s="12">
        <v>1.23</v>
      </c>
      <c r="F21" s="9">
        <f>D21*E21</f>
        <v>336.77154000000002</v>
      </c>
      <c r="G21" s="9">
        <v>30</v>
      </c>
      <c r="H21" s="9">
        <f>G21/60</f>
        <v>0.5</v>
      </c>
      <c r="I21" s="12">
        <v>22.75</v>
      </c>
      <c r="J21" s="9">
        <f>F21*H21*I21</f>
        <v>3830.7762675000004</v>
      </c>
      <c r="K21" s="66">
        <f>'VOT B4215 Newent Rd'!I78</f>
        <v>240507.18748031181</v>
      </c>
      <c r="L21" s="3">
        <f>K21*10</f>
        <v>2405071.8748031179</v>
      </c>
    </row>
    <row r="22" spans="1:12">
      <c r="A22" s="3" t="s">
        <v>54</v>
      </c>
      <c r="B22" s="9">
        <f t="shared" ref="B22:B23" si="6">1911+2541</f>
        <v>4452</v>
      </c>
      <c r="C22" s="12">
        <v>36.450000000000003</v>
      </c>
      <c r="D22" s="9">
        <f t="shared" si="5"/>
        <v>1622.7540000000001</v>
      </c>
      <c r="E22" s="12">
        <v>1.1499999999999999</v>
      </c>
      <c r="F22" s="9">
        <f t="shared" ref="F22:F23" si="7">D22*E22</f>
        <v>1866.1671000000001</v>
      </c>
      <c r="G22" s="9">
        <v>30</v>
      </c>
      <c r="H22" s="9">
        <f t="shared" ref="H22:H25" si="8">G22/60</f>
        <v>0.5</v>
      </c>
      <c r="I22" s="12">
        <v>5.72</v>
      </c>
      <c r="J22" s="9">
        <f t="shared" ref="J22:J25" si="9">F22*H22*I22</f>
        <v>5337.2379060000003</v>
      </c>
      <c r="K22" s="66">
        <f>'VOT B4215 Newent Rd'!L78</f>
        <v>335263.6155309109</v>
      </c>
      <c r="L22" s="3">
        <f t="shared" ref="L22:L26" si="10">K22*10</f>
        <v>3352636.155309109</v>
      </c>
    </row>
    <row r="23" spans="1:12">
      <c r="A23" s="3" t="s">
        <v>55</v>
      </c>
      <c r="B23" s="9">
        <f t="shared" si="6"/>
        <v>4452</v>
      </c>
      <c r="C23" s="12">
        <v>57.4</v>
      </c>
      <c r="D23" s="9">
        <f>B23*(C23/100)</f>
        <v>2555.4479999999999</v>
      </c>
      <c r="E23" s="12">
        <v>1.74</v>
      </c>
      <c r="F23" s="9">
        <f t="shared" si="7"/>
        <v>4446.4795199999999</v>
      </c>
      <c r="G23" s="9">
        <v>30</v>
      </c>
      <c r="H23" s="9">
        <f t="shared" si="8"/>
        <v>0.5</v>
      </c>
      <c r="I23" s="12">
        <v>5.08</v>
      </c>
      <c r="J23" s="9">
        <f t="shared" si="9"/>
        <v>11294.0579808</v>
      </c>
      <c r="K23" s="66">
        <f>'VOT B4215 Newent Rd'!O78</f>
        <v>708969.68888736074</v>
      </c>
      <c r="L23" s="3">
        <f t="shared" si="10"/>
        <v>7089696.8888736069</v>
      </c>
    </row>
    <row r="24" spans="1:12">
      <c r="A24" s="3" t="s">
        <v>5</v>
      </c>
      <c r="B24" s="9"/>
      <c r="C24" s="9"/>
      <c r="D24" s="9"/>
      <c r="E24" s="9"/>
      <c r="F24" s="9">
        <f>6*30</f>
        <v>180</v>
      </c>
      <c r="G24" s="9">
        <v>30</v>
      </c>
      <c r="H24" s="9">
        <f t="shared" si="8"/>
        <v>0.5</v>
      </c>
      <c r="I24" s="12">
        <v>5.72</v>
      </c>
      <c r="J24" s="9">
        <f t="shared" si="9"/>
        <v>514.79999999999995</v>
      </c>
      <c r="K24" s="66">
        <f>'VOT B4215 Newent Rd'!S78</f>
        <v>32337.645860096847</v>
      </c>
      <c r="L24" s="3">
        <f t="shared" si="10"/>
        <v>323376.45860096847</v>
      </c>
    </row>
    <row r="25" spans="1:12">
      <c r="A25" s="3" t="s">
        <v>6</v>
      </c>
      <c r="B25" s="9"/>
      <c r="C25" s="9"/>
      <c r="D25" s="9"/>
      <c r="E25" s="9"/>
      <c r="F25" s="9">
        <v>50</v>
      </c>
      <c r="G25" s="9">
        <v>30</v>
      </c>
      <c r="H25" s="9">
        <f t="shared" si="8"/>
        <v>0.5</v>
      </c>
      <c r="I25" s="12">
        <v>5.08</v>
      </c>
      <c r="J25" s="9">
        <f t="shared" si="9"/>
        <v>127</v>
      </c>
      <c r="K25" s="66">
        <f>'VOT B4215 Newent Rd'!W78</f>
        <v>7972.2585665632414</v>
      </c>
      <c r="L25" s="3">
        <f t="shared" si="10"/>
        <v>79722.585665632418</v>
      </c>
    </row>
    <row r="26" spans="1:12" ht="28.5" customHeight="1">
      <c r="A26" s="3" t="s">
        <v>37</v>
      </c>
      <c r="B26" s="9"/>
      <c r="C26" s="9"/>
      <c r="D26" s="9"/>
      <c r="E26" s="9"/>
      <c r="F26" s="9"/>
      <c r="G26" s="9"/>
      <c r="H26" s="9"/>
      <c r="I26" s="9"/>
      <c r="J26" s="10"/>
      <c r="K26" s="83">
        <f>SUM(K21:K25)</f>
        <v>1325050.3963252436</v>
      </c>
      <c r="L26" s="84">
        <f t="shared" si="10"/>
        <v>13250503.963252436</v>
      </c>
    </row>
    <row r="33" spans="1:12" ht="18.75">
      <c r="A33" s="69" t="s">
        <v>149</v>
      </c>
      <c r="B33" s="70"/>
    </row>
    <row r="34" spans="1:12">
      <c r="A34" s="1" t="s">
        <v>152</v>
      </c>
    </row>
    <row r="36" spans="1:12" s="2" customFormat="1" ht="225">
      <c r="A36" s="4"/>
      <c r="B36" s="8" t="s">
        <v>106</v>
      </c>
      <c r="C36" s="8" t="s">
        <v>102</v>
      </c>
      <c r="D36" s="8" t="s">
        <v>103</v>
      </c>
      <c r="E36" s="8" t="s">
        <v>104</v>
      </c>
      <c r="F36" s="8" t="s">
        <v>105</v>
      </c>
      <c r="G36" s="8" t="s">
        <v>107</v>
      </c>
      <c r="H36" s="8" t="s">
        <v>108</v>
      </c>
      <c r="I36" s="8" t="s">
        <v>59</v>
      </c>
      <c r="J36" s="8" t="s">
        <v>118</v>
      </c>
      <c r="K36" s="13" t="s">
        <v>147</v>
      </c>
      <c r="L36" s="13" t="s">
        <v>148</v>
      </c>
    </row>
    <row r="37" spans="1:12" s="2" customFormat="1" ht="30">
      <c r="A37" s="4"/>
      <c r="B37" s="8" t="s">
        <v>4</v>
      </c>
      <c r="C37" s="8" t="s">
        <v>3</v>
      </c>
      <c r="D37" s="8" t="s">
        <v>46</v>
      </c>
      <c r="E37" s="8" t="s">
        <v>86</v>
      </c>
      <c r="F37" s="8" t="s">
        <v>94</v>
      </c>
      <c r="G37" s="8" t="s">
        <v>7</v>
      </c>
      <c r="H37" s="8" t="s">
        <v>8</v>
      </c>
      <c r="I37" s="8" t="s">
        <v>9</v>
      </c>
      <c r="J37" s="8" t="s">
        <v>11</v>
      </c>
      <c r="K37" s="8" t="s">
        <v>119</v>
      </c>
      <c r="L37" s="4"/>
    </row>
    <row r="38" spans="1:12">
      <c r="A38" s="3" t="s">
        <v>109</v>
      </c>
      <c r="B38" s="9">
        <f>2500+2890</f>
        <v>5390</v>
      </c>
      <c r="C38" s="12">
        <v>6.15</v>
      </c>
      <c r="D38" s="9">
        <f t="shared" ref="D38:D39" si="11">B38*(C38/100)</f>
        <v>331.48500000000001</v>
      </c>
      <c r="E38" s="12">
        <v>1.23</v>
      </c>
      <c r="F38" s="9">
        <f>D38*E38</f>
        <v>407.72655000000003</v>
      </c>
      <c r="G38" s="9">
        <v>5</v>
      </c>
      <c r="H38" s="9">
        <f>G38/60</f>
        <v>8.3333333333333329E-2</v>
      </c>
      <c r="I38" s="12">
        <v>22.75</v>
      </c>
      <c r="J38" s="9">
        <f>F38*H38*I38</f>
        <v>772.98158437500001</v>
      </c>
      <c r="K38" s="66">
        <f>'VOT A40'!I78</f>
        <v>48529.948781003295</v>
      </c>
      <c r="L38" s="3">
        <f>K38*10</f>
        <v>485299.48781003297</v>
      </c>
    </row>
    <row r="39" spans="1:12">
      <c r="A39" s="3" t="s">
        <v>54</v>
      </c>
      <c r="B39" s="9">
        <f t="shared" ref="B39:B40" si="12">2500+2890</f>
        <v>5390</v>
      </c>
      <c r="C39" s="12">
        <v>36.450000000000003</v>
      </c>
      <c r="D39" s="9">
        <f t="shared" si="11"/>
        <v>1964.6550000000002</v>
      </c>
      <c r="E39" s="12">
        <v>1.1499999999999999</v>
      </c>
      <c r="F39" s="9">
        <f t="shared" ref="F39:F40" si="13">D39*E39</f>
        <v>2259.3532500000001</v>
      </c>
      <c r="G39" s="9">
        <v>5</v>
      </c>
      <c r="H39" s="9">
        <f t="shared" ref="H39:H42" si="14">G39/60</f>
        <v>8.3333333333333329E-2</v>
      </c>
      <c r="I39" s="12">
        <v>5.72</v>
      </c>
      <c r="J39" s="9">
        <f t="shared" ref="J39:J42" si="15">F39*H39*I39</f>
        <v>1076.9583825</v>
      </c>
      <c r="K39" s="66">
        <f>'VOT A40'!L78</f>
        <v>67650.145543469785</v>
      </c>
      <c r="L39" s="3">
        <f t="shared" ref="L39:L43" si="16">K39*10</f>
        <v>676501.45543469791</v>
      </c>
    </row>
    <row r="40" spans="1:12">
      <c r="A40" s="3" t="s">
        <v>55</v>
      </c>
      <c r="B40" s="9">
        <f t="shared" si="12"/>
        <v>5390</v>
      </c>
      <c r="C40" s="12">
        <v>57.4</v>
      </c>
      <c r="D40" s="9">
        <f>B40*(C40/100)</f>
        <v>3093.8599999999997</v>
      </c>
      <c r="E40" s="12">
        <v>1.74</v>
      </c>
      <c r="F40" s="9">
        <f t="shared" si="13"/>
        <v>5383.3163999999997</v>
      </c>
      <c r="G40" s="9">
        <v>5</v>
      </c>
      <c r="H40" s="9">
        <f t="shared" si="14"/>
        <v>8.3333333333333329E-2</v>
      </c>
      <c r="I40" s="12">
        <v>5.08</v>
      </c>
      <c r="J40" s="9">
        <f t="shared" si="15"/>
        <v>2278.9372760000001</v>
      </c>
      <c r="K40" s="66">
        <f>'VOT A40'!O78</f>
        <v>143057.2903250565</v>
      </c>
      <c r="L40" s="3">
        <f t="shared" si="16"/>
        <v>1430572.9032505651</v>
      </c>
    </row>
    <row r="41" spans="1:12">
      <c r="A41" s="3" t="s">
        <v>5</v>
      </c>
      <c r="B41" s="9"/>
      <c r="C41" s="9"/>
      <c r="D41" s="9"/>
      <c r="E41" s="9"/>
      <c r="F41" s="9">
        <f>6*30</f>
        <v>180</v>
      </c>
      <c r="G41" s="9">
        <v>5</v>
      </c>
      <c r="H41" s="9">
        <f t="shared" si="14"/>
        <v>8.3333333333333329E-2</v>
      </c>
      <c r="I41" s="12">
        <v>5.72</v>
      </c>
      <c r="J41" s="9">
        <f t="shared" si="15"/>
        <v>85.8</v>
      </c>
      <c r="K41" s="66">
        <f>'VOT A40'!S78</f>
        <v>5389.6076433494763</v>
      </c>
      <c r="L41" s="3">
        <f t="shared" si="16"/>
        <v>53896.07643349476</v>
      </c>
    </row>
    <row r="42" spans="1:12">
      <c r="A42" s="3" t="s">
        <v>6</v>
      </c>
      <c r="B42" s="9"/>
      <c r="C42" s="9"/>
      <c r="D42" s="9"/>
      <c r="E42" s="9"/>
      <c r="F42" s="9">
        <v>50</v>
      </c>
      <c r="G42" s="9">
        <v>5</v>
      </c>
      <c r="H42" s="9">
        <f t="shared" si="14"/>
        <v>8.3333333333333329E-2</v>
      </c>
      <c r="I42" s="12">
        <v>5.08</v>
      </c>
      <c r="J42" s="9">
        <f t="shared" si="15"/>
        <v>21.166666666666664</v>
      </c>
      <c r="K42" s="66">
        <f>'VOT A40'!W78</f>
        <v>1328.709761093874</v>
      </c>
      <c r="L42" s="3">
        <f t="shared" si="16"/>
        <v>13287.097610938741</v>
      </c>
    </row>
    <row r="43" spans="1:12" ht="28.5" customHeight="1">
      <c r="A43" s="3" t="s">
        <v>37</v>
      </c>
      <c r="B43" s="9"/>
      <c r="C43" s="9"/>
      <c r="D43" s="9"/>
      <c r="E43" s="9"/>
      <c r="F43" s="9"/>
      <c r="G43" s="9"/>
      <c r="H43" s="9"/>
      <c r="I43" s="9"/>
      <c r="J43" s="10"/>
      <c r="K43" s="83">
        <f>SUM(K38:K42)</f>
        <v>265955.70205397299</v>
      </c>
      <c r="L43" s="84">
        <f t="shared" si="16"/>
        <v>2659557.0205397299</v>
      </c>
    </row>
    <row r="57" spans="1:11">
      <c r="A57" s="1" t="s">
        <v>48</v>
      </c>
    </row>
    <row r="59" spans="1:11" s="2" customFormat="1" ht="60">
      <c r="A59" s="4"/>
      <c r="B59" s="4"/>
      <c r="C59" s="4"/>
      <c r="D59" s="8" t="s">
        <v>13</v>
      </c>
      <c r="E59" s="8" t="s">
        <v>122</v>
      </c>
      <c r="F59" s="8"/>
      <c r="K59" s="7"/>
    </row>
    <row r="60" spans="1:11">
      <c r="A60" s="3" t="s">
        <v>12</v>
      </c>
      <c r="B60" s="3"/>
      <c r="C60" s="3"/>
      <c r="D60" s="9">
        <v>14</v>
      </c>
      <c r="E60" s="73">
        <f>L13</f>
        <v>15822528.210926771</v>
      </c>
      <c r="F60" s="9"/>
    </row>
    <row r="61" spans="1:11">
      <c r="A61" s="3" t="s">
        <v>14</v>
      </c>
      <c r="B61" s="3"/>
      <c r="C61" s="3"/>
      <c r="D61" s="9">
        <v>10</v>
      </c>
      <c r="E61" s="73">
        <f>L26</f>
        <v>13250503.963252436</v>
      </c>
      <c r="F61" s="9"/>
      <c r="H61" t="s">
        <v>47</v>
      </c>
    </row>
    <row r="62" spans="1:11">
      <c r="A62" s="3" t="s">
        <v>151</v>
      </c>
      <c r="B62" s="3"/>
      <c r="C62" s="3"/>
      <c r="D62" s="9">
        <v>10</v>
      </c>
      <c r="E62" s="73">
        <f>L43</f>
        <v>2659557.0205397299</v>
      </c>
      <c r="F62" s="9"/>
    </row>
    <row r="63" spans="1:11">
      <c r="A63" s="3" t="s">
        <v>35</v>
      </c>
      <c r="B63" s="3"/>
      <c r="C63" s="3"/>
      <c r="D63" s="9"/>
      <c r="E63" s="73">
        <f>VOCs!D58</f>
        <v>11273324.00820587</v>
      </c>
      <c r="F63" s="9"/>
    </row>
    <row r="64" spans="1:11">
      <c r="A64" s="3" t="s">
        <v>17</v>
      </c>
      <c r="B64" s="3"/>
      <c r="C64" s="3"/>
      <c r="D64" s="9">
        <v>2</v>
      </c>
      <c r="E64" s="73">
        <f>D64*10000*60</f>
        <v>1200000</v>
      </c>
      <c r="F64" s="9"/>
      <c r="H64" t="s">
        <v>120</v>
      </c>
    </row>
    <row r="65" spans="1:8">
      <c r="A65" s="3" t="s">
        <v>84</v>
      </c>
      <c r="B65" s="3"/>
      <c r="C65" s="3"/>
      <c r="D65" s="9">
        <v>10</v>
      </c>
      <c r="E65" s="73">
        <f>D65*2490*60</f>
        <v>1494000</v>
      </c>
      <c r="F65" s="9"/>
      <c r="H65" t="s">
        <v>121</v>
      </c>
    </row>
    <row r="66" spans="1:8">
      <c r="A66" s="3" t="s">
        <v>16</v>
      </c>
      <c r="B66" s="3"/>
      <c r="C66" s="3"/>
      <c r="D66" s="9"/>
      <c r="E66" s="72">
        <f>SUM(E60:E65)</f>
        <v>45699913.20292481</v>
      </c>
      <c r="F66" s="10"/>
    </row>
    <row r="67" spans="1:8">
      <c r="D67" s="11"/>
      <c r="E67" s="11"/>
      <c r="F67" s="11"/>
    </row>
    <row r="68" spans="1:8">
      <c r="D68" s="11"/>
      <c r="E68" s="11"/>
      <c r="F68" s="11"/>
    </row>
    <row r="69" spans="1:8">
      <c r="A69" s="1" t="s">
        <v>18</v>
      </c>
      <c r="D69" s="11"/>
      <c r="E69" s="11"/>
      <c r="F69" s="11"/>
    </row>
    <row r="70" spans="1:8">
      <c r="D70" s="11"/>
      <c r="E70" s="11"/>
      <c r="F70" s="11"/>
    </row>
    <row r="71" spans="1:8">
      <c r="A71" s="3" t="s">
        <v>15</v>
      </c>
      <c r="B71" s="3" t="s">
        <v>19</v>
      </c>
      <c r="C71" s="3"/>
      <c r="D71" s="9"/>
      <c r="E71" s="9">
        <v>25000000</v>
      </c>
      <c r="F71" s="9"/>
    </row>
    <row r="72" spans="1:8">
      <c r="A72" s="3" t="s">
        <v>43</v>
      </c>
      <c r="B72" s="3"/>
      <c r="C72" s="3" t="s">
        <v>44</v>
      </c>
      <c r="D72" s="9"/>
      <c r="E72" s="9">
        <f>2000*60</f>
        <v>120000</v>
      </c>
      <c r="F72" s="9"/>
    </row>
    <row r="73" spans="1:8">
      <c r="A73" s="3" t="s">
        <v>45</v>
      </c>
      <c r="B73" s="3"/>
      <c r="C73" s="3" t="s">
        <v>53</v>
      </c>
      <c r="D73" s="9"/>
      <c r="E73" s="9">
        <v>100000</v>
      </c>
      <c r="F73" s="9"/>
    </row>
    <row r="74" spans="1:8">
      <c r="A74" s="3" t="s">
        <v>10</v>
      </c>
      <c r="B74" s="3"/>
      <c r="C74" s="3"/>
      <c r="D74" s="9"/>
      <c r="E74" s="9">
        <f>SUM(E71:E73)</f>
        <v>25220000</v>
      </c>
      <c r="F74" s="9"/>
    </row>
    <row r="75" spans="1:8" ht="18.75">
      <c r="A75" s="3" t="s">
        <v>18</v>
      </c>
      <c r="B75" s="3"/>
      <c r="C75" s="3"/>
      <c r="D75" s="9"/>
      <c r="E75" s="85">
        <f>E66/E74</f>
        <v>1.812050483859033</v>
      </c>
      <c r="F75" s="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8"/>
  <sheetViews>
    <sheetView topLeftCell="A37" workbookViewId="0">
      <selection activeCell="E62" sqref="E62"/>
    </sheetView>
  </sheetViews>
  <sheetFormatPr defaultRowHeight="15"/>
  <cols>
    <col min="2" max="2" width="21.85546875" customWidth="1"/>
    <col min="3" max="3" width="12" bestFit="1" customWidth="1"/>
    <col min="4" max="4" width="13.85546875" bestFit="1" customWidth="1"/>
    <col min="5" max="5" width="11" bestFit="1" customWidth="1"/>
    <col min="6" max="6" width="10.7109375" bestFit="1" customWidth="1"/>
  </cols>
  <sheetData>
    <row r="1" spans="1:11" ht="15.75">
      <c r="A1" s="17" t="s">
        <v>130</v>
      </c>
      <c r="B1" s="76"/>
    </row>
    <row r="3" spans="1:11">
      <c r="A3" t="s">
        <v>131</v>
      </c>
    </row>
    <row r="5" spans="1:11" ht="15.75">
      <c r="A5" s="1" t="s">
        <v>58</v>
      </c>
      <c r="C5" s="17" t="s">
        <v>137</v>
      </c>
      <c r="E5" t="s">
        <v>133</v>
      </c>
      <c r="H5" t="s">
        <v>132</v>
      </c>
      <c r="K5" t="s">
        <v>134</v>
      </c>
    </row>
    <row r="6" spans="1:11" s="5" customFormat="1" ht="65.25" customHeight="1">
      <c r="A6" s="5" t="s">
        <v>32</v>
      </c>
    </row>
    <row r="7" spans="1:11">
      <c r="A7" t="s">
        <v>30</v>
      </c>
    </row>
    <row r="8" spans="1:11">
      <c r="C8" t="s">
        <v>20</v>
      </c>
      <c r="D8" t="s">
        <v>21</v>
      </c>
      <c r="E8" t="s">
        <v>22</v>
      </c>
      <c r="F8" t="s">
        <v>23</v>
      </c>
      <c r="G8" t="s">
        <v>24</v>
      </c>
      <c r="H8" t="s">
        <v>25</v>
      </c>
      <c r="J8" t="s">
        <v>136</v>
      </c>
    </row>
    <row r="9" spans="1:11">
      <c r="C9">
        <v>1.1193200000000001</v>
      </c>
      <c r="D9">
        <v>4.3999999999999997E-2</v>
      </c>
      <c r="E9">
        <v>-8.0000000000000007E-5</v>
      </c>
      <c r="F9">
        <v>1.9999999999999999E-6</v>
      </c>
      <c r="G9">
        <v>112</v>
      </c>
      <c r="H9">
        <v>3000</v>
      </c>
    </row>
    <row r="11" spans="1:11">
      <c r="B11" t="s">
        <v>26</v>
      </c>
      <c r="C11">
        <f>(C9/G9)+(D9)+(E9*G9)+(F9*G9*G9)</f>
        <v>7.0121928571428571E-2</v>
      </c>
    </row>
    <row r="12" spans="1:11">
      <c r="B12" t="s">
        <v>135</v>
      </c>
      <c r="C12" s="75">
        <f>((Sheet3!Q42)+(Sheet3!R42))*1.2/100</f>
        <v>1.6404179206533638</v>
      </c>
      <c r="E12" t="s">
        <v>138</v>
      </c>
    </row>
    <row r="13" spans="1:11">
      <c r="B13" t="s">
        <v>27</v>
      </c>
      <c r="C13">
        <v>17</v>
      </c>
      <c r="E13" t="s">
        <v>51</v>
      </c>
    </row>
    <row r="14" spans="1:11">
      <c r="B14" t="s">
        <v>28</v>
      </c>
      <c r="C14">
        <v>3000</v>
      </c>
    </row>
    <row r="15" spans="1:11">
      <c r="B15" t="s">
        <v>29</v>
      </c>
      <c r="C15">
        <v>14</v>
      </c>
    </row>
    <row r="16" spans="1:11">
      <c r="B16" t="s">
        <v>139</v>
      </c>
      <c r="C16">
        <f>C11*C12*C13*C14*C15</f>
        <v>82130.897537173441</v>
      </c>
    </row>
    <row r="17" spans="1:9">
      <c r="B17" t="s">
        <v>140</v>
      </c>
      <c r="C17" s="14">
        <f>C16*60</f>
        <v>4927853.8522304064</v>
      </c>
    </row>
    <row r="19" spans="1:9">
      <c r="A19" t="s">
        <v>31</v>
      </c>
      <c r="E19" s="1" t="s">
        <v>141</v>
      </c>
    </row>
    <row r="21" spans="1:9">
      <c r="B21" t="s">
        <v>39</v>
      </c>
      <c r="C21">
        <f>3.993/100</f>
        <v>3.993E-2</v>
      </c>
      <c r="E21" t="s">
        <v>143</v>
      </c>
      <c r="I21" t="s">
        <v>144</v>
      </c>
    </row>
    <row r="22" spans="1:9">
      <c r="B22" t="s">
        <v>40</v>
      </c>
      <c r="C22">
        <f>17.809/100</f>
        <v>0.17809</v>
      </c>
      <c r="E22" t="s">
        <v>142</v>
      </c>
      <c r="I22" t="s">
        <v>144</v>
      </c>
    </row>
    <row r="23" spans="1:9">
      <c r="B23" t="s">
        <v>41</v>
      </c>
      <c r="C23">
        <v>112</v>
      </c>
    </row>
    <row r="24" spans="1:9">
      <c r="B24" t="s">
        <v>42</v>
      </c>
      <c r="C24">
        <f>C21+(C22/C23)</f>
        <v>4.1520089285714289E-2</v>
      </c>
    </row>
    <row r="25" spans="1:9">
      <c r="B25" t="s">
        <v>27</v>
      </c>
      <c r="C25">
        <v>17</v>
      </c>
    </row>
    <row r="26" spans="1:9">
      <c r="B26" t="s">
        <v>28</v>
      </c>
      <c r="C26">
        <v>3000</v>
      </c>
    </row>
    <row r="27" spans="1:9">
      <c r="B27" t="s">
        <v>29</v>
      </c>
      <c r="C27">
        <v>14</v>
      </c>
    </row>
    <row r="28" spans="1:9">
      <c r="B28" t="s">
        <v>139</v>
      </c>
      <c r="C28">
        <f>C24*C25*C26*C27</f>
        <v>29645.34375</v>
      </c>
    </row>
    <row r="29" spans="1:9">
      <c r="B29" t="s">
        <v>140</v>
      </c>
      <c r="C29" s="14">
        <f>C28*60</f>
        <v>1778720.625</v>
      </c>
    </row>
    <row r="32" spans="1:9" s="5" customFormat="1" ht="65.25" customHeight="1">
      <c r="A32" s="5" t="s">
        <v>33</v>
      </c>
    </row>
    <row r="33" spans="1:9">
      <c r="A33" t="s">
        <v>30</v>
      </c>
    </row>
    <row r="34" spans="1:9">
      <c r="C34" t="s">
        <v>20</v>
      </c>
      <c r="D34" t="s">
        <v>21</v>
      </c>
      <c r="E34" t="s">
        <v>22</v>
      </c>
      <c r="F34" t="s">
        <v>23</v>
      </c>
      <c r="G34" t="s">
        <v>24</v>
      </c>
      <c r="H34" t="s">
        <v>25</v>
      </c>
    </row>
    <row r="35" spans="1:9">
      <c r="C35">
        <v>1.1193200000000001</v>
      </c>
      <c r="D35">
        <v>4.3999999999999997E-2</v>
      </c>
      <c r="E35">
        <v>-8.0000000000000007E-5</v>
      </c>
      <c r="F35">
        <v>1.9999999999999999E-6</v>
      </c>
      <c r="G35">
        <v>48</v>
      </c>
      <c r="H35">
        <v>7000</v>
      </c>
    </row>
    <row r="37" spans="1:9">
      <c r="B37" t="s">
        <v>26</v>
      </c>
      <c r="C37">
        <f>(C35/G35)+(D35)+(E35*G35)+(F35*G35*G35)</f>
        <v>6.8087166666666671E-2</v>
      </c>
    </row>
    <row r="38" spans="1:9">
      <c r="B38" t="s">
        <v>135</v>
      </c>
      <c r="C38" s="75">
        <f>((Sheet3!Q42)+(Sheet3!R42))*1.2/100</f>
        <v>1.6404179206533638</v>
      </c>
      <c r="E38" t="s">
        <v>138</v>
      </c>
    </row>
    <row r="39" spans="1:9">
      <c r="B39" t="s">
        <v>27</v>
      </c>
      <c r="C39">
        <v>5</v>
      </c>
      <c r="E39" t="s">
        <v>52</v>
      </c>
    </row>
    <row r="40" spans="1:9">
      <c r="B40" t="s">
        <v>28</v>
      </c>
      <c r="C40">
        <v>7000</v>
      </c>
    </row>
    <row r="41" spans="1:9">
      <c r="B41" t="s">
        <v>29</v>
      </c>
      <c r="C41">
        <v>14</v>
      </c>
    </row>
    <row r="42" spans="1:9">
      <c r="B42" t="s">
        <v>139</v>
      </c>
      <c r="C42">
        <f>C37*C38*C39*C40*C41</f>
        <v>54728.79009959106</v>
      </c>
    </row>
    <row r="43" spans="1:9">
      <c r="B43" t="s">
        <v>140</v>
      </c>
      <c r="C43" s="14">
        <f>C42*60</f>
        <v>3283727.4059754638</v>
      </c>
    </row>
    <row r="45" spans="1:9">
      <c r="A45" t="s">
        <v>31</v>
      </c>
    </row>
    <row r="47" spans="1:9">
      <c r="B47" t="s">
        <v>39</v>
      </c>
      <c r="C47">
        <f>3.993/100</f>
        <v>3.993E-2</v>
      </c>
      <c r="E47" t="s">
        <v>143</v>
      </c>
      <c r="I47" t="s">
        <v>144</v>
      </c>
    </row>
    <row r="48" spans="1:9">
      <c r="B48" t="s">
        <v>40</v>
      </c>
      <c r="C48">
        <f>17.809/100</f>
        <v>0.17809</v>
      </c>
      <c r="E48" t="s">
        <v>142</v>
      </c>
      <c r="I48" t="s">
        <v>144</v>
      </c>
    </row>
    <row r="49" spans="1:4">
      <c r="B49" t="s">
        <v>41</v>
      </c>
      <c r="C49">
        <v>48</v>
      </c>
    </row>
    <row r="50" spans="1:4">
      <c r="B50" t="s">
        <v>42</v>
      </c>
      <c r="C50">
        <f>C47+(C48/C49)</f>
        <v>4.3640208333333333E-2</v>
      </c>
    </row>
    <row r="51" spans="1:4">
      <c r="B51" t="s">
        <v>27</v>
      </c>
      <c r="C51">
        <v>5</v>
      </c>
    </row>
    <row r="52" spans="1:4">
      <c r="B52" t="s">
        <v>28</v>
      </c>
      <c r="C52">
        <v>7000</v>
      </c>
    </row>
    <row r="53" spans="1:4">
      <c r="B53" t="s">
        <v>29</v>
      </c>
      <c r="C53">
        <v>14</v>
      </c>
    </row>
    <row r="54" spans="1:4">
      <c r="B54" t="s">
        <v>139</v>
      </c>
      <c r="C54">
        <f>C50*C51*C52*C53</f>
        <v>21383.702083333334</v>
      </c>
    </row>
    <row r="55" spans="1:4">
      <c r="B55" t="s">
        <v>140</v>
      </c>
      <c r="C55" s="14">
        <f>C54*60</f>
        <v>1283022.125</v>
      </c>
    </row>
    <row r="58" spans="1:4">
      <c r="A58" t="s">
        <v>34</v>
      </c>
      <c r="D58" s="79">
        <f>C17+C29+C43+C55</f>
        <v>11273324.00820587</v>
      </c>
    </row>
  </sheetData>
  <pageMargins left="0.70866141732283472" right="0.70866141732283472" top="0.74803149606299213" bottom="0.74803149606299213" header="0.31496062992125984" footer="0.31496062992125984"/>
  <pageSetup paperSize="9" scale="6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72"/>
  <sheetViews>
    <sheetView topLeftCell="A22" workbookViewId="0">
      <selection activeCell="S42" sqref="S42"/>
    </sheetView>
  </sheetViews>
  <sheetFormatPr defaultRowHeight="15"/>
  <cols>
    <col min="5" max="6" width="12.42578125" customWidth="1"/>
    <col min="13" max="13" width="12.140625" customWidth="1"/>
    <col min="17" max="17" width="13.5703125" customWidth="1"/>
  </cols>
  <sheetData>
    <row r="1" spans="1:19">
      <c r="A1" s="16" t="s">
        <v>123</v>
      </c>
      <c r="B1" s="16"/>
      <c r="C1" s="16"/>
      <c r="D1" s="15"/>
      <c r="E1" s="15"/>
      <c r="F1" s="15"/>
    </row>
    <row r="2" spans="1:19">
      <c r="A2" s="16"/>
      <c r="B2" s="16"/>
      <c r="C2" s="16"/>
      <c r="D2" s="15"/>
      <c r="E2" s="15"/>
      <c r="F2" s="15"/>
      <c r="I2" t="s">
        <v>129</v>
      </c>
      <c r="Q2" s="63" t="s">
        <v>126</v>
      </c>
      <c r="R2" s="63" t="s">
        <v>127</v>
      </c>
      <c r="S2" s="63" t="s">
        <v>128</v>
      </c>
    </row>
    <row r="3" spans="1:19" ht="18.75">
      <c r="B3" s="87" t="s">
        <v>49</v>
      </c>
      <c r="C3" s="87"/>
      <c r="E3" s="87" t="s">
        <v>50</v>
      </c>
      <c r="F3" s="87"/>
      <c r="I3" s="29" t="s">
        <v>56</v>
      </c>
      <c r="J3" s="30"/>
      <c r="K3" s="30"/>
      <c r="L3" s="30"/>
      <c r="M3" s="30"/>
      <c r="N3" s="30"/>
      <c r="O3" s="30"/>
      <c r="P3" s="30"/>
      <c r="Q3" s="88" t="s">
        <v>124</v>
      </c>
      <c r="R3" s="88"/>
      <c r="S3" s="88"/>
    </row>
    <row r="4" spans="1:19">
      <c r="C4" s="22" t="s">
        <v>0</v>
      </c>
      <c r="D4" s="22"/>
      <c r="E4" s="22" t="s">
        <v>1</v>
      </c>
      <c r="F4" s="22" t="s">
        <v>61</v>
      </c>
      <c r="J4" s="1" t="s">
        <v>57</v>
      </c>
      <c r="M4" t="s">
        <v>36</v>
      </c>
      <c r="Q4" s="11" t="s">
        <v>125</v>
      </c>
      <c r="R4" s="11" t="s">
        <v>125</v>
      </c>
      <c r="S4" s="11" t="s">
        <v>3</v>
      </c>
    </row>
    <row r="5" spans="1:19">
      <c r="A5">
        <v>2010</v>
      </c>
      <c r="C5" s="18">
        <v>22.750636964980959</v>
      </c>
      <c r="E5" s="19">
        <v>5.7231717506317636</v>
      </c>
      <c r="F5" s="19">
        <v>5.0793981346513721</v>
      </c>
      <c r="J5">
        <v>0</v>
      </c>
      <c r="K5">
        <v>100</v>
      </c>
      <c r="L5">
        <f t="shared" ref="L5:L42" si="0">K5/100</f>
        <v>1</v>
      </c>
      <c r="M5">
        <v>1</v>
      </c>
      <c r="Q5" s="74">
        <v>42.81640696643403</v>
      </c>
      <c r="R5" s="75">
        <v>57.526543524231748</v>
      </c>
      <c r="S5">
        <v>17.5</v>
      </c>
    </row>
    <row r="6" spans="1:19">
      <c r="A6">
        <v>2011</v>
      </c>
      <c r="C6" s="18">
        <v>22.932867919921684</v>
      </c>
      <c r="E6" s="19">
        <v>5.7690139419960209</v>
      </c>
      <c r="F6" s="19">
        <v>5.1200837459609128</v>
      </c>
      <c r="J6">
        <v>0.56999999999999995</v>
      </c>
      <c r="K6">
        <f t="shared" ref="K6:K42" si="1">J6+100</f>
        <v>100.57</v>
      </c>
      <c r="L6">
        <f t="shared" si="0"/>
        <v>1.0057</v>
      </c>
      <c r="M6">
        <f t="shared" ref="M6:M42" si="2">M5*L6</f>
        <v>1.0057</v>
      </c>
      <c r="Q6" s="74">
        <v>52.208693755170884</v>
      </c>
      <c r="R6" s="75">
        <v>57.220000950063046</v>
      </c>
      <c r="S6">
        <v>20</v>
      </c>
    </row>
    <row r="7" spans="1:19">
      <c r="A7">
        <v>2012</v>
      </c>
      <c r="C7" s="18">
        <v>22.931848695058275</v>
      </c>
      <c r="E7" s="19">
        <v>5.7687575448254798</v>
      </c>
      <c r="F7" s="19">
        <v>5.1198561897444437</v>
      </c>
      <c r="J7">
        <v>0.56999999999999995</v>
      </c>
      <c r="K7">
        <f t="shared" si="1"/>
        <v>100.57</v>
      </c>
      <c r="L7">
        <f t="shared" si="0"/>
        <v>1.0057</v>
      </c>
      <c r="M7">
        <f t="shared" si="2"/>
        <v>1.01143249</v>
      </c>
      <c r="Q7" s="74">
        <v>53.24257415777538</v>
      </c>
      <c r="R7" s="75">
        <v>56.015334604116134</v>
      </c>
      <c r="S7">
        <v>20</v>
      </c>
    </row>
    <row r="8" spans="1:19">
      <c r="A8">
        <v>2013</v>
      </c>
      <c r="C8" s="18">
        <v>23.182608376264469</v>
      </c>
      <c r="E8" s="19">
        <v>5.8318388873780327</v>
      </c>
      <c r="F8" s="19">
        <v>5.1758417983638889</v>
      </c>
      <c r="J8">
        <v>0.56999999999999995</v>
      </c>
      <c r="K8">
        <f t="shared" si="1"/>
        <v>100.57</v>
      </c>
      <c r="L8">
        <f t="shared" si="0"/>
        <v>1.0057</v>
      </c>
      <c r="M8">
        <f t="shared" si="2"/>
        <v>1.017197655193</v>
      </c>
      <c r="Q8" s="74">
        <v>51.503038998184216</v>
      </c>
      <c r="R8" s="75">
        <v>55.133203350508019</v>
      </c>
      <c r="S8">
        <v>20</v>
      </c>
    </row>
    <row r="9" spans="1:19">
      <c r="A9">
        <v>2014</v>
      </c>
      <c r="C9" s="18">
        <v>23.658090569026307</v>
      </c>
      <c r="E9" s="19">
        <v>5.9514516374619859</v>
      </c>
      <c r="F9" s="19">
        <v>5.2819998530456989</v>
      </c>
      <c r="J9">
        <v>0.56999999999999995</v>
      </c>
      <c r="K9">
        <f t="shared" si="1"/>
        <v>100.57</v>
      </c>
      <c r="L9">
        <f t="shared" si="0"/>
        <v>1.0057</v>
      </c>
      <c r="M9">
        <f t="shared" si="2"/>
        <v>1.0229956818276</v>
      </c>
      <c r="Q9" s="74">
        <v>47.870831827686182</v>
      </c>
      <c r="R9" s="75">
        <v>53.893649413986331</v>
      </c>
      <c r="S9">
        <v>20</v>
      </c>
    </row>
    <row r="10" spans="1:19">
      <c r="A10">
        <v>2015</v>
      </c>
      <c r="C10" s="18">
        <v>24.052665742690195</v>
      </c>
      <c r="E10" s="19">
        <v>6.0507113413063118</v>
      </c>
      <c r="F10" s="19">
        <v>5.3700942832883802</v>
      </c>
      <c r="J10">
        <v>0.56999999999999995</v>
      </c>
      <c r="K10">
        <f t="shared" si="1"/>
        <v>100.57</v>
      </c>
      <c r="L10">
        <f t="shared" si="0"/>
        <v>1.0057</v>
      </c>
      <c r="M10">
        <f t="shared" si="2"/>
        <v>1.0288267572140173</v>
      </c>
      <c r="Q10" s="74">
        <v>44.649757832703436</v>
      </c>
      <c r="R10" s="75">
        <v>53.504653256798768</v>
      </c>
      <c r="S10">
        <v>20</v>
      </c>
    </row>
    <row r="11" spans="1:19">
      <c r="A11">
        <v>2016</v>
      </c>
      <c r="C11" s="18">
        <v>24.521954725305466</v>
      </c>
      <c r="E11" s="19">
        <v>6.1687661215887548</v>
      </c>
      <c r="F11" s="19">
        <v>5.4748696171209046</v>
      </c>
      <c r="J11">
        <v>0.56000000000000005</v>
      </c>
      <c r="K11">
        <f t="shared" si="1"/>
        <v>100.56</v>
      </c>
      <c r="L11">
        <f t="shared" si="0"/>
        <v>1.0056</v>
      </c>
      <c r="M11">
        <f t="shared" si="2"/>
        <v>1.0345881870544158</v>
      </c>
      <c r="Q11" s="74">
        <v>43.189038230327526</v>
      </c>
      <c r="R11" s="75">
        <v>54.240473635575967</v>
      </c>
      <c r="S11">
        <v>20</v>
      </c>
    </row>
    <row r="12" spans="1:19">
      <c r="A12">
        <v>2017</v>
      </c>
      <c r="C12" s="18">
        <v>25.00912873207761</v>
      </c>
      <c r="E12" s="19">
        <v>6.2913200754623162</v>
      </c>
      <c r="F12" s="19">
        <v>5.5836380329264941</v>
      </c>
      <c r="J12">
        <v>0.56000000000000005</v>
      </c>
      <c r="K12">
        <f t="shared" si="1"/>
        <v>100.56</v>
      </c>
      <c r="L12">
        <f t="shared" si="0"/>
        <v>1.0056</v>
      </c>
      <c r="M12">
        <f t="shared" si="2"/>
        <v>1.0403818809019205</v>
      </c>
      <c r="Q12" s="74">
        <v>42.739586044981095</v>
      </c>
      <c r="R12" s="75">
        <v>55.145368681508046</v>
      </c>
      <c r="S12">
        <v>20</v>
      </c>
    </row>
    <row r="13" spans="1:19">
      <c r="A13">
        <v>2018</v>
      </c>
      <c r="C13" s="18">
        <v>25.484612871256417</v>
      </c>
      <c r="E13" s="19">
        <v>6.4109333151887604</v>
      </c>
      <c r="F13" s="19">
        <v>5.6897965221731326</v>
      </c>
      <c r="J13">
        <v>0.56000000000000005</v>
      </c>
      <c r="K13">
        <f t="shared" si="1"/>
        <v>100.56</v>
      </c>
      <c r="L13">
        <f t="shared" si="0"/>
        <v>1.0056</v>
      </c>
      <c r="M13">
        <f t="shared" si="2"/>
        <v>1.0462080194349712</v>
      </c>
      <c r="Q13" s="74">
        <v>43.18903823032754</v>
      </c>
      <c r="R13" s="75">
        <v>56.118522246475855</v>
      </c>
      <c r="S13">
        <v>20</v>
      </c>
    </row>
    <row r="14" spans="1:19">
      <c r="A14">
        <v>2019</v>
      </c>
      <c r="C14" s="18">
        <v>25.971738255235024</v>
      </c>
      <c r="E14" s="19">
        <v>6.5334750374663972</v>
      </c>
      <c r="F14" s="19">
        <v>5.7985540822595105</v>
      </c>
      <c r="J14">
        <v>0.56000000000000005</v>
      </c>
      <c r="K14">
        <f t="shared" si="1"/>
        <v>100.56</v>
      </c>
      <c r="L14">
        <f t="shared" si="0"/>
        <v>1.0056</v>
      </c>
      <c r="M14">
        <f t="shared" si="2"/>
        <v>1.0520667843438072</v>
      </c>
      <c r="Q14" s="74">
        <v>43.601036066895084</v>
      </c>
      <c r="R14" s="75">
        <v>57.163867268714107</v>
      </c>
      <c r="S14">
        <v>20</v>
      </c>
    </row>
    <row r="15" spans="1:19">
      <c r="A15">
        <v>2020</v>
      </c>
      <c r="C15" s="18">
        <v>26.464362164171281</v>
      </c>
      <c r="E15" s="19">
        <v>6.6573999738824412</v>
      </c>
      <c r="F15" s="19">
        <v>5.9085392650034949</v>
      </c>
      <c r="J15">
        <v>0.56000000000000005</v>
      </c>
      <c r="K15">
        <f t="shared" si="1"/>
        <v>100.56</v>
      </c>
      <c r="L15">
        <f t="shared" si="0"/>
        <v>1.0056</v>
      </c>
      <c r="M15">
        <f t="shared" si="2"/>
        <v>1.0579583583361325</v>
      </c>
      <c r="Q15" s="74">
        <v>44.574849135145698</v>
      </c>
      <c r="R15" s="75">
        <v>58.003689020947917</v>
      </c>
      <c r="S15">
        <v>20</v>
      </c>
    </row>
    <row r="16" spans="1:19">
      <c r="A16">
        <v>2021</v>
      </c>
      <c r="C16" s="18">
        <v>26.962911088215058</v>
      </c>
      <c r="E16" s="19">
        <v>6.7828154127023366</v>
      </c>
      <c r="F16" s="19">
        <v>6.0198472903004712</v>
      </c>
      <c r="J16">
        <v>0.54</v>
      </c>
      <c r="K16">
        <f t="shared" si="1"/>
        <v>100.54</v>
      </c>
      <c r="L16">
        <f t="shared" si="0"/>
        <v>1.0054000000000001</v>
      </c>
      <c r="M16">
        <f t="shared" si="2"/>
        <v>1.0636713334711476</v>
      </c>
      <c r="Q16" s="74">
        <v>45.39884480828082</v>
      </c>
      <c r="R16" s="75">
        <v>58.741505026106744</v>
      </c>
      <c r="S16">
        <v>20</v>
      </c>
    </row>
    <row r="17" spans="1:19">
      <c r="A17">
        <v>2022</v>
      </c>
      <c r="C17" s="18">
        <v>27.467706381517473</v>
      </c>
      <c r="E17" s="19">
        <v>6.909802194080247</v>
      </c>
      <c r="F17" s="19">
        <v>6.1325499049625485</v>
      </c>
      <c r="J17">
        <v>0.54</v>
      </c>
      <c r="K17">
        <f t="shared" si="1"/>
        <v>100.54</v>
      </c>
      <c r="L17">
        <f t="shared" si="0"/>
        <v>1.0054000000000001</v>
      </c>
      <c r="M17">
        <f t="shared" si="2"/>
        <v>1.0694151586718919</v>
      </c>
      <c r="Q17" s="74">
        <v>46.260294830194809</v>
      </c>
      <c r="R17" s="75">
        <v>59.373752144783033</v>
      </c>
      <c r="S17">
        <v>20</v>
      </c>
    </row>
    <row r="18" spans="1:19">
      <c r="A18">
        <v>2023</v>
      </c>
      <c r="C18" s="18">
        <v>27.985902842392463</v>
      </c>
      <c r="E18" s="19">
        <v>7.0401601858464611</v>
      </c>
      <c r="F18" s="19">
        <v>6.2482445178563717</v>
      </c>
      <c r="J18">
        <v>0.54</v>
      </c>
      <c r="K18">
        <f t="shared" si="1"/>
        <v>100.54</v>
      </c>
      <c r="L18">
        <f t="shared" si="0"/>
        <v>1.0054000000000001</v>
      </c>
      <c r="M18">
        <f t="shared" si="2"/>
        <v>1.07519000052872</v>
      </c>
      <c r="Q18" s="74">
        <v>47.121744852108804</v>
      </c>
      <c r="R18" s="75">
        <v>60.012804271585971</v>
      </c>
      <c r="S18">
        <v>20</v>
      </c>
    </row>
    <row r="19" spans="1:19">
      <c r="A19">
        <v>2024</v>
      </c>
      <c r="C19" s="18">
        <v>28.518219096018971</v>
      </c>
      <c r="E19" s="19">
        <v>7.1740701660306101</v>
      </c>
      <c r="F19" s="19">
        <v>6.3670915721114678</v>
      </c>
      <c r="J19">
        <v>0.54</v>
      </c>
      <c r="K19">
        <f t="shared" si="1"/>
        <v>100.54</v>
      </c>
      <c r="L19">
        <f t="shared" si="0"/>
        <v>1.0054000000000001</v>
      </c>
      <c r="M19">
        <f t="shared" si="2"/>
        <v>1.0809960265315752</v>
      </c>
      <c r="Q19" s="74">
        <v>47.983194874022793</v>
      </c>
      <c r="R19" s="75">
        <v>60.658734650242941</v>
      </c>
      <c r="S19">
        <v>20</v>
      </c>
    </row>
    <row r="20" spans="1:19">
      <c r="A20">
        <v>2025</v>
      </c>
      <c r="C20" s="18">
        <v>29.065343025055924</v>
      </c>
      <c r="E20" s="19">
        <v>7.3117051790449183</v>
      </c>
      <c r="F20" s="19">
        <v>6.4892446471594818</v>
      </c>
      <c r="J20">
        <v>0.54</v>
      </c>
      <c r="K20">
        <f t="shared" si="1"/>
        <v>100.54</v>
      </c>
      <c r="L20">
        <f t="shared" si="0"/>
        <v>1.0054000000000001</v>
      </c>
      <c r="M20">
        <f t="shared" si="2"/>
        <v>1.0868334050748458</v>
      </c>
      <c r="Q20" s="74">
        <v>48.882099244715654</v>
      </c>
      <c r="R20" s="75">
        <v>61.31161731281891</v>
      </c>
      <c r="S20">
        <v>20</v>
      </c>
    </row>
    <row r="21" spans="1:19">
      <c r="A21">
        <v>2026</v>
      </c>
      <c r="C21" s="18">
        <v>29.62796511634221</v>
      </c>
      <c r="E21" s="19">
        <v>7.4532389244115818</v>
      </c>
      <c r="F21" s="19">
        <v>6.614857903851683</v>
      </c>
      <c r="J21">
        <v>0.53</v>
      </c>
      <c r="K21">
        <f t="shared" si="1"/>
        <v>100.53</v>
      </c>
      <c r="L21">
        <f t="shared" si="0"/>
        <v>1.0053000000000001</v>
      </c>
      <c r="M21">
        <f t="shared" si="2"/>
        <v>1.0925936221217425</v>
      </c>
      <c r="Q21" s="74">
        <v>49.818457964187381</v>
      </c>
      <c r="R21" s="75">
        <v>61.971527088201498</v>
      </c>
      <c r="S21">
        <v>20</v>
      </c>
    </row>
    <row r="22" spans="1:19">
      <c r="A22">
        <v>2027</v>
      </c>
      <c r="C22" s="18">
        <v>30.206691450720747</v>
      </c>
      <c r="E22" s="19">
        <v>7.59882386840063</v>
      </c>
      <c r="F22" s="19">
        <v>6.7440666582193396</v>
      </c>
      <c r="J22">
        <v>0.53</v>
      </c>
      <c r="K22">
        <f t="shared" si="1"/>
        <v>100.53</v>
      </c>
      <c r="L22">
        <f t="shared" si="0"/>
        <v>1.0053000000000001</v>
      </c>
      <c r="M22">
        <f t="shared" si="2"/>
        <v>1.0983843683189878</v>
      </c>
      <c r="Q22" s="74">
        <v>50.754816683659122</v>
      </c>
      <c r="R22" s="75">
        <v>62.638539610677256</v>
      </c>
      <c r="S22">
        <v>20</v>
      </c>
    </row>
    <row r="23" spans="1:19">
      <c r="A23">
        <v>2028</v>
      </c>
      <c r="C23" s="18">
        <v>30.802003134944645</v>
      </c>
      <c r="E23" s="19">
        <v>7.7485810386818663</v>
      </c>
      <c r="F23" s="19">
        <v>6.8769783240789586</v>
      </c>
      <c r="J23">
        <v>0.53</v>
      </c>
      <c r="K23">
        <f t="shared" si="1"/>
        <v>100.53</v>
      </c>
      <c r="L23">
        <f t="shared" si="0"/>
        <v>1.0053000000000001</v>
      </c>
      <c r="M23">
        <f t="shared" si="2"/>
        <v>1.1042058054710786</v>
      </c>
      <c r="Q23" s="74">
        <v>51.7286297519097</v>
      </c>
      <c r="R23" s="75">
        <v>63.312731328600393</v>
      </c>
      <c r="S23">
        <v>20</v>
      </c>
    </row>
    <row r="24" spans="1:19">
      <c r="A24">
        <v>2029</v>
      </c>
      <c r="C24" s="18">
        <v>31.414399176305807</v>
      </c>
      <c r="E24" s="19">
        <v>7.9026359660015624</v>
      </c>
      <c r="F24" s="19">
        <v>7.0137043117928748</v>
      </c>
      <c r="J24">
        <v>0.53</v>
      </c>
      <c r="K24">
        <f t="shared" si="1"/>
        <v>100.53</v>
      </c>
      <c r="L24">
        <f t="shared" si="0"/>
        <v>1.0053000000000001</v>
      </c>
      <c r="M24">
        <f t="shared" si="2"/>
        <v>1.1100580962400755</v>
      </c>
      <c r="Q24" s="74">
        <v>52.702442820160321</v>
      </c>
      <c r="R24" s="75">
        <v>63.994179513154776</v>
      </c>
      <c r="S24">
        <v>20</v>
      </c>
    </row>
    <row r="25" spans="1:19">
      <c r="A25">
        <v>2030</v>
      </c>
      <c r="C25" s="18">
        <v>32.044259300362327</v>
      </c>
      <c r="E25" s="19">
        <v>8.0610841744802251</v>
      </c>
      <c r="F25" s="19">
        <v>7.1543294004068123</v>
      </c>
      <c r="J25">
        <v>0.53</v>
      </c>
      <c r="K25">
        <f t="shared" si="1"/>
        <v>100.53</v>
      </c>
      <c r="L25">
        <f t="shared" si="0"/>
        <v>1.0053000000000001</v>
      </c>
      <c r="M25">
        <f t="shared" si="2"/>
        <v>1.1159414041501479</v>
      </c>
      <c r="Q25" s="74">
        <v>53.713710237189773</v>
      </c>
      <c r="R25" s="75">
        <v>64.682962267210257</v>
      </c>
      <c r="S25">
        <v>20</v>
      </c>
    </row>
    <row r="26" spans="1:19">
      <c r="A26">
        <v>2031</v>
      </c>
      <c r="C26" s="18">
        <v>32.691933437571272</v>
      </c>
      <c r="E26" s="19">
        <v>8.2240136929545731</v>
      </c>
      <c r="F26" s="19">
        <v>7.2989317167931578</v>
      </c>
      <c r="J26">
        <v>0</v>
      </c>
      <c r="K26">
        <f t="shared" si="1"/>
        <v>100</v>
      </c>
      <c r="L26">
        <f t="shared" si="0"/>
        <v>1</v>
      </c>
      <c r="M26">
        <f t="shared" si="2"/>
        <v>1.1159414041501479</v>
      </c>
      <c r="Q26" s="74">
        <v>54.762432002998118</v>
      </c>
      <c r="R26" s="75">
        <v>65.379158534274168</v>
      </c>
      <c r="S26">
        <v>20</v>
      </c>
    </row>
    <row r="27" spans="1:19">
      <c r="A27">
        <v>2032</v>
      </c>
      <c r="C27" s="18">
        <v>33.357691434038379</v>
      </c>
      <c r="E27" s="19">
        <v>8.3914924041661614</v>
      </c>
      <c r="F27" s="19">
        <v>7.4475715078719524</v>
      </c>
      <c r="J27">
        <v>0</v>
      </c>
      <c r="K27">
        <f t="shared" si="1"/>
        <v>100</v>
      </c>
      <c r="L27">
        <f t="shared" si="0"/>
        <v>1</v>
      </c>
      <c r="M27">
        <f t="shared" si="2"/>
        <v>1.1159414041501479</v>
      </c>
      <c r="Q27" s="74">
        <v>55.811153768806463</v>
      </c>
      <c r="R27" s="75">
        <v>66.082848107539334</v>
      </c>
      <c r="S27">
        <v>20</v>
      </c>
    </row>
    <row r="28" spans="1:19">
      <c r="A28">
        <v>2033</v>
      </c>
      <c r="C28" s="18">
        <v>34.041707097224808</v>
      </c>
      <c r="E28" s="19">
        <v>8.5635640312842938</v>
      </c>
      <c r="F28" s="19">
        <v>7.6002875785916171</v>
      </c>
      <c r="J28">
        <v>0</v>
      </c>
      <c r="K28">
        <f t="shared" si="1"/>
        <v>100</v>
      </c>
      <c r="L28">
        <f t="shared" si="0"/>
        <v>1</v>
      </c>
      <c r="M28">
        <f t="shared" si="2"/>
        <v>1.1159414041501479</v>
      </c>
      <c r="Q28" s="74">
        <v>56.859875534614794</v>
      </c>
      <c r="R28" s="75">
        <v>66.794111639029495</v>
      </c>
      <c r="S28">
        <v>20</v>
      </c>
    </row>
    <row r="29" spans="1:19">
      <c r="A29">
        <v>2034</v>
      </c>
      <c r="C29" s="18">
        <v>34.744002928237698</v>
      </c>
      <c r="E29" s="19">
        <v>8.7402342347087636</v>
      </c>
      <c r="F29" s="19">
        <v>7.7570849526392625</v>
      </c>
      <c r="J29">
        <v>0</v>
      </c>
      <c r="K29">
        <f t="shared" si="1"/>
        <v>100</v>
      </c>
      <c r="L29">
        <f t="shared" si="0"/>
        <v>1</v>
      </c>
      <c r="M29">
        <f t="shared" si="2"/>
        <v>1.1159414041501479</v>
      </c>
      <c r="Q29" s="74">
        <v>57.983505997980878</v>
      </c>
      <c r="R29" s="75">
        <v>67.513030648842943</v>
      </c>
      <c r="S29">
        <v>20</v>
      </c>
    </row>
    <row r="30" spans="1:19">
      <c r="A30">
        <v>2035</v>
      </c>
      <c r="C30" s="18">
        <v>35.464560139069569</v>
      </c>
      <c r="E30" s="19">
        <v>8.9214982881106391</v>
      </c>
      <c r="F30" s="19">
        <v>7.9179594353292488</v>
      </c>
      <c r="J30">
        <v>0</v>
      </c>
      <c r="K30">
        <f t="shared" si="1"/>
        <v>100</v>
      </c>
      <c r="L30">
        <f t="shared" si="0"/>
        <v>1</v>
      </c>
      <c r="M30">
        <f t="shared" si="2"/>
        <v>1.1159414041501479</v>
      </c>
      <c r="Q30" s="74">
        <v>59.107136461346947</v>
      </c>
      <c r="R30" s="75">
        <v>68.239687534495843</v>
      </c>
      <c r="S30">
        <v>20</v>
      </c>
    </row>
    <row r="31" spans="1:19">
      <c r="A31">
        <v>2036</v>
      </c>
      <c r="C31" s="18">
        <v>36.203335236537853</v>
      </c>
      <c r="E31" s="19">
        <v>9.1073452503037799</v>
      </c>
      <c r="F31" s="19">
        <v>8.0829013161998091</v>
      </c>
      <c r="J31">
        <v>0</v>
      </c>
      <c r="K31">
        <f t="shared" si="1"/>
        <v>100</v>
      </c>
      <c r="L31">
        <f t="shared" si="0"/>
        <v>1</v>
      </c>
      <c r="M31">
        <f t="shared" si="2"/>
        <v>1.1159414041501479</v>
      </c>
      <c r="Q31" s="74">
        <v>59.10713646134694</v>
      </c>
      <c r="R31" s="75">
        <v>68.974165580366133</v>
      </c>
      <c r="S31">
        <v>20</v>
      </c>
    </row>
    <row r="32" spans="1:19">
      <c r="A32">
        <v>2037</v>
      </c>
      <c r="C32" s="18">
        <v>36.960254934683327</v>
      </c>
      <c r="E32" s="19">
        <v>9.2977566854029803</v>
      </c>
      <c r="F32" s="19">
        <v>8.2518942331347951</v>
      </c>
      <c r="J32">
        <v>0</v>
      </c>
      <c r="K32">
        <f t="shared" si="1"/>
        <v>100</v>
      </c>
      <c r="L32">
        <f t="shared" si="0"/>
        <v>1</v>
      </c>
      <c r="M32">
        <f t="shared" si="2"/>
        <v>1.1159414041501479</v>
      </c>
      <c r="Q32" s="74">
        <v>59.107136461346954</v>
      </c>
      <c r="R32" s="75">
        <v>69.71654896723895</v>
      </c>
      <c r="S32">
        <v>20</v>
      </c>
    </row>
    <row r="33" spans="1:19">
      <c r="A33">
        <v>2038</v>
      </c>
      <c r="C33" s="18">
        <v>37.737794180112473</v>
      </c>
      <c r="E33" s="19">
        <v>9.4933551933171678</v>
      </c>
      <c r="F33" s="19">
        <v>8.4254907526050076</v>
      </c>
      <c r="J33">
        <v>0</v>
      </c>
      <c r="K33">
        <f t="shared" si="1"/>
        <v>100</v>
      </c>
      <c r="L33">
        <f t="shared" si="0"/>
        <v>1</v>
      </c>
      <c r="M33">
        <f t="shared" si="2"/>
        <v>1.1159414041501479</v>
      </c>
      <c r="Q33" s="74">
        <v>59.10713646134694</v>
      </c>
      <c r="R33" s="75">
        <v>70.466922781954807</v>
      </c>
      <c r="S33">
        <v>20</v>
      </c>
    </row>
    <row r="34" spans="1:19">
      <c r="A34">
        <v>2039</v>
      </c>
      <c r="C34" s="18">
        <v>38.531690652493957</v>
      </c>
      <c r="E34" s="19">
        <v>9.6930685407128312</v>
      </c>
      <c r="F34" s="19">
        <v>8.6027392519383596</v>
      </c>
      <c r="J34">
        <v>0</v>
      </c>
      <c r="K34">
        <f t="shared" si="1"/>
        <v>100</v>
      </c>
      <c r="L34">
        <f t="shared" si="0"/>
        <v>1</v>
      </c>
      <c r="M34">
        <f t="shared" si="2"/>
        <v>1.1159414041501479</v>
      </c>
      <c r="Q34" s="74">
        <v>59.107136461346947</v>
      </c>
      <c r="R34" s="75">
        <v>71.225373027161766</v>
      </c>
      <c r="S34">
        <v>20</v>
      </c>
    </row>
    <row r="35" spans="1:19">
      <c r="A35">
        <v>2040</v>
      </c>
      <c r="C35" s="18">
        <v>39.3422884616269</v>
      </c>
      <c r="E35" s="19">
        <v>9.8969832921764755</v>
      </c>
      <c r="F35" s="19">
        <v>8.7837165584638885</v>
      </c>
      <c r="J35">
        <v>0</v>
      </c>
      <c r="K35">
        <f t="shared" si="1"/>
        <v>100</v>
      </c>
      <c r="L35">
        <f t="shared" si="0"/>
        <v>1</v>
      </c>
      <c r="M35">
        <f t="shared" si="2"/>
        <v>1.1159414041501479</v>
      </c>
      <c r="Q35" s="74">
        <v>59.107136461346947</v>
      </c>
      <c r="R35" s="75">
        <v>71.991986631172296</v>
      </c>
      <c r="S35">
        <v>20</v>
      </c>
    </row>
    <row r="36" spans="1:19">
      <c r="A36">
        <v>2041</v>
      </c>
      <c r="C36" s="18">
        <v>40.169938956407542</v>
      </c>
      <c r="E36" s="19">
        <v>10.105187833368712</v>
      </c>
      <c r="F36" s="19">
        <v>8.9685011157403753</v>
      </c>
      <c r="J36">
        <v>0</v>
      </c>
      <c r="K36">
        <f t="shared" si="1"/>
        <v>100</v>
      </c>
      <c r="L36">
        <f t="shared" si="0"/>
        <v>1</v>
      </c>
      <c r="M36">
        <f t="shared" si="2"/>
        <v>1.1159414041501479</v>
      </c>
      <c r="Q36" s="74">
        <v>59.10713646134694</v>
      </c>
      <c r="R36" s="75">
        <v>72.766851457926606</v>
      </c>
      <c r="S36">
        <v>20</v>
      </c>
    </row>
    <row r="37" spans="1:19">
      <c r="A37">
        <v>2042</v>
      </c>
      <c r="C37" s="18">
        <v>41.022260631713401</v>
      </c>
      <c r="E37" s="19">
        <v>10.319598680065885</v>
      </c>
      <c r="F37" s="19">
        <v>9.158793859382472</v>
      </c>
      <c r="J37">
        <v>0</v>
      </c>
      <c r="K37">
        <f t="shared" si="1"/>
        <v>100</v>
      </c>
      <c r="L37">
        <f t="shared" si="0"/>
        <v>1</v>
      </c>
      <c r="M37">
        <f t="shared" si="2"/>
        <v>1.1159414041501479</v>
      </c>
      <c r="Q37" s="74">
        <v>59.107136461346947</v>
      </c>
      <c r="R37" s="75">
        <v>73.550056317062797</v>
      </c>
      <c r="S37">
        <v>20</v>
      </c>
    </row>
    <row r="38" spans="1:19">
      <c r="A38">
        <v>2043</v>
      </c>
      <c r="C38" s="18">
        <v>41.892666781555924</v>
      </c>
      <c r="E38" s="19">
        <v>10.538558874280346</v>
      </c>
      <c r="F38" s="19">
        <v>9.3531242150865541</v>
      </c>
      <c r="J38">
        <v>0</v>
      </c>
      <c r="K38">
        <f t="shared" si="1"/>
        <v>100</v>
      </c>
      <c r="L38">
        <f t="shared" si="0"/>
        <v>1</v>
      </c>
      <c r="M38">
        <f t="shared" si="2"/>
        <v>1.1159414041501479</v>
      </c>
      <c r="Q38" s="74">
        <v>59.107136461346947</v>
      </c>
      <c r="R38" s="75">
        <v>74.341690974095755</v>
      </c>
      <c r="S38">
        <v>20</v>
      </c>
    </row>
    <row r="39" spans="1:19">
      <c r="A39">
        <v>2044</v>
      </c>
      <c r="C39" s="18">
        <v>42.781541120474728</v>
      </c>
      <c r="E39" s="19">
        <v>10.762164943604562</v>
      </c>
      <c r="F39" s="19">
        <v>9.5515778524943027</v>
      </c>
      <c r="J39">
        <v>0</v>
      </c>
      <c r="K39">
        <f t="shared" si="1"/>
        <v>100</v>
      </c>
      <c r="L39">
        <f t="shared" si="0"/>
        <v>1</v>
      </c>
      <c r="M39">
        <f t="shared" si="2"/>
        <v>1.1159414041501479</v>
      </c>
      <c r="Q39" s="74">
        <v>59.107136461346947</v>
      </c>
      <c r="R39" s="75">
        <v>75.14184616070537</v>
      </c>
      <c r="S39">
        <v>20</v>
      </c>
    </row>
    <row r="40" spans="1:19">
      <c r="A40">
        <v>2045</v>
      </c>
      <c r="C40" s="18">
        <v>43.689275504625542</v>
      </c>
      <c r="E40" s="19">
        <v>10.990515463743648</v>
      </c>
      <c r="F40" s="19">
        <v>9.7542422589771434</v>
      </c>
      <c r="J40">
        <v>0</v>
      </c>
      <c r="K40">
        <f t="shared" si="1"/>
        <v>100</v>
      </c>
      <c r="L40">
        <f t="shared" si="0"/>
        <v>1</v>
      </c>
      <c r="M40">
        <f t="shared" si="2"/>
        <v>1.1159414041501479</v>
      </c>
      <c r="Q40" s="74">
        <v>59.107136461346968</v>
      </c>
      <c r="R40" s="75">
        <v>75.950613585135656</v>
      </c>
      <c r="S40">
        <v>20</v>
      </c>
    </row>
    <row r="41" spans="1:19">
      <c r="A41">
        <v>2046</v>
      </c>
      <c r="C41" s="18">
        <v>44.616270104528006</v>
      </c>
      <c r="E41" s="19">
        <v>11.223711101971992</v>
      </c>
      <c r="F41" s="19">
        <v>9.9612067782046374</v>
      </c>
      <c r="J41">
        <v>0</v>
      </c>
      <c r="K41">
        <f t="shared" si="1"/>
        <v>100</v>
      </c>
      <c r="L41">
        <f t="shared" si="0"/>
        <v>1</v>
      </c>
      <c r="M41">
        <f t="shared" si="2"/>
        <v>1.1159414041501479</v>
      </c>
      <c r="Q41" s="74">
        <v>59.107136461346947</v>
      </c>
      <c r="R41" s="75">
        <v>76.768085942705596</v>
      </c>
      <c r="S41">
        <v>20</v>
      </c>
    </row>
    <row r="42" spans="1:19">
      <c r="A42" s="14">
        <v>2047</v>
      </c>
      <c r="C42" s="20">
        <v>45.575725523018882</v>
      </c>
      <c r="E42" s="21">
        <v>11.465072614423258</v>
      </c>
      <c r="F42" s="21">
        <v>10.175418629524019</v>
      </c>
      <c r="J42" s="14">
        <v>0</v>
      </c>
      <c r="K42" s="14">
        <f t="shared" si="1"/>
        <v>100</v>
      </c>
      <c r="L42" s="14">
        <f t="shared" si="0"/>
        <v>1</v>
      </c>
      <c r="M42" s="14">
        <f t="shared" si="2"/>
        <v>1.1159414041501479</v>
      </c>
      <c r="N42" s="14"/>
      <c r="O42" s="14"/>
      <c r="P42" s="14"/>
      <c r="Q42" s="77">
        <v>59.107136461346961</v>
      </c>
      <c r="R42" s="78">
        <v>77.594356926433349</v>
      </c>
      <c r="S42" s="14">
        <v>20</v>
      </c>
    </row>
    <row r="43" spans="1:19">
      <c r="A43">
        <v>2048</v>
      </c>
      <c r="C43" s="18">
        <v>46.555813654596584</v>
      </c>
      <c r="E43" s="19">
        <v>11.711624511691413</v>
      </c>
      <c r="F43" s="19">
        <v>10.394237022828458</v>
      </c>
      <c r="Q43" s="74">
        <v>59.107136461346954</v>
      </c>
      <c r="R43" s="75">
        <v>78.429521237774622</v>
      </c>
      <c r="S43">
        <v>20</v>
      </c>
    </row>
    <row r="44" spans="1:19">
      <c r="A44">
        <v>2049</v>
      </c>
      <c r="C44" s="18">
        <v>47.556978197677047</v>
      </c>
      <c r="E44" s="19">
        <v>11.963478410969572</v>
      </c>
      <c r="F44" s="19">
        <v>10.617761019999598</v>
      </c>
      <c r="Q44" s="74">
        <v>59.107136461346947</v>
      </c>
      <c r="R44" s="75">
        <v>79.273674597476699</v>
      </c>
      <c r="S44">
        <v>20</v>
      </c>
    </row>
    <row r="45" spans="1:19">
      <c r="A45">
        <v>2050</v>
      </c>
      <c r="C45" s="18">
        <v>48.579672392236859</v>
      </c>
      <c r="E45" s="19">
        <v>12.220748329734885</v>
      </c>
      <c r="F45" s="19">
        <v>10.846091813206039</v>
      </c>
      <c r="Q45" s="74">
        <v>59.107136461346968</v>
      </c>
      <c r="R45" s="75">
        <v>80.126913756549328</v>
      </c>
      <c r="S45">
        <v>20</v>
      </c>
    </row>
    <row r="46" spans="1:19">
      <c r="A46">
        <v>2051</v>
      </c>
      <c r="C46" s="18">
        <v>49.624359225000887</v>
      </c>
      <c r="E46" s="19">
        <v>12.48355073736572</v>
      </c>
      <c r="F46" s="19">
        <v>11.079332770714364</v>
      </c>
      <c r="Q46" s="74">
        <v>59.10713646134694</v>
      </c>
      <c r="R46" s="75">
        <v>80.989336507353684</v>
      </c>
      <c r="S46">
        <v>20</v>
      </c>
    </row>
    <row r="47" spans="1:19">
      <c r="A47">
        <v>2052</v>
      </c>
      <c r="C47" s="18">
        <v>50.709223936427989</v>
      </c>
      <c r="E47" s="19">
        <v>12.756460330150039</v>
      </c>
      <c r="F47" s="19">
        <v>11.321544001989071</v>
      </c>
      <c r="Q47" s="74">
        <v>59.107136461346954</v>
      </c>
      <c r="R47" s="75">
        <v>81.861041694810524</v>
      </c>
      <c r="S47">
        <v>20</v>
      </c>
    </row>
    <row r="48" spans="1:19">
      <c r="A48">
        <v>2053</v>
      </c>
      <c r="C48" s="18">
        <v>51.817805456706225</v>
      </c>
      <c r="E48" s="19">
        <v>13.035336145798402</v>
      </c>
      <c r="F48" s="19">
        <v>11.569050342795165</v>
      </c>
      <c r="Q48" s="74">
        <v>59.10713646134694</v>
      </c>
      <c r="R48" s="75">
        <v>82.742129227729194</v>
      </c>
      <c r="S48">
        <v>20</v>
      </c>
    </row>
    <row r="49" spans="1:19">
      <c r="A49">
        <v>2054</v>
      </c>
      <c r="C49" s="18">
        <v>52.950622271704084</v>
      </c>
      <c r="E49" s="19">
        <v>13.320308615106221</v>
      </c>
      <c r="F49" s="19">
        <v>11.821967552359835</v>
      </c>
      <c r="Q49" s="74">
        <v>59.107136461346961</v>
      </c>
      <c r="R49" s="75">
        <v>83.632700090258581</v>
      </c>
      <c r="S49">
        <v>20</v>
      </c>
    </row>
    <row r="50" spans="1:19">
      <c r="A50">
        <v>2055</v>
      </c>
      <c r="C50" s="18">
        <v>54.108204202187473</v>
      </c>
      <c r="E50" s="19">
        <v>13.611511020286434</v>
      </c>
      <c r="F50" s="19">
        <v>12.080413920584778</v>
      </c>
      <c r="Q50" s="74">
        <v>59.107136461346954</v>
      </c>
      <c r="R50" s="75">
        <v>84.532856353460971</v>
      </c>
      <c r="S50">
        <v>20</v>
      </c>
    </row>
    <row r="51" spans="1:19">
      <c r="A51">
        <v>2056</v>
      </c>
      <c r="C51" s="18">
        <v>55.291092651617994</v>
      </c>
      <c r="E51" s="19">
        <v>13.909079557305857</v>
      </c>
      <c r="F51" s="19">
        <v>12.344510323370619</v>
      </c>
      <c r="Q51" s="74">
        <v>59.107136461346947</v>
      </c>
      <c r="R51" s="75">
        <v>85.442701187010925</v>
      </c>
      <c r="S51">
        <v>20</v>
      </c>
    </row>
    <row r="52" spans="1:19">
      <c r="A52">
        <v>2057</v>
      </c>
      <c r="C52" s="18">
        <v>56.514292580479768</v>
      </c>
      <c r="E52" s="19">
        <v>14.216788888214355</v>
      </c>
      <c r="F52" s="19">
        <v>12.617606828164298</v>
      </c>
      <c r="Q52" s="74">
        <v>59.107136461346954</v>
      </c>
      <c r="R52" s="75">
        <v>86.36233887101983</v>
      </c>
      <c r="S52">
        <v>20</v>
      </c>
    </row>
    <row r="53" spans="1:19">
      <c r="A53">
        <v>2058</v>
      </c>
      <c r="C53" s="18">
        <v>57.764553252658622</v>
      </c>
      <c r="E53" s="19">
        <v>14.531305645303576</v>
      </c>
      <c r="F53" s="19">
        <v>12.896745022662694</v>
      </c>
      <c r="Q53" s="74">
        <v>59.107136461346947</v>
      </c>
      <c r="R53" s="75">
        <v>87.291874807987739</v>
      </c>
      <c r="S53">
        <v>20</v>
      </c>
    </row>
    <row r="54" spans="1:19">
      <c r="A54">
        <v>2059</v>
      </c>
      <c r="C54" s="18">
        <v>59.04247333057404</v>
      </c>
      <c r="E54" s="19">
        <v>14.852780428657921</v>
      </c>
      <c r="F54" s="19">
        <v>13.182058566630211</v>
      </c>
      <c r="Q54" s="74">
        <v>59.107136461346954</v>
      </c>
      <c r="R54" s="75">
        <v>88.231415534883908</v>
      </c>
      <c r="S54">
        <v>20</v>
      </c>
    </row>
    <row r="55" spans="1:19">
      <c r="A55">
        <v>2060</v>
      </c>
      <c r="C55" s="18">
        <v>60.348664720800933</v>
      </c>
      <c r="E55" s="19">
        <v>15.181367170074076</v>
      </c>
      <c r="F55" s="19">
        <v>13.473684076774326</v>
      </c>
      <c r="Q55" s="74">
        <v>59.107136461346968</v>
      </c>
      <c r="R55" s="75">
        <v>89.181068735357201</v>
      </c>
      <c r="S55">
        <v>20</v>
      </c>
    </row>
    <row r="56" spans="1:19">
      <c r="A56">
        <v>2061</v>
      </c>
      <c r="C56" s="18">
        <v>61.683752867069032</v>
      </c>
      <c r="E56" s="19">
        <v>15.517223206768179</v>
      </c>
      <c r="F56" s="19">
        <v>13.771761192161808</v>
      </c>
      <c r="Q56" s="74">
        <v>59.10713646134694</v>
      </c>
      <c r="R56" s="75">
        <v>90.140943252078245</v>
      </c>
      <c r="S56">
        <v>20</v>
      </c>
    </row>
    <row r="57" spans="1:19">
      <c r="A57">
        <v>2062</v>
      </c>
      <c r="C57" s="18">
        <v>63.051977961375279</v>
      </c>
      <c r="E57" s="19">
        <v>15.861415205449021</v>
      </c>
      <c r="F57" s="19">
        <v>14.077236595004367</v>
      </c>
      <c r="Q57" s="74">
        <v>59.107136461346954</v>
      </c>
      <c r="R57" s="75">
        <v>91.111149099214089</v>
      </c>
      <c r="S57">
        <v>20</v>
      </c>
    </row>
    <row r="58" spans="1:19">
      <c r="A58">
        <v>2063</v>
      </c>
      <c r="C58" s="18">
        <v>64.448004530497684</v>
      </c>
      <c r="E58" s="19">
        <v>16.212600969427012</v>
      </c>
      <c r="F58" s="19">
        <v>14.388919066226554</v>
      </c>
      <c r="Q58" s="74">
        <v>59.107136461346947</v>
      </c>
      <c r="R58" s="75">
        <v>92.091797475037339</v>
      </c>
      <c r="S58">
        <v>20</v>
      </c>
    </row>
    <row r="59" spans="1:19">
      <c r="A59">
        <v>2064</v>
      </c>
      <c r="C59" s="18">
        <v>65.874940362813859</v>
      </c>
      <c r="E59" s="19">
        <v>16.571562296885517</v>
      </c>
      <c r="F59" s="19">
        <v>14.707502463082232</v>
      </c>
      <c r="Q59" s="74">
        <v>59.10713646134694</v>
      </c>
      <c r="R59" s="75">
        <v>93.083000774670808</v>
      </c>
      <c r="S59">
        <v>20</v>
      </c>
    </row>
    <row r="60" spans="1:19">
      <c r="A60">
        <v>2065</v>
      </c>
      <c r="C60" s="18">
        <v>67.333469816753876</v>
      </c>
      <c r="E60" s="19">
        <v>16.938471345678423</v>
      </c>
      <c r="F60" s="19">
        <v>15.033139578169623</v>
      </c>
      <c r="Q60" s="74">
        <v>59.107136461346947</v>
      </c>
      <c r="R60" s="75">
        <v>94.084872602969597</v>
      </c>
      <c r="S60">
        <v>20</v>
      </c>
    </row>
    <row r="61" spans="1:19">
      <c r="A61">
        <v>2066</v>
      </c>
      <c r="C61" s="18">
        <v>68.82429240304883</v>
      </c>
      <c r="E61" s="19">
        <v>17.313504085386782</v>
      </c>
      <c r="F61" s="19">
        <v>15.365986587050241</v>
      </c>
      <c r="Q61" s="74">
        <v>59.107136461346954</v>
      </c>
      <c r="R61" s="75">
        <v>95.097527787541651</v>
      </c>
      <c r="S61">
        <v>20</v>
      </c>
    </row>
    <row r="62" spans="1:19">
      <c r="A62">
        <v>2067</v>
      </c>
      <c r="C62" s="18">
        <v>70.335777652341037</v>
      </c>
      <c r="E62" s="19">
        <v>17.69373474413981</v>
      </c>
      <c r="F62" s="19">
        <v>15.703446824652618</v>
      </c>
      <c r="Q62" s="74">
        <v>59.107136461346947</v>
      </c>
      <c r="R62" s="75">
        <v>96.121082391908544</v>
      </c>
      <c r="S62">
        <v>20</v>
      </c>
    </row>
    <row r="63" spans="1:19">
      <c r="A63">
        <v>2068</v>
      </c>
      <c r="C63" s="18">
        <v>71.880457397051359</v>
      </c>
      <c r="E63" s="19">
        <v>18.082315841552905</v>
      </c>
      <c r="F63" s="19">
        <v>16.048318197968118</v>
      </c>
      <c r="Q63" s="74">
        <v>59.107136461346961</v>
      </c>
      <c r="R63" s="75">
        <v>97.155653728807721</v>
      </c>
      <c r="S63">
        <v>20</v>
      </c>
    </row>
    <row r="64" spans="1:19">
      <c r="A64">
        <v>2069</v>
      </c>
      <c r="C64" s="18">
        <v>73.459060638356988</v>
      </c>
      <c r="E64" s="19">
        <v>18.479430765851632</v>
      </c>
      <c r="F64" s="19">
        <v>16.400763466713112</v>
      </c>
      <c r="Q64" s="74">
        <v>59.107136461346933</v>
      </c>
      <c r="R64" s="75">
        <v>98.201360373638323</v>
      </c>
      <c r="S64">
        <v>20</v>
      </c>
    </row>
    <row r="65" spans="1:19">
      <c r="A65">
        <v>2070</v>
      </c>
      <c r="C65" s="18">
        <v>75.072332387400351</v>
      </c>
      <c r="E65" s="19">
        <v>18.885266932743537</v>
      </c>
      <c r="F65" s="19">
        <v>16.76094896505278</v>
      </c>
      <c r="Q65" s="74">
        <v>59.107136461346947</v>
      </c>
      <c r="R65" s="75">
        <v>99.258322178051245</v>
      </c>
      <c r="S65">
        <v>20</v>
      </c>
    </row>
    <row r="66" spans="1:19">
      <c r="A66">
        <v>2071</v>
      </c>
      <c r="C66" s="18">
        <v>76.72103401689202</v>
      </c>
      <c r="E66" s="19">
        <v>19.300015873867753</v>
      </c>
      <c r="F66" s="19">
        <v>17.129044680101419</v>
      </c>
      <c r="Q66" s="74">
        <v>59.107136461346947</v>
      </c>
      <c r="R66" s="75">
        <v>100.32666028368584</v>
      </c>
      <c r="S66">
        <v>20</v>
      </c>
    </row>
    <row r="67" spans="1:19">
      <c r="A67">
        <v>2072</v>
      </c>
      <c r="C67" s="19">
        <v>78.389427466094318</v>
      </c>
      <c r="E67" s="19">
        <v>19.719718507781312</v>
      </c>
      <c r="F67" s="19">
        <v>17.501536869519548</v>
      </c>
      <c r="Q67" s="74">
        <v>59.107136461346933</v>
      </c>
      <c r="R67" s="75">
        <v>101.40649713605427</v>
      </c>
      <c r="S67">
        <v>20</v>
      </c>
    </row>
    <row r="68" spans="1:19">
      <c r="A68">
        <v>2073</v>
      </c>
      <c r="C68" s="19">
        <v>80.094102187271247</v>
      </c>
      <c r="E68" s="19">
        <v>20.148548092784715</v>
      </c>
      <c r="F68" s="19">
        <v>17.882129360721503</v>
      </c>
      <c r="Q68" s="74">
        <v>59.10713646134694</v>
      </c>
      <c r="R68" s="75">
        <v>102.49795649857536</v>
      </c>
      <c r="S68">
        <v>20</v>
      </c>
    </row>
    <row r="69" spans="1:19">
      <c r="A69">
        <v>2074</v>
      </c>
      <c r="C69" s="19">
        <v>81.835847161401318</v>
      </c>
      <c r="E69" s="19">
        <v>20.586703105679071</v>
      </c>
      <c r="F69" s="19">
        <v>18.270998304753814</v>
      </c>
      <c r="Q69" s="74">
        <v>59.107136461346954</v>
      </c>
      <c r="R69" s="75">
        <v>103.60116346675963</v>
      </c>
      <c r="S69">
        <v>20</v>
      </c>
    </row>
    <row r="70" spans="1:19">
      <c r="A70">
        <v>2075</v>
      </c>
      <c r="C70" s="19">
        <v>83.615468526826874</v>
      </c>
      <c r="E70" s="19">
        <v>21.034386339388167</v>
      </c>
      <c r="F70" s="19">
        <v>18.66832368328464</v>
      </c>
      <c r="Q70" s="74">
        <v>59.107136461346954</v>
      </c>
      <c r="R70" s="75">
        <v>104.71624448254664</v>
      </c>
      <c r="S70">
        <v>20</v>
      </c>
    </row>
    <row r="71" spans="1:19">
      <c r="A71">
        <v>2076</v>
      </c>
      <c r="C71" s="19">
        <v>85.433789952362218</v>
      </c>
      <c r="E71" s="19">
        <v>21.491804996817876</v>
      </c>
      <c r="F71" s="19">
        <v>19.074289391905339</v>
      </c>
      <c r="Q71" s="74">
        <v>59.10713646134694</v>
      </c>
      <c r="R71" s="75">
        <v>105.84332734879716</v>
      </c>
      <c r="S71">
        <v>20</v>
      </c>
    </row>
    <row r="72" spans="1:19">
      <c r="A72">
        <v>2077</v>
      </c>
      <c r="C72" s="19">
        <v>87.284546932482257</v>
      </c>
      <c r="E72" s="19">
        <v>21.957383173033858</v>
      </c>
      <c r="F72" s="19">
        <v>19.487496792075497</v>
      </c>
      <c r="Q72" s="74">
        <v>59.107136461346954</v>
      </c>
      <c r="R72" s="75">
        <v>106.98254124394076</v>
      </c>
      <c r="S72">
        <v>20</v>
      </c>
    </row>
  </sheetData>
  <mergeCells count="3">
    <mergeCell ref="B3:C3"/>
    <mergeCell ref="E3:F3"/>
    <mergeCell ref="Q3:S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X78"/>
  <sheetViews>
    <sheetView topLeftCell="F61" workbookViewId="0">
      <selection activeCell="F10" sqref="F10"/>
    </sheetView>
  </sheetViews>
  <sheetFormatPr defaultRowHeight="15"/>
  <cols>
    <col min="3" max="3" width="21" customWidth="1"/>
    <col min="4" max="4" width="11.7109375" customWidth="1"/>
    <col min="5" max="5" width="22.28515625" customWidth="1"/>
    <col min="6" max="6" width="12.85546875" customWidth="1"/>
    <col min="7" max="7" width="12.5703125" customWidth="1"/>
    <col min="8" max="9" width="17.28515625" customWidth="1"/>
    <col min="10" max="11" width="12.42578125" customWidth="1"/>
    <col min="12" max="12" width="16" customWidth="1"/>
    <col min="13" max="13" width="13.28515625" customWidth="1"/>
    <col min="14" max="14" width="12.42578125" customWidth="1"/>
    <col min="15" max="15" width="15.7109375" customWidth="1"/>
    <col min="17" max="17" width="12.42578125" customWidth="1"/>
    <col min="18" max="18" width="13.140625" customWidth="1"/>
    <col min="19" max="19" width="17.42578125" customWidth="1"/>
    <col min="20" max="20" width="17.85546875" customWidth="1"/>
    <col min="21" max="21" width="12.140625" customWidth="1"/>
    <col min="22" max="22" width="13" customWidth="1"/>
    <col min="23" max="23" width="15.28515625" customWidth="1"/>
    <col min="24" max="24" width="15.140625" customWidth="1"/>
  </cols>
  <sheetData>
    <row r="1" spans="1:24" ht="21">
      <c r="A1" s="71" t="s">
        <v>114</v>
      </c>
      <c r="B1" s="70"/>
      <c r="C1" s="70"/>
      <c r="D1" s="70"/>
      <c r="E1" s="70"/>
    </row>
    <row r="3" spans="1:24">
      <c r="A3" s="68" t="s">
        <v>111</v>
      </c>
      <c r="B3" s="68"/>
      <c r="C3" s="68"/>
      <c r="D3" s="68"/>
      <c r="E3" s="68"/>
      <c r="F3" s="68"/>
      <c r="G3" s="68"/>
      <c r="H3" s="68"/>
      <c r="I3" s="68"/>
      <c r="J3" s="30"/>
      <c r="K3" s="30"/>
      <c r="L3" s="30"/>
      <c r="M3" s="30"/>
      <c r="N3" s="30"/>
      <c r="O3" s="30"/>
      <c r="P3" s="30"/>
    </row>
    <row r="4" spans="1:24">
      <c r="A4" s="68" t="s">
        <v>113</v>
      </c>
      <c r="B4" s="68"/>
      <c r="C4" s="68"/>
      <c r="D4" s="68"/>
      <c r="E4" s="68"/>
      <c r="F4" s="68"/>
      <c r="G4" s="68"/>
      <c r="H4" s="29"/>
      <c r="I4" s="29"/>
      <c r="J4" s="30"/>
      <c r="K4" s="30"/>
      <c r="L4" s="30"/>
      <c r="M4" s="30"/>
      <c r="N4" s="30"/>
      <c r="O4" s="30"/>
    </row>
    <row r="5" spans="1:24">
      <c r="A5" s="29"/>
      <c r="B5" s="29"/>
      <c r="C5" s="29"/>
      <c r="D5" s="29"/>
      <c r="E5" s="29"/>
      <c r="F5" s="29"/>
      <c r="G5" s="29"/>
      <c r="H5" s="29"/>
      <c r="I5" s="29"/>
      <c r="J5" s="30"/>
      <c r="K5" s="30"/>
      <c r="L5" s="30"/>
      <c r="M5" s="30"/>
      <c r="N5" s="30"/>
      <c r="O5" s="30"/>
    </row>
    <row r="6" spans="1:24" ht="15.75" thickBot="1">
      <c r="A6" s="39" t="s">
        <v>76</v>
      </c>
      <c r="B6" s="29"/>
      <c r="C6" s="39"/>
      <c r="D6" s="40"/>
      <c r="E6" s="40"/>
      <c r="F6" s="90" t="s">
        <v>49</v>
      </c>
      <c r="G6" s="90"/>
      <c r="H6" s="90"/>
      <c r="I6" s="90"/>
      <c r="J6" s="93" t="s">
        <v>50</v>
      </c>
      <c r="K6" s="94"/>
      <c r="L6" s="94"/>
      <c r="M6" s="94"/>
      <c r="N6" s="94"/>
      <c r="O6" s="94"/>
      <c r="P6" s="40"/>
      <c r="Q6" s="92" t="s">
        <v>5</v>
      </c>
      <c r="R6" s="92"/>
      <c r="S6" s="92"/>
      <c r="U6" s="89" t="s">
        <v>6</v>
      </c>
      <c r="V6" s="89"/>
      <c r="W6" s="89"/>
    </row>
    <row r="7" spans="1:24">
      <c r="A7" s="23" t="s">
        <v>77</v>
      </c>
      <c r="C7" s="62" t="s">
        <v>112</v>
      </c>
      <c r="D7" s="23"/>
      <c r="E7" s="44" t="s">
        <v>73</v>
      </c>
      <c r="F7" s="62" t="s">
        <v>110</v>
      </c>
      <c r="G7" s="41" t="s">
        <v>64</v>
      </c>
      <c r="H7" s="41" t="s">
        <v>65</v>
      </c>
      <c r="I7" s="42" t="s">
        <v>70</v>
      </c>
      <c r="J7" s="62" t="s">
        <v>110</v>
      </c>
      <c r="K7" s="41" t="s">
        <v>64</v>
      </c>
      <c r="L7" s="42" t="s">
        <v>70</v>
      </c>
      <c r="M7" s="62" t="s">
        <v>110</v>
      </c>
      <c r="N7" s="41" t="s">
        <v>64</v>
      </c>
      <c r="O7" s="42" t="s">
        <v>70</v>
      </c>
      <c r="Q7" s="62" t="s">
        <v>110</v>
      </c>
      <c r="R7" s="41" t="s">
        <v>64</v>
      </c>
      <c r="S7" s="42" t="s">
        <v>70</v>
      </c>
      <c r="T7" s="23" t="s">
        <v>65</v>
      </c>
      <c r="U7" s="62" t="s">
        <v>110</v>
      </c>
      <c r="V7" s="41" t="s">
        <v>64</v>
      </c>
      <c r="W7" s="42" t="s">
        <v>70</v>
      </c>
      <c r="X7" s="30"/>
    </row>
    <row r="8" spans="1:24" ht="15.75">
      <c r="C8" s="91" t="s">
        <v>82</v>
      </c>
      <c r="D8" s="23" t="s">
        <v>83</v>
      </c>
      <c r="E8" s="44" t="s">
        <v>79</v>
      </c>
      <c r="F8" s="55" t="s">
        <v>62</v>
      </c>
      <c r="G8" s="44" t="s">
        <v>68</v>
      </c>
      <c r="H8" s="44" t="s">
        <v>66</v>
      </c>
      <c r="I8" s="45" t="s">
        <v>71</v>
      </c>
      <c r="J8" s="43" t="s">
        <v>1</v>
      </c>
      <c r="K8" s="44" t="s">
        <v>68</v>
      </c>
      <c r="L8" s="45" t="s">
        <v>71</v>
      </c>
      <c r="M8" s="43" t="s">
        <v>61</v>
      </c>
      <c r="N8" s="44" t="s">
        <v>68</v>
      </c>
      <c r="O8" s="45" t="s">
        <v>71</v>
      </c>
      <c r="Q8" s="43" t="s">
        <v>1</v>
      </c>
      <c r="R8" s="44" t="s">
        <v>68</v>
      </c>
      <c r="S8" s="45" t="s">
        <v>71</v>
      </c>
      <c r="T8" s="23" t="s">
        <v>66</v>
      </c>
      <c r="U8" s="43" t="s">
        <v>2</v>
      </c>
      <c r="V8" s="44" t="s">
        <v>68</v>
      </c>
      <c r="W8" s="45" t="s">
        <v>71</v>
      </c>
      <c r="X8" s="30"/>
    </row>
    <row r="9" spans="1:24">
      <c r="C9" s="91"/>
      <c r="D9" s="22" t="s">
        <v>63</v>
      </c>
      <c r="E9" s="44" t="s">
        <v>80</v>
      </c>
      <c r="F9" s="46" t="s">
        <v>74</v>
      </c>
      <c r="G9" s="44" t="s">
        <v>67</v>
      </c>
      <c r="H9" s="44" t="s">
        <v>69</v>
      </c>
      <c r="I9" s="45" t="s">
        <v>72</v>
      </c>
      <c r="J9" s="46" t="s">
        <v>74</v>
      </c>
      <c r="K9" s="44" t="s">
        <v>67</v>
      </c>
      <c r="L9" s="45" t="s">
        <v>72</v>
      </c>
      <c r="M9" s="46" t="s">
        <v>74</v>
      </c>
      <c r="N9" s="44" t="s">
        <v>67</v>
      </c>
      <c r="O9" s="45" t="s">
        <v>72</v>
      </c>
      <c r="Q9" s="46" t="s">
        <v>74</v>
      </c>
      <c r="R9" s="44" t="s">
        <v>67</v>
      </c>
      <c r="S9" s="45" t="s">
        <v>72</v>
      </c>
      <c r="T9" s="23" t="s">
        <v>78</v>
      </c>
      <c r="U9" s="46" t="s">
        <v>74</v>
      </c>
      <c r="V9" s="44" t="s">
        <v>67</v>
      </c>
      <c r="W9" s="45" t="s">
        <v>72</v>
      </c>
    </row>
    <row r="10" spans="1:24">
      <c r="A10">
        <v>2010</v>
      </c>
      <c r="C10" s="24"/>
      <c r="E10" s="27"/>
      <c r="F10" s="56">
        <v>22.750636964980959</v>
      </c>
      <c r="G10" s="61"/>
      <c r="H10" s="31"/>
      <c r="I10" s="57"/>
      <c r="J10" s="47">
        <v>5.7231717506317636</v>
      </c>
      <c r="K10" s="61"/>
      <c r="L10" s="48"/>
      <c r="M10" s="47">
        <v>5.0793981346513721</v>
      </c>
      <c r="N10" s="28"/>
      <c r="O10" s="48"/>
      <c r="Q10" s="47">
        <v>5.7231717506317636</v>
      </c>
      <c r="R10" s="28"/>
      <c r="S10" s="48"/>
      <c r="T10" s="31"/>
      <c r="U10" s="47">
        <v>5.0793981346513721</v>
      </c>
      <c r="V10" s="28"/>
      <c r="W10" s="48"/>
    </row>
    <row r="11" spans="1:24">
      <c r="A11">
        <v>2011</v>
      </c>
      <c r="E11" s="27"/>
      <c r="F11" s="56">
        <v>22.932867919921684</v>
      </c>
      <c r="G11" s="28"/>
      <c r="H11" s="27"/>
      <c r="I11" s="51"/>
      <c r="J11" s="47">
        <v>5.7690139419960209</v>
      </c>
      <c r="K11" s="28"/>
      <c r="L11" s="48"/>
      <c r="M11" s="47">
        <v>5.1200837459609128</v>
      </c>
      <c r="N11" s="28"/>
      <c r="O11" s="48"/>
      <c r="Q11" s="47">
        <v>5.7690139419960209</v>
      </c>
      <c r="R11" s="28"/>
      <c r="S11" s="48"/>
      <c r="T11" s="27"/>
      <c r="U11" s="47">
        <v>5.1200837459609128</v>
      </c>
      <c r="V11" s="28"/>
      <c r="W11" s="48"/>
    </row>
    <row r="12" spans="1:24">
      <c r="A12">
        <v>2012</v>
      </c>
      <c r="E12" s="27"/>
      <c r="F12" s="56">
        <v>22.931848695058275</v>
      </c>
      <c r="G12" s="28"/>
      <c r="H12" s="27"/>
      <c r="I12" s="51"/>
      <c r="J12" s="47">
        <v>5.7687575448254798</v>
      </c>
      <c r="K12" s="28"/>
      <c r="L12" s="48"/>
      <c r="M12" s="47">
        <v>5.1198561897444437</v>
      </c>
      <c r="N12" s="28"/>
      <c r="O12" s="48"/>
      <c r="Q12" s="47">
        <v>5.7687575448254798</v>
      </c>
      <c r="R12" s="28"/>
      <c r="S12" s="48"/>
      <c r="T12" s="27"/>
      <c r="U12" s="47">
        <v>5.1198561897444437</v>
      </c>
      <c r="V12" s="28"/>
      <c r="W12" s="48"/>
    </row>
    <row r="13" spans="1:24">
      <c r="A13">
        <v>2013</v>
      </c>
      <c r="E13" s="27"/>
      <c r="F13" s="56">
        <v>23.182608376264469</v>
      </c>
      <c r="G13" s="28"/>
      <c r="H13" s="27"/>
      <c r="I13" s="51"/>
      <c r="J13" s="47">
        <v>5.8318388873780327</v>
      </c>
      <c r="K13" s="28"/>
      <c r="L13" s="48"/>
      <c r="M13" s="47">
        <v>5.1758417983638889</v>
      </c>
      <c r="N13" s="28"/>
      <c r="O13" s="48"/>
      <c r="Q13" s="47">
        <v>5.8318388873780327</v>
      </c>
      <c r="R13" s="28"/>
      <c r="S13" s="48"/>
      <c r="T13" s="27"/>
      <c r="U13" s="47">
        <v>5.1758417983638889</v>
      </c>
      <c r="V13" s="28"/>
      <c r="W13" s="48"/>
    </row>
    <row r="14" spans="1:24" ht="25.5">
      <c r="A14">
        <v>2014</v>
      </c>
      <c r="E14" s="64" t="s">
        <v>81</v>
      </c>
      <c r="F14" s="56">
        <v>23.658090569026307</v>
      </c>
      <c r="G14" s="28">
        <v>667.95</v>
      </c>
      <c r="H14" s="27"/>
      <c r="I14" s="51"/>
      <c r="J14" s="47">
        <v>5.9514516374619859</v>
      </c>
      <c r="K14" s="28">
        <v>2534.049</v>
      </c>
      <c r="L14" s="48"/>
      <c r="M14" s="47">
        <v>5.2819998530456989</v>
      </c>
      <c r="N14" s="28">
        <v>14641.57</v>
      </c>
      <c r="O14" s="48"/>
      <c r="Q14" s="47">
        <v>5.9514516374619859</v>
      </c>
      <c r="R14" s="28">
        <v>300</v>
      </c>
      <c r="S14" s="48"/>
      <c r="T14" s="27"/>
      <c r="U14" s="47">
        <v>5.2819998530456989</v>
      </c>
      <c r="V14" s="28">
        <v>50</v>
      </c>
      <c r="W14" s="48"/>
    </row>
    <row r="15" spans="1:24">
      <c r="A15">
        <v>2015</v>
      </c>
      <c r="E15" s="27">
        <v>1.48</v>
      </c>
      <c r="F15" s="56">
        <v>24.052665742690195</v>
      </c>
      <c r="G15" s="28">
        <f>(E15/100+1)*G14</f>
        <v>677.83565999999996</v>
      </c>
      <c r="H15" s="27"/>
      <c r="I15" s="51"/>
      <c r="J15" s="47">
        <v>6.0507113413063118</v>
      </c>
      <c r="K15" s="28">
        <f>(E15/100+1)*K14</f>
        <v>2571.5529251999997</v>
      </c>
      <c r="L15" s="48"/>
      <c r="M15" s="47">
        <v>5.3700942832883802</v>
      </c>
      <c r="N15" s="28">
        <f>(E15/100+1)*N14</f>
        <v>14858.265235999999</v>
      </c>
      <c r="O15" s="48"/>
      <c r="Q15" s="47">
        <v>6.0507113413063118</v>
      </c>
      <c r="R15" s="28">
        <f>(E15/100+1)*R14</f>
        <v>304.44</v>
      </c>
      <c r="S15" s="48"/>
      <c r="T15" s="27"/>
      <c r="U15" s="47">
        <v>5.3700942832883802</v>
      </c>
      <c r="V15" s="28">
        <f>(E15/100+1)*V14</f>
        <v>50.739999999999995</v>
      </c>
      <c r="W15" s="48"/>
    </row>
    <row r="16" spans="1:24">
      <c r="A16">
        <v>2016</v>
      </c>
      <c r="E16" s="27">
        <v>1.48</v>
      </c>
      <c r="F16" s="56">
        <v>24.521954725305466</v>
      </c>
      <c r="G16" s="28">
        <f t="shared" ref="G16:G77" si="0">(E16/100+1)*G15</f>
        <v>687.86762776799992</v>
      </c>
      <c r="H16" s="27"/>
      <c r="I16" s="51"/>
      <c r="J16" s="47">
        <v>6.1687661215887548</v>
      </c>
      <c r="K16" s="28">
        <f t="shared" ref="K16:K77" si="1">(E16/100+1)*K15</f>
        <v>2609.6119084929596</v>
      </c>
      <c r="L16" s="48"/>
      <c r="M16" s="47">
        <v>5.4748696171209046</v>
      </c>
      <c r="N16" s="28">
        <f t="shared" ref="N16:N77" si="2">(E16/100+1)*N15</f>
        <v>15078.167561492799</v>
      </c>
      <c r="O16" s="48"/>
      <c r="Q16" s="47">
        <v>6.1687661215887548</v>
      </c>
      <c r="R16" s="28">
        <f t="shared" ref="R16:R77" si="3">(E16/100+1)*R15</f>
        <v>308.94571199999996</v>
      </c>
      <c r="S16" s="48"/>
      <c r="T16" s="27"/>
      <c r="U16" s="47">
        <v>5.4748696171209046</v>
      </c>
      <c r="V16" s="28">
        <f t="shared" ref="V16:V77" si="4">(E16/100+1)*V15</f>
        <v>51.490951999999993</v>
      </c>
      <c r="W16" s="48"/>
    </row>
    <row r="17" spans="1:23">
      <c r="A17" s="34">
        <v>2017</v>
      </c>
      <c r="B17" s="34"/>
      <c r="C17" s="35" t="s">
        <v>85</v>
      </c>
      <c r="D17" s="34">
        <v>1</v>
      </c>
      <c r="E17" s="36">
        <v>1.19</v>
      </c>
      <c r="F17" s="58">
        <v>25.00912873207761</v>
      </c>
      <c r="G17" s="37">
        <f t="shared" si="0"/>
        <v>696.0532525384391</v>
      </c>
      <c r="H17" s="38">
        <v>0.16666700000000001</v>
      </c>
      <c r="I17" s="50">
        <f t="shared" ref="I17:I48" si="5">D17*F17*G17*H17</f>
        <v>2901.2867020809908</v>
      </c>
      <c r="J17" s="49">
        <v>6.2913200754623162</v>
      </c>
      <c r="K17" s="37">
        <f t="shared" si="1"/>
        <v>2640.6662902040257</v>
      </c>
      <c r="L17" s="50">
        <f t="shared" ref="L17:L48" si="6">D17*J17*K17*H17</f>
        <v>2768.8850117851457</v>
      </c>
      <c r="M17" s="49">
        <v>5.5836380329264941</v>
      </c>
      <c r="N17" s="37">
        <f t="shared" si="2"/>
        <v>15257.597755474564</v>
      </c>
      <c r="O17" s="50">
        <f t="shared" ref="O17:O48" si="7">D17*M17*N17*H17</f>
        <v>14198.845584061322</v>
      </c>
      <c r="Q17" s="49">
        <v>6.2913200754623162</v>
      </c>
      <c r="R17" s="37">
        <f t="shared" si="3"/>
        <v>312.62216597279996</v>
      </c>
      <c r="S17" s="50">
        <f>D17*Q17*R17*T17</f>
        <v>655.60138067102662</v>
      </c>
      <c r="T17" s="38">
        <v>0.33333299999999999</v>
      </c>
      <c r="U17" s="49">
        <v>5.5836380329264941</v>
      </c>
      <c r="V17" s="37">
        <f t="shared" si="4"/>
        <v>52.103694328799996</v>
      </c>
      <c r="W17" s="50">
        <f>D17*U17*V17*T17</f>
        <v>96.975959460698277</v>
      </c>
    </row>
    <row r="18" spans="1:23">
      <c r="A18">
        <v>2018</v>
      </c>
      <c r="C18" s="25">
        <v>3.5000000000000003E-2</v>
      </c>
      <c r="D18" s="26">
        <f>D17/1.035</f>
        <v>0.96618357487922713</v>
      </c>
      <c r="E18" s="27">
        <v>1.19</v>
      </c>
      <c r="F18" s="56">
        <v>25.484612871256417</v>
      </c>
      <c r="G18" s="28">
        <f t="shared" si="0"/>
        <v>704.33628624364655</v>
      </c>
      <c r="H18" s="32">
        <v>0.16666700000000001</v>
      </c>
      <c r="I18" s="51">
        <f t="shared" si="5"/>
        <v>2890.4627190938731</v>
      </c>
      <c r="J18" s="47">
        <v>6.4109333151887604</v>
      </c>
      <c r="K18" s="28">
        <f t="shared" si="1"/>
        <v>2672.0902190574539</v>
      </c>
      <c r="L18" s="51">
        <f t="shared" si="6"/>
        <v>2758.5549867519931</v>
      </c>
      <c r="M18" s="47">
        <v>5.6897965221731326</v>
      </c>
      <c r="N18" s="28">
        <f t="shared" si="2"/>
        <v>15439.163168764711</v>
      </c>
      <c r="O18" s="51">
        <f t="shared" si="7"/>
        <v>14145.873203590145</v>
      </c>
      <c r="Q18" s="47">
        <v>6.4109333151887604</v>
      </c>
      <c r="R18" s="28">
        <f t="shared" si="3"/>
        <v>316.34236974787626</v>
      </c>
      <c r="S18" s="51">
        <f t="shared" ref="S18:S77" si="8">D18*Q18*R18*T18</f>
        <v>653.15549409745051</v>
      </c>
      <c r="T18" s="32">
        <v>0.33333299999999999</v>
      </c>
      <c r="U18" s="47">
        <v>5.6897965221731326</v>
      </c>
      <c r="V18" s="28">
        <f t="shared" si="4"/>
        <v>52.723728291312717</v>
      </c>
      <c r="W18" s="51">
        <f t="shared" ref="W18:W77" si="9">D18*U18*V18*T18</f>
        <v>96.614166145129289</v>
      </c>
    </row>
    <row r="19" spans="1:23">
      <c r="A19">
        <v>2019</v>
      </c>
      <c r="C19" s="25">
        <v>3.5000000000000003E-2</v>
      </c>
      <c r="D19" s="26">
        <f>D18/1.035</f>
        <v>0.93351070036640305</v>
      </c>
      <c r="E19" s="27">
        <v>1.19</v>
      </c>
      <c r="F19" s="56">
        <v>25.971738255235024</v>
      </c>
      <c r="G19" s="28">
        <f t="shared" si="0"/>
        <v>712.71788804994594</v>
      </c>
      <c r="H19" s="32">
        <v>0.16666700000000001</v>
      </c>
      <c r="I19" s="51">
        <f t="shared" si="5"/>
        <v>2879.9675541711549</v>
      </c>
      <c r="J19" s="47">
        <v>6.5334750374663972</v>
      </c>
      <c r="K19" s="28">
        <f t="shared" si="1"/>
        <v>2703.8880926642378</v>
      </c>
      <c r="L19" s="51">
        <f t="shared" si="6"/>
        <v>2748.5387740040833</v>
      </c>
      <c r="M19" s="47">
        <v>5.7985540822595105</v>
      </c>
      <c r="N19" s="28">
        <f t="shared" si="2"/>
        <v>15622.889210473011</v>
      </c>
      <c r="O19" s="51">
        <f t="shared" si="7"/>
        <v>14094.510052885307</v>
      </c>
      <c r="Q19" s="47">
        <v>6.5334750374663972</v>
      </c>
      <c r="R19" s="28">
        <f t="shared" si="3"/>
        <v>320.10684394787597</v>
      </c>
      <c r="S19" s="51">
        <f t="shared" si="8"/>
        <v>650.78391027267071</v>
      </c>
      <c r="T19" s="32">
        <v>0.33333299999999999</v>
      </c>
      <c r="U19" s="47">
        <v>5.7985540822595105</v>
      </c>
      <c r="V19" s="28">
        <f t="shared" si="4"/>
        <v>53.351140657979343</v>
      </c>
      <c r="W19" s="51">
        <f t="shared" si="9"/>
        <v>96.2633636245274</v>
      </c>
    </row>
    <row r="20" spans="1:23">
      <c r="A20">
        <v>2020</v>
      </c>
      <c r="C20" s="25">
        <v>3.5000000000000003E-2</v>
      </c>
      <c r="D20" s="26">
        <f>D19/1.035</f>
        <v>0.90194270566802237</v>
      </c>
      <c r="E20" s="27">
        <v>1.19</v>
      </c>
      <c r="F20" s="56">
        <v>26.464362164171281</v>
      </c>
      <c r="G20" s="28">
        <f t="shared" si="0"/>
        <v>721.19923091774035</v>
      </c>
      <c r="H20" s="32">
        <v>0.16666700000000001</v>
      </c>
      <c r="I20" s="51">
        <f t="shared" si="5"/>
        <v>2869.0971559806048</v>
      </c>
      <c r="J20" s="47">
        <v>6.6573999738824412</v>
      </c>
      <c r="K20" s="28">
        <f t="shared" si="1"/>
        <v>2736.0643609669423</v>
      </c>
      <c r="L20" s="51">
        <f t="shared" si="6"/>
        <v>2738.1644519488505</v>
      </c>
      <c r="M20" s="47">
        <v>5.9085392650034949</v>
      </c>
      <c r="N20" s="28">
        <f t="shared" si="2"/>
        <v>15808.80159207764</v>
      </c>
      <c r="O20" s="51">
        <f t="shared" si="7"/>
        <v>14041.310517233011</v>
      </c>
      <c r="Q20" s="47">
        <v>6.6573999738824412</v>
      </c>
      <c r="R20" s="28">
        <f t="shared" si="3"/>
        <v>323.91611539085568</v>
      </c>
      <c r="S20" s="51">
        <f t="shared" si="8"/>
        <v>648.32753529357706</v>
      </c>
      <c r="T20" s="32">
        <v>0.33333299999999999</v>
      </c>
      <c r="U20" s="47">
        <v>5.9085392650034949</v>
      </c>
      <c r="V20" s="28">
        <f t="shared" si="4"/>
        <v>53.986019231809301</v>
      </c>
      <c r="W20" s="51">
        <f t="shared" si="9"/>
        <v>95.900018873561422</v>
      </c>
    </row>
    <row r="21" spans="1:23">
      <c r="A21">
        <v>2021</v>
      </c>
      <c r="C21" s="25">
        <v>3.5000000000000003E-2</v>
      </c>
      <c r="D21" s="26">
        <f t="shared" ref="D21:D47" si="10">D20/1.035</f>
        <v>0.87144222769857238</v>
      </c>
      <c r="E21" s="27">
        <v>1.19</v>
      </c>
      <c r="F21" s="56">
        <v>26.962911088215058</v>
      </c>
      <c r="G21" s="28">
        <f t="shared" si="0"/>
        <v>729.78150176566146</v>
      </c>
      <c r="H21" s="32">
        <v>0.16666700000000001</v>
      </c>
      <c r="I21" s="51">
        <f t="shared" si="5"/>
        <v>2857.9054028084761</v>
      </c>
      <c r="J21" s="47">
        <v>6.7828154127023366</v>
      </c>
      <c r="K21" s="28">
        <f t="shared" si="1"/>
        <v>2768.6235268624491</v>
      </c>
      <c r="L21" s="51">
        <f t="shared" si="6"/>
        <v>2727.4834401096282</v>
      </c>
      <c r="M21" s="47">
        <v>6.0198472903004712</v>
      </c>
      <c r="N21" s="28">
        <f t="shared" si="2"/>
        <v>15996.926331023364</v>
      </c>
      <c r="O21" s="51">
        <f t="shared" si="7"/>
        <v>13986.53827600914</v>
      </c>
      <c r="Q21" s="47">
        <v>6.7828154127023366</v>
      </c>
      <c r="R21" s="28">
        <f t="shared" si="3"/>
        <v>327.7707171640069</v>
      </c>
      <c r="S21" s="51">
        <f t="shared" si="8"/>
        <v>645.7985439924023</v>
      </c>
      <c r="T21" s="32">
        <v>0.33333299999999999</v>
      </c>
      <c r="U21" s="47">
        <v>6.0198472903004712</v>
      </c>
      <c r="V21" s="28">
        <f t="shared" si="4"/>
        <v>54.628452860667835</v>
      </c>
      <c r="W21" s="51">
        <f t="shared" si="9"/>
        <v>95.525932782333001</v>
      </c>
    </row>
    <row r="22" spans="1:23">
      <c r="A22">
        <v>2022</v>
      </c>
      <c r="C22" s="25">
        <v>3.5000000000000003E-2</v>
      </c>
      <c r="D22" s="26">
        <f t="shared" si="10"/>
        <v>0.84197316685852408</v>
      </c>
      <c r="E22" s="27">
        <v>0.91</v>
      </c>
      <c r="F22" s="56">
        <v>27.467706381517473</v>
      </c>
      <c r="G22" s="28">
        <f t="shared" si="0"/>
        <v>736.42251343172904</v>
      </c>
      <c r="H22" s="32">
        <v>0.16666700000000001</v>
      </c>
      <c r="I22" s="51">
        <f t="shared" si="5"/>
        <v>2838.5550588544575</v>
      </c>
      <c r="J22" s="47">
        <v>6.909802194080247</v>
      </c>
      <c r="K22" s="28">
        <f t="shared" si="1"/>
        <v>2793.8180009568978</v>
      </c>
      <c r="L22" s="51">
        <f t="shared" si="6"/>
        <v>2709.0161589172048</v>
      </c>
      <c r="M22" s="47">
        <v>6.1325499049625485</v>
      </c>
      <c r="N22" s="28">
        <f t="shared" si="2"/>
        <v>16142.498360635678</v>
      </c>
      <c r="O22" s="51">
        <f t="shared" si="7"/>
        <v>13891.838036420782</v>
      </c>
      <c r="Q22" s="47">
        <v>6.909802194080247</v>
      </c>
      <c r="R22" s="28">
        <f t="shared" si="3"/>
        <v>330.75343069019942</v>
      </c>
      <c r="S22" s="51">
        <f t="shared" si="8"/>
        <v>641.42596261200504</v>
      </c>
      <c r="T22" s="32">
        <v>0.33333299999999999</v>
      </c>
      <c r="U22" s="47">
        <v>6.1325499049625485</v>
      </c>
      <c r="V22" s="28">
        <f t="shared" si="4"/>
        <v>55.125571781699918</v>
      </c>
      <c r="W22" s="51">
        <f t="shared" si="9"/>
        <v>94.879144524733533</v>
      </c>
    </row>
    <row r="23" spans="1:23">
      <c r="A23">
        <v>2023</v>
      </c>
      <c r="C23" s="25">
        <v>3.5000000000000003E-2</v>
      </c>
      <c r="D23" s="26">
        <f t="shared" si="10"/>
        <v>0.81350064430775282</v>
      </c>
      <c r="E23" s="27">
        <v>0.91</v>
      </c>
      <c r="F23" s="56">
        <v>27.985902842392463</v>
      </c>
      <c r="G23" s="28">
        <f t="shared" si="0"/>
        <v>743.12395830395781</v>
      </c>
      <c r="H23" s="32">
        <v>0.16666700000000001</v>
      </c>
      <c r="I23" s="51">
        <f t="shared" si="5"/>
        <v>2819.7337641783815</v>
      </c>
      <c r="J23" s="47">
        <v>7.0401601858464611</v>
      </c>
      <c r="K23" s="28">
        <f t="shared" si="1"/>
        <v>2819.2417447656057</v>
      </c>
      <c r="L23" s="51">
        <f t="shared" si="6"/>
        <v>2691.05378357057</v>
      </c>
      <c r="M23" s="47">
        <v>6.2482445178563717</v>
      </c>
      <c r="N23" s="28">
        <f t="shared" si="2"/>
        <v>16289.395095717464</v>
      </c>
      <c r="O23" s="51">
        <f t="shared" si="7"/>
        <v>13799.726954601108</v>
      </c>
      <c r="Q23" s="47">
        <v>7.0401601858464611</v>
      </c>
      <c r="R23" s="28">
        <f t="shared" si="3"/>
        <v>333.76328690948026</v>
      </c>
      <c r="S23" s="51">
        <f t="shared" si="8"/>
        <v>637.17293006379077</v>
      </c>
      <c r="T23" s="32">
        <v>0.33333299999999999</v>
      </c>
      <c r="U23" s="47">
        <v>6.2482445178563717</v>
      </c>
      <c r="V23" s="28">
        <f t="shared" si="4"/>
        <v>55.627214484913395</v>
      </c>
      <c r="W23" s="51">
        <f t="shared" si="9"/>
        <v>94.250039821569999</v>
      </c>
    </row>
    <row r="24" spans="1:23">
      <c r="A24">
        <v>2024</v>
      </c>
      <c r="C24" s="25">
        <v>3.5000000000000003E-2</v>
      </c>
      <c r="D24" s="26">
        <f t="shared" si="10"/>
        <v>0.78599096068381924</v>
      </c>
      <c r="E24" s="27">
        <v>0.91</v>
      </c>
      <c r="F24" s="56">
        <v>28.518219096018971</v>
      </c>
      <c r="G24" s="28">
        <f t="shared" si="0"/>
        <v>749.88638632452387</v>
      </c>
      <c r="H24" s="32">
        <v>0.16666700000000001</v>
      </c>
      <c r="I24" s="51">
        <f t="shared" si="5"/>
        <v>2801.4639630126612</v>
      </c>
      <c r="J24" s="47">
        <v>7.1740701660306101</v>
      </c>
      <c r="K24" s="28">
        <f t="shared" si="1"/>
        <v>2844.8968446429731</v>
      </c>
      <c r="L24" s="51">
        <f t="shared" si="6"/>
        <v>2673.6177340482072</v>
      </c>
      <c r="M24" s="47">
        <v>6.3670915721114678</v>
      </c>
      <c r="N24" s="28">
        <f t="shared" si="2"/>
        <v>16437.628591088494</v>
      </c>
      <c r="O24" s="51">
        <f t="shared" si="7"/>
        <v>13710.314872224866</v>
      </c>
      <c r="Q24" s="47">
        <v>7.1740701660306101</v>
      </c>
      <c r="R24" s="28">
        <f t="shared" si="3"/>
        <v>336.80053282035658</v>
      </c>
      <c r="S24" s="51">
        <f t="shared" si="8"/>
        <v>633.04451805258213</v>
      </c>
      <c r="T24" s="32">
        <v>0.33333299999999999</v>
      </c>
      <c r="U24" s="47">
        <v>6.3670915721114678</v>
      </c>
      <c r="V24" s="28">
        <f t="shared" si="4"/>
        <v>56.133422136726111</v>
      </c>
      <c r="W24" s="51">
        <f t="shared" si="9"/>
        <v>93.639368874803139</v>
      </c>
    </row>
    <row r="25" spans="1:23">
      <c r="A25">
        <v>2025</v>
      </c>
      <c r="C25" s="25">
        <v>3.5000000000000003E-2</v>
      </c>
      <c r="D25" s="26">
        <f t="shared" si="10"/>
        <v>0.75941155621625056</v>
      </c>
      <c r="E25" s="27">
        <v>0.91</v>
      </c>
      <c r="F25" s="56">
        <v>29.065343025055924</v>
      </c>
      <c r="G25" s="28">
        <f t="shared" si="0"/>
        <v>756.71035244007714</v>
      </c>
      <c r="H25" s="32">
        <v>0.16666700000000001</v>
      </c>
      <c r="I25" s="51">
        <f t="shared" si="5"/>
        <v>2783.7610130487233</v>
      </c>
      <c r="J25" s="47">
        <v>7.3117051790449183</v>
      </c>
      <c r="K25" s="28">
        <f t="shared" si="1"/>
        <v>2870.7854059292245</v>
      </c>
      <c r="L25" s="51">
        <f t="shared" si="6"/>
        <v>2656.7226671855042</v>
      </c>
      <c r="M25" s="47">
        <v>6.4892446471594818</v>
      </c>
      <c r="N25" s="28">
        <f t="shared" si="2"/>
        <v>16587.211011267402</v>
      </c>
      <c r="O25" s="51">
        <f t="shared" si="7"/>
        <v>13623.676949561095</v>
      </c>
      <c r="Q25" s="47">
        <v>7.3117051790449183</v>
      </c>
      <c r="R25" s="28">
        <f t="shared" si="3"/>
        <v>339.86541766902184</v>
      </c>
      <c r="S25" s="51">
        <f t="shared" si="8"/>
        <v>629.0441969433366</v>
      </c>
      <c r="T25" s="32">
        <v>0.33333299999999999</v>
      </c>
      <c r="U25" s="47">
        <v>6.4892446471594818</v>
      </c>
      <c r="V25" s="28">
        <f t="shared" si="4"/>
        <v>56.644236278170325</v>
      </c>
      <c r="W25" s="51">
        <f t="shared" si="9"/>
        <v>93.047645017658567</v>
      </c>
    </row>
    <row r="26" spans="1:23">
      <c r="A26">
        <v>2026</v>
      </c>
      <c r="C26" s="25">
        <v>3.5000000000000003E-2</v>
      </c>
      <c r="D26" s="26">
        <f t="shared" si="10"/>
        <v>0.73373097218961414</v>
      </c>
      <c r="E26" s="27">
        <v>0.91</v>
      </c>
      <c r="F26" s="56">
        <v>29.62796511634221</v>
      </c>
      <c r="G26" s="28">
        <f t="shared" si="0"/>
        <v>763.5964166472819</v>
      </c>
      <c r="H26" s="32">
        <v>0.16666700000000001</v>
      </c>
      <c r="I26" s="51">
        <f t="shared" si="5"/>
        <v>2766.636972444272</v>
      </c>
      <c r="J26" s="47">
        <v>7.4532389244115818</v>
      </c>
      <c r="K26" s="28">
        <f t="shared" si="1"/>
        <v>2896.9095531231806</v>
      </c>
      <c r="L26" s="51">
        <f t="shared" si="6"/>
        <v>2640.3800908600219</v>
      </c>
      <c r="M26" s="47">
        <v>6.614857903851683</v>
      </c>
      <c r="N26" s="28">
        <f t="shared" si="2"/>
        <v>16738.154631469937</v>
      </c>
      <c r="O26" s="51">
        <f t="shared" si="7"/>
        <v>13539.872199019415</v>
      </c>
      <c r="Q26" s="47">
        <v>7.4532389244115818</v>
      </c>
      <c r="R26" s="28">
        <f t="shared" si="3"/>
        <v>342.95819296981</v>
      </c>
      <c r="S26" s="51">
        <f t="shared" si="8"/>
        <v>625.17469150807847</v>
      </c>
      <c r="T26" s="32">
        <v>0.33333299999999999</v>
      </c>
      <c r="U26" s="47">
        <v>6.614857903851683</v>
      </c>
      <c r="V26" s="28">
        <f t="shared" si="4"/>
        <v>57.159698828301678</v>
      </c>
      <c r="W26" s="51">
        <f t="shared" si="9"/>
        <v>92.475271295933837</v>
      </c>
    </row>
    <row r="27" spans="1:23">
      <c r="A27">
        <v>2027</v>
      </c>
      <c r="C27" s="25">
        <v>3.5000000000000003E-2</v>
      </c>
      <c r="D27" s="26">
        <f t="shared" si="10"/>
        <v>0.70891881370977217</v>
      </c>
      <c r="E27" s="27">
        <v>0.89</v>
      </c>
      <c r="F27" s="56">
        <v>30.206691450720747</v>
      </c>
      <c r="G27" s="28">
        <f t="shared" si="0"/>
        <v>770.39242475544268</v>
      </c>
      <c r="H27" s="32">
        <v>0.16666700000000001</v>
      </c>
      <c r="I27" s="51">
        <f t="shared" si="5"/>
        <v>2749.5478589444278</v>
      </c>
      <c r="J27" s="47">
        <v>7.59882386840063</v>
      </c>
      <c r="K27" s="28">
        <f t="shared" si="1"/>
        <v>2922.6920481459765</v>
      </c>
      <c r="L27" s="51">
        <f t="shared" si="6"/>
        <v>2624.070847723011</v>
      </c>
      <c r="M27" s="47">
        <v>6.7440666582193396</v>
      </c>
      <c r="N27" s="28">
        <f t="shared" si="2"/>
        <v>16887.12420769002</v>
      </c>
      <c r="O27" s="51">
        <f t="shared" si="7"/>
        <v>13456.238381107265</v>
      </c>
      <c r="Q27" s="47">
        <v>7.59882386840063</v>
      </c>
      <c r="R27" s="28">
        <f t="shared" si="3"/>
        <v>346.01052088724128</v>
      </c>
      <c r="S27" s="51">
        <f t="shared" si="8"/>
        <v>621.3130785220518</v>
      </c>
      <c r="T27" s="32">
        <v>0.33333299999999999</v>
      </c>
      <c r="U27" s="47">
        <v>6.7440666582193396</v>
      </c>
      <c r="V27" s="28">
        <f t="shared" si="4"/>
        <v>57.668420147873562</v>
      </c>
      <c r="W27" s="51">
        <f t="shared" si="9"/>
        <v>91.904065018115261</v>
      </c>
    </row>
    <row r="28" spans="1:23">
      <c r="A28">
        <v>2028</v>
      </c>
      <c r="C28" s="25">
        <v>3.5000000000000003E-2</v>
      </c>
      <c r="D28" s="26">
        <f t="shared" si="10"/>
        <v>0.68494571372924851</v>
      </c>
      <c r="E28" s="27">
        <v>0.89</v>
      </c>
      <c r="F28" s="56">
        <v>30.802003134944645</v>
      </c>
      <c r="G28" s="28">
        <f t="shared" si="0"/>
        <v>777.24891733576601</v>
      </c>
      <c r="H28" s="32">
        <v>0.16666700000000001</v>
      </c>
      <c r="I28" s="51">
        <f t="shared" si="5"/>
        <v>2733.0328827262592</v>
      </c>
      <c r="J28" s="47">
        <v>7.7485810386818663</v>
      </c>
      <c r="K28" s="28">
        <f t="shared" si="1"/>
        <v>2948.7040073744756</v>
      </c>
      <c r="L28" s="51">
        <f t="shared" si="6"/>
        <v>2608.3095408216027</v>
      </c>
      <c r="M28" s="47">
        <v>6.8769783240789586</v>
      </c>
      <c r="N28" s="28">
        <f t="shared" si="2"/>
        <v>17037.41961313846</v>
      </c>
      <c r="O28" s="51">
        <f t="shared" si="7"/>
        <v>13375.414380853163</v>
      </c>
      <c r="Q28" s="47">
        <v>7.7485810386818663</v>
      </c>
      <c r="R28" s="28">
        <f t="shared" si="3"/>
        <v>349.09001452313771</v>
      </c>
      <c r="S28" s="51">
        <f t="shared" si="8"/>
        <v>617.58120286749693</v>
      </c>
      <c r="T28" s="32">
        <v>0.33333299999999999</v>
      </c>
      <c r="U28" s="47">
        <v>6.8769783240789586</v>
      </c>
      <c r="V28" s="28">
        <f t="shared" si="4"/>
        <v>58.181669087189633</v>
      </c>
      <c r="W28" s="51">
        <f t="shared" si="9"/>
        <v>91.352049368273157</v>
      </c>
    </row>
    <row r="29" spans="1:23">
      <c r="A29">
        <v>2029</v>
      </c>
      <c r="C29" s="25">
        <v>3.5000000000000003E-2</v>
      </c>
      <c r="D29" s="26">
        <f t="shared" si="10"/>
        <v>0.66178329828912907</v>
      </c>
      <c r="E29" s="27">
        <v>0.89</v>
      </c>
      <c r="F29" s="56">
        <v>31.414399176305807</v>
      </c>
      <c r="G29" s="28">
        <f t="shared" si="0"/>
        <v>784.1664327000542</v>
      </c>
      <c r="H29" s="32">
        <v>0.16666700000000001</v>
      </c>
      <c r="I29" s="51">
        <f t="shared" si="5"/>
        <v>2717.0800044910857</v>
      </c>
      <c r="J29" s="47">
        <v>7.9026359660015624</v>
      </c>
      <c r="K29" s="28">
        <f t="shared" si="1"/>
        <v>2974.947473040108</v>
      </c>
      <c r="L29" s="51">
        <f t="shared" si="6"/>
        <v>2593.0846802766168</v>
      </c>
      <c r="M29" s="47">
        <v>7.0137043117928748</v>
      </c>
      <c r="N29" s="28">
        <f t="shared" si="2"/>
        <v>17189.052647695389</v>
      </c>
      <c r="O29" s="51">
        <f t="shared" si="7"/>
        <v>13297.34127814322</v>
      </c>
      <c r="Q29" s="47">
        <v>7.9026359660015624</v>
      </c>
      <c r="R29" s="28">
        <f t="shared" si="3"/>
        <v>352.19691565239361</v>
      </c>
      <c r="S29" s="51">
        <f t="shared" si="8"/>
        <v>613.9763440339475</v>
      </c>
      <c r="T29" s="32">
        <v>0.33333299999999999</v>
      </c>
      <c r="U29" s="47">
        <v>7.0137043117928748</v>
      </c>
      <c r="V29" s="28">
        <f t="shared" si="4"/>
        <v>58.699485942065614</v>
      </c>
      <c r="W29" s="51">
        <f t="shared" si="9"/>
        <v>90.818821930975773</v>
      </c>
    </row>
    <row r="30" spans="1:23">
      <c r="A30">
        <v>2030</v>
      </c>
      <c r="C30" s="25">
        <v>3.5000000000000003E-2</v>
      </c>
      <c r="D30" s="26">
        <f t="shared" si="10"/>
        <v>0.63940415293635666</v>
      </c>
      <c r="E30" s="27">
        <v>0.89</v>
      </c>
      <c r="F30" s="56">
        <v>32.044259300362327</v>
      </c>
      <c r="G30" s="28">
        <f t="shared" si="0"/>
        <v>791.14551395108458</v>
      </c>
      <c r="H30" s="32">
        <v>0.16666700000000001</v>
      </c>
      <c r="I30" s="51">
        <f t="shared" si="5"/>
        <v>2701.6661293946472</v>
      </c>
      <c r="J30" s="47">
        <v>8.0610841744802251</v>
      </c>
      <c r="K30" s="28">
        <f t="shared" si="1"/>
        <v>3001.4245055501647</v>
      </c>
      <c r="L30" s="51">
        <f t="shared" si="6"/>
        <v>2578.3742251887252</v>
      </c>
      <c r="M30" s="47">
        <v>7.1543294004068123</v>
      </c>
      <c r="N30" s="28">
        <f t="shared" si="2"/>
        <v>17342.035216259876</v>
      </c>
      <c r="O30" s="51">
        <f t="shared" si="7"/>
        <v>13221.906047219862</v>
      </c>
      <c r="Q30" s="47">
        <v>8.0610841744802251</v>
      </c>
      <c r="R30" s="28">
        <f t="shared" si="3"/>
        <v>355.33146820169986</v>
      </c>
      <c r="S30" s="51">
        <f t="shared" si="8"/>
        <v>610.49328329835441</v>
      </c>
      <c r="T30" s="32">
        <v>0.33333299999999999</v>
      </c>
      <c r="U30" s="47">
        <v>7.1543294004068123</v>
      </c>
      <c r="V30" s="28">
        <f t="shared" si="4"/>
        <v>59.221911366949996</v>
      </c>
      <c r="W30" s="51">
        <f t="shared" si="9"/>
        <v>90.30361075746012</v>
      </c>
    </row>
    <row r="31" spans="1:23">
      <c r="A31">
        <v>2031</v>
      </c>
      <c r="C31" s="25">
        <v>3.5000000000000003E-2</v>
      </c>
      <c r="D31" s="26">
        <f t="shared" si="10"/>
        <v>0.61778179027667313</v>
      </c>
      <c r="E31" s="27">
        <v>0.89</v>
      </c>
      <c r="F31" s="56">
        <v>32.691933437571272</v>
      </c>
      <c r="G31" s="28">
        <f t="shared" si="0"/>
        <v>798.18670902524912</v>
      </c>
      <c r="H31" s="32">
        <v>0.16666700000000001</v>
      </c>
      <c r="I31" s="51">
        <f t="shared" si="5"/>
        <v>2686.7658462398863</v>
      </c>
      <c r="J31" s="47">
        <v>8.2240136929545731</v>
      </c>
      <c r="K31" s="28">
        <f t="shared" si="1"/>
        <v>3028.1371836495609</v>
      </c>
      <c r="L31" s="51">
        <f t="shared" si="6"/>
        <v>2564.1539240137404</v>
      </c>
      <c r="M31" s="47">
        <v>7.2989317167931578</v>
      </c>
      <c r="N31" s="28">
        <f t="shared" si="2"/>
        <v>17496.379329684587</v>
      </c>
      <c r="O31" s="51">
        <f t="shared" si="7"/>
        <v>13148.984326136084</v>
      </c>
      <c r="Q31" s="47">
        <v>8.2240136929545731</v>
      </c>
      <c r="R31" s="28">
        <f t="shared" si="3"/>
        <v>358.49391826869498</v>
      </c>
      <c r="S31" s="51">
        <f t="shared" si="8"/>
        <v>607.12627851332468</v>
      </c>
      <c r="T31" s="32">
        <v>0.33333299999999999</v>
      </c>
      <c r="U31" s="47">
        <v>7.2989317167931578</v>
      </c>
      <c r="V31" s="28">
        <f t="shared" si="4"/>
        <v>59.748986378115845</v>
      </c>
      <c r="W31" s="51">
        <f t="shared" si="9"/>
        <v>89.805566474510584</v>
      </c>
    </row>
    <row r="32" spans="1:23">
      <c r="A32">
        <v>2032</v>
      </c>
      <c r="C32" s="25">
        <v>3.5000000000000003E-2</v>
      </c>
      <c r="D32" s="26">
        <f t="shared" si="10"/>
        <v>0.59689061862480497</v>
      </c>
      <c r="E32" s="27">
        <v>0.89</v>
      </c>
      <c r="F32" s="56">
        <v>33.357691434038379</v>
      </c>
      <c r="G32" s="28">
        <f t="shared" si="0"/>
        <v>805.29057073557374</v>
      </c>
      <c r="H32" s="32">
        <v>0.16666700000000001</v>
      </c>
      <c r="I32" s="51">
        <f t="shared" si="5"/>
        <v>2672.3477528504209</v>
      </c>
      <c r="J32" s="47">
        <v>8.3914924041661614</v>
      </c>
      <c r="K32" s="28">
        <f t="shared" si="1"/>
        <v>3055.0876045840419</v>
      </c>
      <c r="L32" s="51">
        <f t="shared" si="6"/>
        <v>2550.3938076295253</v>
      </c>
      <c r="M32" s="47">
        <v>7.4475715078719524</v>
      </c>
      <c r="N32" s="28">
        <f t="shared" si="2"/>
        <v>17652.097105718778</v>
      </c>
      <c r="O32" s="51">
        <f t="shared" si="7"/>
        <v>13078.422433198455</v>
      </c>
      <c r="Q32" s="47">
        <v>8.3914924041661614</v>
      </c>
      <c r="R32" s="28">
        <f t="shared" si="3"/>
        <v>361.68451414128634</v>
      </c>
      <c r="S32" s="51">
        <f t="shared" si="8"/>
        <v>603.8682337547707</v>
      </c>
      <c r="T32" s="32">
        <v>0.33333299999999999</v>
      </c>
      <c r="U32" s="47">
        <v>7.4475715078719524</v>
      </c>
      <c r="V32" s="28">
        <f t="shared" si="4"/>
        <v>60.280752356881074</v>
      </c>
      <c r="W32" s="51">
        <f t="shared" si="9"/>
        <v>89.323639459495325</v>
      </c>
    </row>
    <row r="33" spans="1:23">
      <c r="A33">
        <v>2033</v>
      </c>
      <c r="C33" s="25">
        <v>3.5000000000000003E-2</v>
      </c>
      <c r="D33" s="26">
        <f t="shared" si="10"/>
        <v>0.57670591171478747</v>
      </c>
      <c r="E33" s="27">
        <v>0.89</v>
      </c>
      <c r="F33" s="56">
        <v>34.041707097224808</v>
      </c>
      <c r="G33" s="28">
        <f t="shared" si="0"/>
        <v>812.45765681512023</v>
      </c>
      <c r="H33" s="32">
        <v>0.16666700000000001</v>
      </c>
      <c r="I33" s="51">
        <f t="shared" si="5"/>
        <v>2658.374045101385</v>
      </c>
      <c r="J33" s="47">
        <v>8.5635640312842938</v>
      </c>
      <c r="K33" s="28">
        <f t="shared" si="1"/>
        <v>3082.2778842648395</v>
      </c>
      <c r="L33" s="51">
        <f t="shared" si="6"/>
        <v>2537.0577971216298</v>
      </c>
      <c r="M33" s="47">
        <v>7.6002875785916171</v>
      </c>
      <c r="N33" s="28">
        <f t="shared" si="2"/>
        <v>17809.200769959672</v>
      </c>
      <c r="O33" s="51">
        <f t="shared" si="7"/>
        <v>13010.035355691414</v>
      </c>
      <c r="Q33" s="47">
        <v>8.5635640312842938</v>
      </c>
      <c r="R33" s="28">
        <f t="shared" si="3"/>
        <v>364.90350631714375</v>
      </c>
      <c r="S33" s="51">
        <f t="shared" si="8"/>
        <v>600.71060645554849</v>
      </c>
      <c r="T33" s="32">
        <v>0.33333299999999999</v>
      </c>
      <c r="U33" s="47">
        <v>7.6002875785916171</v>
      </c>
      <c r="V33" s="28">
        <f t="shared" si="4"/>
        <v>60.817251052857308</v>
      </c>
      <c r="W33" s="51">
        <f t="shared" si="9"/>
        <v>88.856566103658352</v>
      </c>
    </row>
    <row r="34" spans="1:23">
      <c r="A34">
        <v>2034</v>
      </c>
      <c r="C34" s="25">
        <v>3.5000000000000003E-2</v>
      </c>
      <c r="D34" s="26">
        <f t="shared" si="10"/>
        <v>0.55720377943457733</v>
      </c>
      <c r="E34" s="27">
        <v>0.89</v>
      </c>
      <c r="F34" s="56">
        <v>34.744002928237698</v>
      </c>
      <c r="G34" s="28">
        <f t="shared" si="0"/>
        <v>819.68852996077476</v>
      </c>
      <c r="H34" s="32">
        <v>0.16666700000000001</v>
      </c>
      <c r="I34" s="51">
        <f t="shared" si="5"/>
        <v>2644.7972377998994</v>
      </c>
      <c r="J34" s="47">
        <v>8.7402342347087636</v>
      </c>
      <c r="K34" s="28">
        <f t="shared" si="1"/>
        <v>3109.7101574347962</v>
      </c>
      <c r="L34" s="51">
        <f t="shared" si="6"/>
        <v>2524.1005743080364</v>
      </c>
      <c r="M34" s="47">
        <v>7.7570849526392625</v>
      </c>
      <c r="N34" s="28">
        <f t="shared" si="2"/>
        <v>17967.702656812311</v>
      </c>
      <c r="O34" s="51">
        <f t="shared" si="7"/>
        <v>12943.59070192449</v>
      </c>
      <c r="Q34" s="47">
        <v>8.7402342347087636</v>
      </c>
      <c r="R34" s="28">
        <f t="shared" si="3"/>
        <v>368.15114752336632</v>
      </c>
      <c r="S34" s="51">
        <f t="shared" si="8"/>
        <v>597.64266642550115</v>
      </c>
      <c r="T34" s="32">
        <v>0.33333299999999999</v>
      </c>
      <c r="U34" s="47">
        <v>7.7570849526392625</v>
      </c>
      <c r="V34" s="28">
        <f t="shared" si="4"/>
        <v>61.358524587227734</v>
      </c>
      <c r="W34" s="51">
        <f t="shared" si="9"/>
        <v>88.40275920703894</v>
      </c>
    </row>
    <row r="35" spans="1:23">
      <c r="A35">
        <v>2035</v>
      </c>
      <c r="C35" s="25">
        <v>3.5000000000000003E-2</v>
      </c>
      <c r="D35" s="26">
        <f t="shared" si="10"/>
        <v>0.53836113955031628</v>
      </c>
      <c r="E35" s="27">
        <v>0.89</v>
      </c>
      <c r="F35" s="56">
        <v>35.464560139069569</v>
      </c>
      <c r="G35" s="28">
        <f t="shared" si="0"/>
        <v>826.98375787742555</v>
      </c>
      <c r="H35" s="32">
        <v>0.16666700000000001</v>
      </c>
      <c r="I35" s="51">
        <f t="shared" si="5"/>
        <v>2631.5697145838449</v>
      </c>
      <c r="J35" s="47">
        <v>8.9214982881106391</v>
      </c>
      <c r="K35" s="28">
        <f t="shared" si="1"/>
        <v>3137.3865778359655</v>
      </c>
      <c r="L35" s="51">
        <f t="shared" si="6"/>
        <v>2511.476695823465</v>
      </c>
      <c r="M35" s="47">
        <v>7.9179594353292488</v>
      </c>
      <c r="N35" s="28">
        <f t="shared" si="2"/>
        <v>18127.615210457938</v>
      </c>
      <c r="O35" s="51">
        <f t="shared" si="7"/>
        <v>12878.855438267288</v>
      </c>
      <c r="Q35" s="47">
        <v>8.9214982881106391</v>
      </c>
      <c r="R35" s="28">
        <f t="shared" si="3"/>
        <v>371.42769273632422</v>
      </c>
      <c r="S35" s="51">
        <f t="shared" si="8"/>
        <v>594.65365383426592</v>
      </c>
      <c r="T35" s="32">
        <v>0.33333299999999999</v>
      </c>
      <c r="U35" s="47">
        <v>7.9179594353292488</v>
      </c>
      <c r="V35" s="28">
        <f t="shared" si="4"/>
        <v>61.904615456054053</v>
      </c>
      <c r="W35" s="51">
        <f t="shared" si="9"/>
        <v>87.960627185324057</v>
      </c>
    </row>
    <row r="36" spans="1:23">
      <c r="A36">
        <v>2036</v>
      </c>
      <c r="C36" s="25">
        <v>3.5000000000000003E-2</v>
      </c>
      <c r="D36" s="26">
        <f t="shared" si="10"/>
        <v>0.520155690386779</v>
      </c>
      <c r="E36" s="27">
        <v>0.89</v>
      </c>
      <c r="F36" s="56">
        <v>36.203335236537853</v>
      </c>
      <c r="G36" s="28">
        <f t="shared" si="0"/>
        <v>834.3439133225346</v>
      </c>
      <c r="H36" s="32">
        <v>0.16666700000000001</v>
      </c>
      <c r="I36" s="51">
        <f t="shared" si="5"/>
        <v>2618.6451764613444</v>
      </c>
      <c r="J36" s="47">
        <v>9.1073452503037799</v>
      </c>
      <c r="K36" s="28">
        <f t="shared" si="1"/>
        <v>3165.3093183787055</v>
      </c>
      <c r="L36" s="51">
        <f t="shared" si="6"/>
        <v>2499.1419755540169</v>
      </c>
      <c r="M36" s="47">
        <v>8.0829013161998091</v>
      </c>
      <c r="N36" s="28">
        <f t="shared" si="2"/>
        <v>18288.950985831012</v>
      </c>
      <c r="O36" s="51">
        <f t="shared" si="7"/>
        <v>12815.602978275974</v>
      </c>
      <c r="Q36" s="47">
        <v>9.1073452503037799</v>
      </c>
      <c r="R36" s="28">
        <f t="shared" si="3"/>
        <v>374.73339920167746</v>
      </c>
      <c r="S36" s="51">
        <f t="shared" si="8"/>
        <v>591.73310653655506</v>
      </c>
      <c r="T36" s="32">
        <v>0.33333299999999999</v>
      </c>
      <c r="U36" s="47">
        <v>8.0829013161998091</v>
      </c>
      <c r="V36" s="28">
        <f t="shared" si="4"/>
        <v>62.455566533612931</v>
      </c>
      <c r="W36" s="51">
        <f t="shared" si="9"/>
        <v>87.528622487506027</v>
      </c>
    </row>
    <row r="37" spans="1:23">
      <c r="A37">
        <v>2037</v>
      </c>
      <c r="C37" s="25">
        <v>3.5000000000000003E-2</v>
      </c>
      <c r="D37" s="26">
        <f t="shared" si="10"/>
        <v>0.50256588443167061</v>
      </c>
      <c r="E37" s="27">
        <v>0.89</v>
      </c>
      <c r="F37" s="56">
        <v>36.960254934683327</v>
      </c>
      <c r="G37" s="28">
        <f t="shared" si="0"/>
        <v>841.76957415110508</v>
      </c>
      <c r="H37" s="32">
        <v>0.16666700000000001</v>
      </c>
      <c r="I37" s="51">
        <f t="shared" si="5"/>
        <v>2605.9783571483486</v>
      </c>
      <c r="J37" s="47">
        <v>9.2977566854029803</v>
      </c>
      <c r="K37" s="28">
        <f t="shared" si="1"/>
        <v>3193.4805713122755</v>
      </c>
      <c r="L37" s="51">
        <f t="shared" si="6"/>
        <v>2487.0532129654775</v>
      </c>
      <c r="M37" s="47">
        <v>8.2518942331347951</v>
      </c>
      <c r="N37" s="28">
        <f t="shared" si="2"/>
        <v>18451.722649604908</v>
      </c>
      <c r="O37" s="51">
        <f t="shared" si="7"/>
        <v>12753.611789560491</v>
      </c>
      <c r="Q37" s="47">
        <v>9.2977566854029803</v>
      </c>
      <c r="R37" s="28">
        <f t="shared" si="3"/>
        <v>378.06852645457235</v>
      </c>
      <c r="S37" s="51">
        <f t="shared" si="8"/>
        <v>588.87079574722372</v>
      </c>
      <c r="T37" s="32">
        <v>0.33333299999999999</v>
      </c>
      <c r="U37" s="47">
        <v>8.2518942331347951</v>
      </c>
      <c r="V37" s="28">
        <f t="shared" si="4"/>
        <v>63.01142107576208</v>
      </c>
      <c r="W37" s="51">
        <f t="shared" si="9"/>
        <v>87.105232080997112</v>
      </c>
    </row>
    <row r="38" spans="1:23">
      <c r="A38">
        <v>2038</v>
      </c>
      <c r="C38" s="25">
        <v>3.5000000000000003E-2</v>
      </c>
      <c r="D38" s="26">
        <f t="shared" si="10"/>
        <v>0.48557090283253201</v>
      </c>
      <c r="E38" s="27">
        <v>0.89</v>
      </c>
      <c r="F38" s="56">
        <v>37.737794180112473</v>
      </c>
      <c r="G38" s="28">
        <f t="shared" si="0"/>
        <v>849.26132336104979</v>
      </c>
      <c r="H38" s="32">
        <v>0.16666700000000001</v>
      </c>
      <c r="I38" s="51">
        <f t="shared" si="5"/>
        <v>2593.7023181812992</v>
      </c>
      <c r="J38" s="47">
        <v>9.4933551933171678</v>
      </c>
      <c r="K38" s="28">
        <f t="shared" si="1"/>
        <v>3221.9025483969544</v>
      </c>
      <c r="L38" s="51">
        <f t="shared" si="6"/>
        <v>2475.3373972635782</v>
      </c>
      <c r="M38" s="47">
        <v>8.4254907526050076</v>
      </c>
      <c r="N38" s="28">
        <f t="shared" si="2"/>
        <v>18615.942981186388</v>
      </c>
      <c r="O38" s="51">
        <f t="shared" si="7"/>
        <v>12693.533072916589</v>
      </c>
      <c r="Q38" s="47">
        <v>9.4933551933171678</v>
      </c>
      <c r="R38" s="28">
        <f t="shared" si="3"/>
        <v>381.433336340018</v>
      </c>
      <c r="S38" s="51">
        <f t="shared" si="8"/>
        <v>586.09678927271841</v>
      </c>
      <c r="T38" s="32">
        <v>0.33333299999999999</v>
      </c>
      <c r="U38" s="47">
        <v>8.4254907526050076</v>
      </c>
      <c r="V38" s="28">
        <f t="shared" si="4"/>
        <v>63.57222272333636</v>
      </c>
      <c r="W38" s="51">
        <f t="shared" si="9"/>
        <v>86.694903568357333</v>
      </c>
    </row>
    <row r="39" spans="1:23">
      <c r="A39">
        <v>2039</v>
      </c>
      <c r="C39" s="25">
        <v>3.5000000000000003E-2</v>
      </c>
      <c r="D39" s="26">
        <f t="shared" si="10"/>
        <v>0.46915063075606961</v>
      </c>
      <c r="E39" s="27">
        <v>0.89</v>
      </c>
      <c r="F39" s="56">
        <v>38.531690652493957</v>
      </c>
      <c r="G39" s="28">
        <f t="shared" si="0"/>
        <v>856.81974913896306</v>
      </c>
      <c r="H39" s="32">
        <v>0.16666700000000001</v>
      </c>
      <c r="I39" s="51">
        <f t="shared" si="5"/>
        <v>2581.4841082182047</v>
      </c>
      <c r="J39" s="47">
        <v>9.6930685407128312</v>
      </c>
      <c r="K39" s="28">
        <f t="shared" si="1"/>
        <v>3250.577481077687</v>
      </c>
      <c r="L39" s="51">
        <f t="shared" si="6"/>
        <v>2463.6767715097039</v>
      </c>
      <c r="M39" s="47">
        <v>8.6027392519383596</v>
      </c>
      <c r="N39" s="28">
        <f t="shared" si="2"/>
        <v>18781.624873718945</v>
      </c>
      <c r="O39" s="51">
        <f t="shared" si="7"/>
        <v>12633.737370390811</v>
      </c>
      <c r="Q39" s="47">
        <v>9.6930685407128312</v>
      </c>
      <c r="R39" s="28">
        <f t="shared" si="3"/>
        <v>384.82809303344413</v>
      </c>
      <c r="S39" s="51">
        <f t="shared" si="8"/>
        <v>583.33585037088972</v>
      </c>
      <c r="T39" s="32">
        <v>0.33333299999999999</v>
      </c>
      <c r="U39" s="47">
        <v>8.6027392519383596</v>
      </c>
      <c r="V39" s="28">
        <f t="shared" si="4"/>
        <v>64.138015505574046</v>
      </c>
      <c r="W39" s="51">
        <f t="shared" si="9"/>
        <v>86.286507999172969</v>
      </c>
    </row>
    <row r="40" spans="1:23">
      <c r="A40">
        <v>2040</v>
      </c>
      <c r="C40" s="25">
        <v>3.5000000000000003E-2</v>
      </c>
      <c r="D40" s="26">
        <f t="shared" si="10"/>
        <v>0.45328563358074364</v>
      </c>
      <c r="E40" s="27">
        <v>0.89</v>
      </c>
      <c r="F40" s="56">
        <v>39.3422884616269</v>
      </c>
      <c r="G40" s="28">
        <f t="shared" si="0"/>
        <v>864.44544490629971</v>
      </c>
      <c r="H40" s="32">
        <v>0.16666700000000001</v>
      </c>
      <c r="I40" s="51">
        <f t="shared" si="5"/>
        <v>2569.3234548427158</v>
      </c>
      <c r="J40" s="47">
        <v>9.8969832921764755</v>
      </c>
      <c r="K40" s="28">
        <f t="shared" si="1"/>
        <v>3279.507620659278</v>
      </c>
      <c r="L40" s="51">
        <f t="shared" si="6"/>
        <v>2452.0710757193669</v>
      </c>
      <c r="M40" s="47">
        <v>8.7837165584638885</v>
      </c>
      <c r="N40" s="28">
        <f t="shared" si="2"/>
        <v>18948.781335095042</v>
      </c>
      <c r="O40" s="51">
        <f t="shared" si="7"/>
        <v>12574.223348782398</v>
      </c>
      <c r="Q40" s="47">
        <v>9.8969832921764755</v>
      </c>
      <c r="R40" s="28">
        <f t="shared" si="3"/>
        <v>388.25306306144176</v>
      </c>
      <c r="S40" s="51">
        <f t="shared" si="8"/>
        <v>580.58791748403883</v>
      </c>
      <c r="T40" s="32">
        <v>0.33333299999999999</v>
      </c>
      <c r="U40" s="47">
        <v>8.7837165584638885</v>
      </c>
      <c r="V40" s="28">
        <f t="shared" si="4"/>
        <v>64.708843843573646</v>
      </c>
      <c r="W40" s="51">
        <f t="shared" si="9"/>
        <v>85.880036267885217</v>
      </c>
    </row>
    <row r="41" spans="1:23">
      <c r="A41">
        <v>2041</v>
      </c>
      <c r="C41" s="25">
        <v>3.5000000000000003E-2</v>
      </c>
      <c r="D41" s="26">
        <f t="shared" si="10"/>
        <v>0.43795713389443836</v>
      </c>
      <c r="E41" s="27">
        <v>0.89</v>
      </c>
      <c r="F41" s="56">
        <v>40.169938956407542</v>
      </c>
      <c r="G41" s="28">
        <f t="shared" si="0"/>
        <v>872.13900936596565</v>
      </c>
      <c r="H41" s="32">
        <v>0.16666700000000001</v>
      </c>
      <c r="I41" s="51">
        <f t="shared" si="5"/>
        <v>2557.2200869217654</v>
      </c>
      <c r="J41" s="47">
        <v>10.105187833368712</v>
      </c>
      <c r="K41" s="28">
        <f t="shared" si="1"/>
        <v>3308.6952384831452</v>
      </c>
      <c r="L41" s="51">
        <f t="shared" si="6"/>
        <v>2440.5200511327912</v>
      </c>
      <c r="M41" s="47">
        <v>8.9685011157403753</v>
      </c>
      <c r="N41" s="28">
        <f t="shared" si="2"/>
        <v>19117.425488977387</v>
      </c>
      <c r="O41" s="51">
        <f t="shared" si="7"/>
        <v>12514.989681170922</v>
      </c>
      <c r="Q41" s="47">
        <v>10.105187833368712</v>
      </c>
      <c r="R41" s="28">
        <f t="shared" si="3"/>
        <v>391.70851532268858</v>
      </c>
      <c r="S41" s="51">
        <f t="shared" si="8"/>
        <v>577.85292934444783</v>
      </c>
      <c r="T41" s="32">
        <v>0.33333299999999999</v>
      </c>
      <c r="U41" s="47">
        <v>8.9685011157403753</v>
      </c>
      <c r="V41" s="28">
        <f t="shared" si="4"/>
        <v>65.284752553781445</v>
      </c>
      <c r="W41" s="51">
        <f t="shared" si="9"/>
        <v>85.475479311829076</v>
      </c>
    </row>
    <row r="42" spans="1:23">
      <c r="A42">
        <v>2042</v>
      </c>
      <c r="C42" s="25">
        <v>3.5000000000000003E-2</v>
      </c>
      <c r="D42" s="26">
        <f t="shared" si="10"/>
        <v>0.42314698926998878</v>
      </c>
      <c r="E42" s="27">
        <v>0.89</v>
      </c>
      <c r="F42" s="56">
        <v>41.022260631713401</v>
      </c>
      <c r="G42" s="28">
        <f t="shared" si="0"/>
        <v>879.9010465493227</v>
      </c>
      <c r="H42" s="32">
        <v>0.16666700000000001</v>
      </c>
      <c r="I42" s="51">
        <f t="shared" si="5"/>
        <v>2545.6242365211851</v>
      </c>
      <c r="J42" s="47">
        <v>10.319598680065885</v>
      </c>
      <c r="K42" s="28">
        <f t="shared" si="1"/>
        <v>3338.1426261056449</v>
      </c>
      <c r="L42" s="51">
        <f t="shared" si="6"/>
        <v>2429.4533832471111</v>
      </c>
      <c r="M42" s="47">
        <v>9.158793859382472</v>
      </c>
      <c r="N42" s="28">
        <f t="shared" si="2"/>
        <v>19287.570575829286</v>
      </c>
      <c r="O42" s="51">
        <f t="shared" si="7"/>
        <v>12458.239795289046</v>
      </c>
      <c r="Q42" s="47">
        <v>10.319598680065885</v>
      </c>
      <c r="R42" s="28">
        <f t="shared" si="3"/>
        <v>395.19472110906048</v>
      </c>
      <c r="S42" s="51">
        <f t="shared" si="8"/>
        <v>575.23262452341021</v>
      </c>
      <c r="T42" s="32">
        <v>0.33333299999999999</v>
      </c>
      <c r="U42" s="47">
        <v>9.158793859382472</v>
      </c>
      <c r="V42" s="28">
        <f t="shared" si="4"/>
        <v>65.865786851510094</v>
      </c>
      <c r="W42" s="51">
        <f t="shared" si="9"/>
        <v>85.087886207861658</v>
      </c>
    </row>
    <row r="43" spans="1:23">
      <c r="A43">
        <v>2043</v>
      </c>
      <c r="C43" s="25">
        <v>3.5000000000000003E-2</v>
      </c>
      <c r="D43" s="26">
        <f t="shared" si="10"/>
        <v>0.40883767079225974</v>
      </c>
      <c r="E43" s="27">
        <v>0.89</v>
      </c>
      <c r="F43" s="56">
        <v>41.892666781555924</v>
      </c>
      <c r="G43" s="28">
        <f t="shared" si="0"/>
        <v>887.73216586361161</v>
      </c>
      <c r="H43" s="32">
        <v>0.16666700000000001</v>
      </c>
      <c r="I43" s="51">
        <f t="shared" si="5"/>
        <v>2534.0809681205678</v>
      </c>
      <c r="J43" s="47">
        <v>10.538558874280346</v>
      </c>
      <c r="K43" s="28">
        <f t="shared" si="1"/>
        <v>3367.8520954779847</v>
      </c>
      <c r="L43" s="51">
        <f t="shared" si="6"/>
        <v>2418.4368977551544</v>
      </c>
      <c r="M43" s="47">
        <v>9.3531242150865541</v>
      </c>
      <c r="N43" s="28">
        <f t="shared" si="2"/>
        <v>19459.229953954164</v>
      </c>
      <c r="O43" s="51">
        <f t="shared" si="7"/>
        <v>12401.74724478096</v>
      </c>
      <c r="Q43" s="47">
        <v>10.538558874280346</v>
      </c>
      <c r="R43" s="28">
        <f t="shared" si="3"/>
        <v>398.71195412693106</v>
      </c>
      <c r="S43" s="51">
        <f t="shared" si="8"/>
        <v>572.62420161385319</v>
      </c>
      <c r="T43" s="32">
        <v>0.33333299999999999</v>
      </c>
      <c r="U43" s="47">
        <v>9.3531242150865541</v>
      </c>
      <c r="V43" s="28">
        <f t="shared" si="4"/>
        <v>66.451992354488524</v>
      </c>
      <c r="W43" s="51">
        <f t="shared" si="9"/>
        <v>84.702050665424821</v>
      </c>
    </row>
    <row r="44" spans="1:23">
      <c r="A44">
        <v>2044</v>
      </c>
      <c r="C44" s="25">
        <v>3.5000000000000003E-2</v>
      </c>
      <c r="D44" s="26">
        <f t="shared" si="10"/>
        <v>0.39501224231136212</v>
      </c>
      <c r="E44" s="27">
        <v>0.89</v>
      </c>
      <c r="F44" s="56">
        <v>42.781541120474728</v>
      </c>
      <c r="G44" s="28">
        <f t="shared" si="0"/>
        <v>895.63298213979772</v>
      </c>
      <c r="H44" s="32">
        <v>0.16666700000000001</v>
      </c>
      <c r="I44" s="51">
        <f t="shared" si="5"/>
        <v>2522.5900432840372</v>
      </c>
      <c r="J44" s="47">
        <v>10.762164943604562</v>
      </c>
      <c r="K44" s="28">
        <f t="shared" si="1"/>
        <v>3397.8259791277383</v>
      </c>
      <c r="L44" s="51">
        <f t="shared" si="6"/>
        <v>2407.4703671021866</v>
      </c>
      <c r="M44" s="47">
        <v>9.5515778524943027</v>
      </c>
      <c r="N44" s="28">
        <f t="shared" si="2"/>
        <v>19632.417100544353</v>
      </c>
      <c r="O44" s="51">
        <f t="shared" si="7"/>
        <v>12345.510862745732</v>
      </c>
      <c r="Q44" s="47">
        <v>10.762164943604562</v>
      </c>
      <c r="R44" s="28">
        <f t="shared" si="3"/>
        <v>402.26049051866073</v>
      </c>
      <c r="S44" s="51">
        <f t="shared" si="8"/>
        <v>570.02760673661726</v>
      </c>
      <c r="T44" s="32">
        <v>0.33333299999999999</v>
      </c>
      <c r="U44" s="47">
        <v>9.5515778524943027</v>
      </c>
      <c r="V44" s="28">
        <f t="shared" si="4"/>
        <v>67.04341508644346</v>
      </c>
      <c r="W44" s="51">
        <f t="shared" si="9"/>
        <v>84.317964714762283</v>
      </c>
    </row>
    <row r="45" spans="1:23">
      <c r="A45">
        <v>2045</v>
      </c>
      <c r="C45" s="25">
        <v>3.5000000000000003E-2</v>
      </c>
      <c r="D45" s="26">
        <f t="shared" si="10"/>
        <v>0.38165434039745133</v>
      </c>
      <c r="E45" s="27">
        <v>0.89</v>
      </c>
      <c r="F45" s="56">
        <v>43.689275504625542</v>
      </c>
      <c r="G45" s="28">
        <f t="shared" si="0"/>
        <v>903.6041156808418</v>
      </c>
      <c r="H45" s="32">
        <v>0.16666700000000001</v>
      </c>
      <c r="I45" s="51">
        <f t="shared" si="5"/>
        <v>2511.1512246569228</v>
      </c>
      <c r="J45" s="47">
        <v>10.990515463743648</v>
      </c>
      <c r="K45" s="28">
        <f t="shared" si="1"/>
        <v>3428.0666303419748</v>
      </c>
      <c r="L45" s="51">
        <f t="shared" si="6"/>
        <v>2396.5535647653369</v>
      </c>
      <c r="M45" s="47">
        <v>9.7542422589771434</v>
      </c>
      <c r="N45" s="28">
        <f t="shared" si="2"/>
        <v>19807.145612739198</v>
      </c>
      <c r="O45" s="51">
        <f t="shared" si="7"/>
        <v>12289.529487573815</v>
      </c>
      <c r="Q45" s="47">
        <v>10.990515463743648</v>
      </c>
      <c r="R45" s="28">
        <f t="shared" si="3"/>
        <v>405.84060888427678</v>
      </c>
      <c r="S45" s="51">
        <f t="shared" si="8"/>
        <v>567.44278625686127</v>
      </c>
      <c r="T45" s="32">
        <v>0.33333299999999999</v>
      </c>
      <c r="U45" s="47">
        <v>9.7542422589771434</v>
      </c>
      <c r="V45" s="28">
        <f t="shared" si="4"/>
        <v>67.640101480712801</v>
      </c>
      <c r="W45" s="51">
        <f t="shared" si="9"/>
        <v>83.935620422257244</v>
      </c>
    </row>
    <row r="46" spans="1:23">
      <c r="A46">
        <v>2046</v>
      </c>
      <c r="C46" s="25">
        <v>3.5000000000000003E-2</v>
      </c>
      <c r="D46" s="26">
        <f t="shared" si="10"/>
        <v>0.36874815497338298</v>
      </c>
      <c r="E46" s="27">
        <v>0.89</v>
      </c>
      <c r="F46" s="56">
        <v>44.616270104528006</v>
      </c>
      <c r="G46" s="28">
        <f t="shared" si="0"/>
        <v>911.64619231040126</v>
      </c>
      <c r="H46" s="32">
        <v>0.16666700000000001</v>
      </c>
      <c r="I46" s="51">
        <f t="shared" si="5"/>
        <v>2499.7642759608461</v>
      </c>
      <c r="J46" s="47">
        <v>11.223711101971992</v>
      </c>
      <c r="K46" s="28">
        <f t="shared" si="1"/>
        <v>3458.5764233520181</v>
      </c>
      <c r="L46" s="51">
        <f t="shared" si="6"/>
        <v>2385.6862652489131</v>
      </c>
      <c r="M46" s="47">
        <v>9.9612067782046374</v>
      </c>
      <c r="N46" s="28">
        <f t="shared" si="2"/>
        <v>19983.429208692574</v>
      </c>
      <c r="O46" s="51">
        <f t="shared" si="7"/>
        <v>12233.801962923029</v>
      </c>
      <c r="Q46" s="47">
        <v>11.223711101971992</v>
      </c>
      <c r="R46" s="28">
        <f t="shared" si="3"/>
        <v>409.45259030334682</v>
      </c>
      <c r="S46" s="51">
        <f t="shared" si="8"/>
        <v>564.86968678295455</v>
      </c>
      <c r="T46" s="32">
        <v>0.33333299999999999</v>
      </c>
      <c r="U46" s="47">
        <v>9.9612067782046374</v>
      </c>
      <c r="V46" s="28">
        <f t="shared" si="4"/>
        <v>68.242098383891133</v>
      </c>
      <c r="W46" s="51">
        <f t="shared" si="9"/>
        <v>83.555009890268209</v>
      </c>
    </row>
    <row r="47" spans="1:23">
      <c r="A47" s="30">
        <v>2047</v>
      </c>
      <c r="B47" s="30"/>
      <c r="C47" s="25">
        <v>3.5000000000000003E-2</v>
      </c>
      <c r="D47" s="26">
        <f t="shared" si="10"/>
        <v>0.35627841060230242</v>
      </c>
      <c r="E47" s="27">
        <v>0.89</v>
      </c>
      <c r="F47" s="56">
        <v>45.575725523018882</v>
      </c>
      <c r="G47" s="28">
        <f t="shared" si="0"/>
        <v>919.75984342196375</v>
      </c>
      <c r="H47" s="32">
        <v>0.16666700000000001</v>
      </c>
      <c r="I47" s="51">
        <f t="shared" si="5"/>
        <v>2489.1275964995198</v>
      </c>
      <c r="J47" s="52">
        <v>11.465072614423258</v>
      </c>
      <c r="K47" s="28">
        <f t="shared" si="1"/>
        <v>3489.3577535198506</v>
      </c>
      <c r="L47" s="51">
        <f t="shared" si="6"/>
        <v>2375.5349960501444</v>
      </c>
      <c r="M47" s="52">
        <v>10.175418629524019</v>
      </c>
      <c r="N47" s="28">
        <f t="shared" si="2"/>
        <v>20161.281728649938</v>
      </c>
      <c r="O47" s="51">
        <f t="shared" si="7"/>
        <v>12181.74624257998</v>
      </c>
      <c r="Q47" s="52">
        <v>11.465072614423258</v>
      </c>
      <c r="R47" s="28">
        <f t="shared" si="3"/>
        <v>413.0967183570466</v>
      </c>
      <c r="S47" s="51">
        <f t="shared" si="8"/>
        <v>562.46612503374888</v>
      </c>
      <c r="T47" s="32">
        <v>0.33333299999999999</v>
      </c>
      <c r="U47" s="52">
        <v>10.175418629524019</v>
      </c>
      <c r="V47" s="28">
        <f t="shared" si="4"/>
        <v>68.849453059507752</v>
      </c>
      <c r="W47" s="51">
        <f t="shared" si="9"/>
        <v>83.199477224193458</v>
      </c>
    </row>
    <row r="48" spans="1:23">
      <c r="A48">
        <v>2048</v>
      </c>
      <c r="C48" s="25">
        <v>0.03</v>
      </c>
      <c r="D48" s="26">
        <f>D47/1.03</f>
        <v>0.34590136951679845</v>
      </c>
      <c r="E48" s="27">
        <v>0.89</v>
      </c>
      <c r="F48" s="56">
        <v>46.555813654596584</v>
      </c>
      <c r="G48" s="28">
        <f t="shared" si="0"/>
        <v>927.94570602841918</v>
      </c>
      <c r="H48" s="32">
        <v>0.16666700000000001</v>
      </c>
      <c r="I48" s="51">
        <f t="shared" si="5"/>
        <v>2490.5679058997193</v>
      </c>
      <c r="J48" s="47">
        <v>11.711624511691413</v>
      </c>
      <c r="K48" s="28">
        <f t="shared" si="1"/>
        <v>3520.413037526177</v>
      </c>
      <c r="L48" s="51">
        <f t="shared" si="6"/>
        <v>2376.9095762002853</v>
      </c>
      <c r="M48" s="47">
        <v>10.394237022828458</v>
      </c>
      <c r="N48" s="28">
        <f t="shared" si="2"/>
        <v>20340.71713603492</v>
      </c>
      <c r="O48" s="51">
        <f t="shared" si="7"/>
        <v>12188.795091200158</v>
      </c>
      <c r="Q48" s="47">
        <v>11.711624511691413</v>
      </c>
      <c r="R48" s="28">
        <f t="shared" si="3"/>
        <v>416.77327915042429</v>
      </c>
      <c r="S48" s="51">
        <f t="shared" si="8"/>
        <v>562.79159056967376</v>
      </c>
      <c r="T48" s="32">
        <v>0.33333299999999999</v>
      </c>
      <c r="U48" s="47">
        <v>10.394237022828458</v>
      </c>
      <c r="V48" s="28">
        <f t="shared" si="4"/>
        <v>69.462213191737362</v>
      </c>
      <c r="W48" s="51">
        <f t="shared" si="9"/>
        <v>83.247619790008969</v>
      </c>
    </row>
    <row r="49" spans="1:23">
      <c r="A49">
        <v>2049</v>
      </c>
      <c r="C49" s="25">
        <v>0.03</v>
      </c>
      <c r="D49" s="26">
        <f t="shared" ref="D49:D77" si="11">D48/1.03</f>
        <v>0.33582657234640628</v>
      </c>
      <c r="E49" s="27">
        <v>0.89</v>
      </c>
      <c r="F49" s="56">
        <v>47.556978197677047</v>
      </c>
      <c r="G49" s="28">
        <f t="shared" si="0"/>
        <v>936.20442281207204</v>
      </c>
      <c r="H49" s="32">
        <v>0.16666700000000001</v>
      </c>
      <c r="I49" s="51">
        <f t="shared" ref="I49:I77" si="12">D49*F49*G49*H49</f>
        <v>2492.0090487209031</v>
      </c>
      <c r="J49" s="47">
        <v>11.963478410969572</v>
      </c>
      <c r="K49" s="28">
        <f t="shared" si="1"/>
        <v>3551.7447135601597</v>
      </c>
      <c r="L49" s="51">
        <f t="shared" ref="L49:L77" si="13">D49*J49*K49*H49</f>
        <v>2378.2849517378199</v>
      </c>
      <c r="M49" s="47">
        <v>10.617761019999598</v>
      </c>
      <c r="N49" s="28">
        <f t="shared" si="2"/>
        <v>20521.749518545628</v>
      </c>
      <c r="O49" s="51">
        <f t="shared" ref="O49:O77" si="14">D49*M49*N49*H49</f>
        <v>12195.848018567831</v>
      </c>
      <c r="Q49" s="47">
        <v>11.963478410969572</v>
      </c>
      <c r="R49" s="28">
        <f t="shared" si="3"/>
        <v>420.48256133486302</v>
      </c>
      <c r="S49" s="51">
        <f t="shared" si="8"/>
        <v>563.11724443305604</v>
      </c>
      <c r="T49" s="32">
        <v>0.33333299999999999</v>
      </c>
      <c r="U49" s="47">
        <v>10.617761019999598</v>
      </c>
      <c r="V49" s="28">
        <f t="shared" si="4"/>
        <v>70.080426889143823</v>
      </c>
      <c r="W49" s="51">
        <f t="shared" si="9"/>
        <v>83.295790213050566</v>
      </c>
    </row>
    <row r="50" spans="1:23">
      <c r="A50">
        <v>2050</v>
      </c>
      <c r="C50" s="25">
        <v>0.03</v>
      </c>
      <c r="D50" s="26">
        <f t="shared" si="11"/>
        <v>0.32604521587029733</v>
      </c>
      <c r="E50" s="27">
        <v>0.89</v>
      </c>
      <c r="F50" s="56">
        <v>48.579672392236859</v>
      </c>
      <c r="G50" s="28">
        <f t="shared" si="0"/>
        <v>944.53664217509936</v>
      </c>
      <c r="H50" s="32">
        <v>0.16666700000000001</v>
      </c>
      <c r="I50" s="51">
        <f t="shared" si="12"/>
        <v>2493.4510254453194</v>
      </c>
      <c r="J50" s="47">
        <v>12.220748329734885</v>
      </c>
      <c r="K50" s="28">
        <f t="shared" si="1"/>
        <v>3583.3552415108447</v>
      </c>
      <c r="L50" s="51">
        <f t="shared" si="13"/>
        <v>2379.6611231229904</v>
      </c>
      <c r="M50" s="47">
        <v>10.846091813206039</v>
      </c>
      <c r="N50" s="28">
        <f t="shared" si="2"/>
        <v>20704.393089260684</v>
      </c>
      <c r="O50" s="51">
        <f t="shared" si="14"/>
        <v>12202.905027043109</v>
      </c>
      <c r="Q50" s="47">
        <v>12.220748329734885</v>
      </c>
      <c r="R50" s="28">
        <f t="shared" si="3"/>
        <v>424.22485613074326</v>
      </c>
      <c r="S50" s="51">
        <f t="shared" si="8"/>
        <v>563.44308673286889</v>
      </c>
      <c r="T50" s="32">
        <v>0.33333299999999999</v>
      </c>
      <c r="U50" s="47">
        <v>10.846091813206039</v>
      </c>
      <c r="V50" s="28">
        <f t="shared" si="4"/>
        <v>70.704142688457196</v>
      </c>
      <c r="W50" s="51">
        <f t="shared" si="9"/>
        <v>83.34398850943748</v>
      </c>
    </row>
    <row r="51" spans="1:23">
      <c r="A51">
        <v>2051</v>
      </c>
      <c r="C51" s="25">
        <v>0.03</v>
      </c>
      <c r="D51" s="26">
        <f t="shared" si="11"/>
        <v>0.31654875327213333</v>
      </c>
      <c r="E51" s="27">
        <v>0.89</v>
      </c>
      <c r="F51" s="56">
        <v>49.624359225000887</v>
      </c>
      <c r="G51" s="28">
        <f t="shared" si="0"/>
        <v>952.94301829045764</v>
      </c>
      <c r="H51" s="32">
        <v>0.16666700000000001</v>
      </c>
      <c r="I51" s="51">
        <f t="shared" si="12"/>
        <v>2494.8938365555009</v>
      </c>
      <c r="J51" s="47">
        <v>12.48355073736572</v>
      </c>
      <c r="K51" s="28">
        <f t="shared" si="1"/>
        <v>3615.2471031602909</v>
      </c>
      <c r="L51" s="51">
        <f t="shared" si="13"/>
        <v>2381.0380908163088</v>
      </c>
      <c r="M51" s="47">
        <v>11.079332770714364</v>
      </c>
      <c r="N51" s="28">
        <f t="shared" si="2"/>
        <v>20888.662187755101</v>
      </c>
      <c r="O51" s="51">
        <f t="shared" si="14"/>
        <v>12209.966118987501</v>
      </c>
      <c r="Q51" s="47">
        <v>12.48355073736572</v>
      </c>
      <c r="R51" s="28">
        <f t="shared" si="3"/>
        <v>428.00045735030682</v>
      </c>
      <c r="S51" s="51">
        <f t="shared" si="8"/>
        <v>563.76911757815014</v>
      </c>
      <c r="T51" s="32">
        <v>0.33333299999999999</v>
      </c>
      <c r="U51" s="47">
        <v>11.079332770714364</v>
      </c>
      <c r="V51" s="28">
        <f t="shared" si="4"/>
        <v>71.33340955838446</v>
      </c>
      <c r="W51" s="51">
        <f t="shared" si="9"/>
        <v>83.392214695298421</v>
      </c>
    </row>
    <row r="52" spans="1:23">
      <c r="A52">
        <v>2052</v>
      </c>
      <c r="C52" s="25">
        <v>0.03</v>
      </c>
      <c r="D52" s="26">
        <f t="shared" si="11"/>
        <v>0.30732888667197411</v>
      </c>
      <c r="E52" s="27">
        <v>0.89</v>
      </c>
      <c r="F52" s="56">
        <v>50.709223936427989</v>
      </c>
      <c r="G52" s="28">
        <f t="shared" si="0"/>
        <v>961.4242111532426</v>
      </c>
      <c r="H52" s="32">
        <v>0.16666700000000001</v>
      </c>
      <c r="I52" s="51">
        <f t="shared" si="12"/>
        <v>2497.2097364962374</v>
      </c>
      <c r="J52" s="47">
        <v>12.756460330150039</v>
      </c>
      <c r="K52" s="28">
        <f t="shared" si="1"/>
        <v>3647.4228023784171</v>
      </c>
      <c r="L52" s="51">
        <f t="shared" si="13"/>
        <v>2383.248303488534</v>
      </c>
      <c r="M52" s="47">
        <v>11.321544001989071</v>
      </c>
      <c r="N52" s="28">
        <f t="shared" si="2"/>
        <v>21074.571281226119</v>
      </c>
      <c r="O52" s="51">
        <f t="shared" si="14"/>
        <v>12221.300092159841</v>
      </c>
      <c r="Q52" s="47">
        <v>12.756460330150039</v>
      </c>
      <c r="R52" s="28">
        <f t="shared" si="3"/>
        <v>431.80966142072452</v>
      </c>
      <c r="S52" s="51">
        <f t="shared" si="8"/>
        <v>564.29243959163944</v>
      </c>
      <c r="T52" s="32">
        <v>0.33333299999999999</v>
      </c>
      <c r="U52" s="47">
        <v>11.321544001989071</v>
      </c>
      <c r="V52" s="28">
        <f t="shared" si="4"/>
        <v>71.968276903454068</v>
      </c>
      <c r="W52" s="51">
        <f t="shared" si="9"/>
        <v>83.46962401117429</v>
      </c>
    </row>
    <row r="53" spans="1:23">
      <c r="A53">
        <v>2053</v>
      </c>
      <c r="C53" s="25">
        <v>0.03</v>
      </c>
      <c r="D53" s="26">
        <f t="shared" si="11"/>
        <v>0.29837755987570302</v>
      </c>
      <c r="E53" s="27">
        <v>0.89</v>
      </c>
      <c r="F53" s="56">
        <v>51.817805456706225</v>
      </c>
      <c r="G53" s="28">
        <f t="shared" si="0"/>
        <v>969.98088663250633</v>
      </c>
      <c r="H53" s="32">
        <v>0.16666700000000001</v>
      </c>
      <c r="I53" s="51">
        <f t="shared" si="12"/>
        <v>2499.5277861847726</v>
      </c>
      <c r="J53" s="47">
        <v>13.035336145798402</v>
      </c>
      <c r="K53" s="28">
        <f t="shared" si="1"/>
        <v>3679.8848653195846</v>
      </c>
      <c r="L53" s="51">
        <f t="shared" si="13"/>
        <v>2385.4605678037283</v>
      </c>
      <c r="M53" s="47">
        <v>11.569050342795165</v>
      </c>
      <c r="N53" s="28">
        <f t="shared" si="2"/>
        <v>21262.134965629029</v>
      </c>
      <c r="O53" s="51">
        <f t="shared" si="14"/>
        <v>12232.644586159728</v>
      </c>
      <c r="Q53" s="47">
        <v>13.035336145798402</v>
      </c>
      <c r="R53" s="28">
        <f t="shared" si="3"/>
        <v>435.65276740736891</v>
      </c>
      <c r="S53" s="51">
        <f t="shared" si="8"/>
        <v>564.81624738187895</v>
      </c>
      <c r="T53" s="32">
        <v>0.33333299999999999</v>
      </c>
      <c r="U53" s="47">
        <v>11.569050342795165</v>
      </c>
      <c r="V53" s="28">
        <f t="shared" si="4"/>
        <v>72.608794567894805</v>
      </c>
      <c r="W53" s="51">
        <f t="shared" si="9"/>
        <v>83.547105182704883</v>
      </c>
    </row>
    <row r="54" spans="1:23">
      <c r="A54">
        <v>2054</v>
      </c>
      <c r="C54" s="25">
        <v>0.03</v>
      </c>
      <c r="D54" s="26">
        <f t="shared" si="11"/>
        <v>0.28968695133563399</v>
      </c>
      <c r="E54" s="27">
        <v>0.89</v>
      </c>
      <c r="F54" s="56">
        <v>52.950622271704084</v>
      </c>
      <c r="G54" s="28">
        <f t="shared" si="0"/>
        <v>978.61371652353557</v>
      </c>
      <c r="H54" s="32">
        <v>0.16666700000000001</v>
      </c>
      <c r="I54" s="51">
        <f t="shared" si="12"/>
        <v>2501.8479876166248</v>
      </c>
      <c r="J54" s="47">
        <v>13.320308615106221</v>
      </c>
      <c r="K54" s="28">
        <f t="shared" si="1"/>
        <v>3712.6358406209288</v>
      </c>
      <c r="L54" s="51">
        <f t="shared" si="13"/>
        <v>2387.6748856663398</v>
      </c>
      <c r="M54" s="47">
        <v>11.821967552359835</v>
      </c>
      <c r="N54" s="28">
        <f t="shared" si="2"/>
        <v>21451.367966823127</v>
      </c>
      <c r="O54" s="51">
        <f t="shared" si="14"/>
        <v>12243.999610753179</v>
      </c>
      <c r="Q54" s="47">
        <v>13.320308615106221</v>
      </c>
      <c r="R54" s="28">
        <f t="shared" si="3"/>
        <v>439.53007703729446</v>
      </c>
      <c r="S54" s="51">
        <f t="shared" si="8"/>
        <v>565.34054139979366</v>
      </c>
      <c r="T54" s="32">
        <v>0.33333299999999999</v>
      </c>
      <c r="U54" s="47">
        <v>11.821967552359835</v>
      </c>
      <c r="V54" s="28">
        <f t="shared" si="4"/>
        <v>73.255012839549067</v>
      </c>
      <c r="W54" s="51">
        <f t="shared" si="9"/>
        <v>83.624658276590608</v>
      </c>
    </row>
    <row r="55" spans="1:23">
      <c r="A55">
        <v>2055</v>
      </c>
      <c r="C55" s="25">
        <v>0.03</v>
      </c>
      <c r="D55" s="26">
        <f t="shared" si="11"/>
        <v>0.28124946731614953</v>
      </c>
      <c r="E55" s="27">
        <v>0.89</v>
      </c>
      <c r="F55" s="56">
        <v>54.108204202187473</v>
      </c>
      <c r="G55" s="28">
        <f t="shared" si="0"/>
        <v>987.32337860059499</v>
      </c>
      <c r="H55" s="32">
        <v>0.16666700000000001</v>
      </c>
      <c r="I55" s="51">
        <f t="shared" si="12"/>
        <v>2504.1703427891612</v>
      </c>
      <c r="J55" s="47">
        <v>13.611511020286434</v>
      </c>
      <c r="K55" s="28">
        <f t="shared" si="1"/>
        <v>3745.6782996024549</v>
      </c>
      <c r="L55" s="51">
        <f t="shared" si="13"/>
        <v>2389.8912589825882</v>
      </c>
      <c r="M55" s="47">
        <v>12.080413920584778</v>
      </c>
      <c r="N55" s="28">
        <f t="shared" si="2"/>
        <v>21642.285141727851</v>
      </c>
      <c r="O55" s="51">
        <f t="shared" si="14"/>
        <v>12255.365175715282</v>
      </c>
      <c r="Q55" s="47">
        <v>13.611511020286434</v>
      </c>
      <c r="R55" s="28">
        <f t="shared" si="3"/>
        <v>443.44189472292635</v>
      </c>
      <c r="S55" s="51">
        <f t="shared" si="8"/>
        <v>565.86532209672771</v>
      </c>
      <c r="T55" s="32">
        <v>0.33333299999999999</v>
      </c>
      <c r="U55" s="47">
        <v>12.080413920584778</v>
      </c>
      <c r="V55" s="28">
        <f t="shared" si="4"/>
        <v>73.906982453821044</v>
      </c>
      <c r="W55" s="51">
        <f t="shared" si="9"/>
        <v>83.702283359593849</v>
      </c>
    </row>
    <row r="56" spans="1:23">
      <c r="A56">
        <v>2056</v>
      </c>
      <c r="C56" s="25">
        <v>0.03</v>
      </c>
      <c r="D56" s="26">
        <f t="shared" si="11"/>
        <v>0.2730577352583976</v>
      </c>
      <c r="E56" s="27">
        <v>0.89</v>
      </c>
      <c r="F56" s="56">
        <v>55.291092651617994</v>
      </c>
      <c r="G56" s="28">
        <f t="shared" si="0"/>
        <v>996.11055667014023</v>
      </c>
      <c r="H56" s="32">
        <v>0.16666700000000001</v>
      </c>
      <c r="I56" s="51">
        <f t="shared" si="12"/>
        <v>2506.4948537016039</v>
      </c>
      <c r="J56" s="47">
        <v>13.909079557305857</v>
      </c>
      <c r="K56" s="28">
        <f t="shared" si="1"/>
        <v>3779.0148364689162</v>
      </c>
      <c r="L56" s="51">
        <f t="shared" si="13"/>
        <v>2392.1096896604581</v>
      </c>
      <c r="M56" s="47">
        <v>12.344510323370619</v>
      </c>
      <c r="N56" s="28">
        <f t="shared" si="2"/>
        <v>21834.901479489228</v>
      </c>
      <c r="O56" s="51">
        <f t="shared" si="14"/>
        <v>12266.741290830192</v>
      </c>
      <c r="Q56" s="47">
        <v>13.909079557305857</v>
      </c>
      <c r="R56" s="28">
        <f t="shared" si="3"/>
        <v>447.38852758596033</v>
      </c>
      <c r="S56" s="51">
        <f t="shared" si="8"/>
        <v>566.39058992444325</v>
      </c>
      <c r="T56" s="32">
        <v>0.33333299999999999</v>
      </c>
      <c r="U56" s="47">
        <v>12.344510323370619</v>
      </c>
      <c r="V56" s="28">
        <f t="shared" si="4"/>
        <v>74.564754597660041</v>
      </c>
      <c r="W56" s="51">
        <f t="shared" si="9"/>
        <v>83.779980498538876</v>
      </c>
    </row>
    <row r="57" spans="1:23">
      <c r="A57">
        <v>2057</v>
      </c>
      <c r="C57" s="25">
        <v>0.03</v>
      </c>
      <c r="D57" s="26">
        <f t="shared" si="11"/>
        <v>0.26510459733825009</v>
      </c>
      <c r="E57" s="27">
        <v>0.89</v>
      </c>
      <c r="F57" s="56">
        <v>56.514292580479768</v>
      </c>
      <c r="G57" s="28">
        <f t="shared" si="0"/>
        <v>1004.9759406245043</v>
      </c>
      <c r="H57" s="32">
        <v>0.16666700000000001</v>
      </c>
      <c r="I57" s="51">
        <f t="shared" si="12"/>
        <v>2509.4632372414376</v>
      </c>
      <c r="J57" s="47">
        <v>14.216788888214355</v>
      </c>
      <c r="K57" s="28">
        <f t="shared" si="1"/>
        <v>3812.6480685134893</v>
      </c>
      <c r="L57" s="51">
        <f t="shared" si="13"/>
        <v>2394.942609511771</v>
      </c>
      <c r="M57" s="47">
        <v>12.617606828164298</v>
      </c>
      <c r="N57" s="28">
        <f t="shared" si="2"/>
        <v>22029.232102656679</v>
      </c>
      <c r="O57" s="51">
        <f t="shared" si="14"/>
        <v>12281.268507146366</v>
      </c>
      <c r="Q57" s="47">
        <v>14.216788888214355</v>
      </c>
      <c r="R57" s="28">
        <f t="shared" si="3"/>
        <v>451.37028548147532</v>
      </c>
      <c r="S57" s="51">
        <f t="shared" si="8"/>
        <v>567.06135312260642</v>
      </c>
      <c r="T57" s="32">
        <v>0.33333299999999999</v>
      </c>
      <c r="U57" s="47">
        <v>12.617606828164298</v>
      </c>
      <c r="V57" s="28">
        <f t="shared" si="4"/>
        <v>75.228380913579215</v>
      </c>
      <c r="W57" s="51">
        <f t="shared" si="9"/>
        <v>83.879199180241827</v>
      </c>
    </row>
    <row r="58" spans="1:23">
      <c r="A58">
        <v>2058</v>
      </c>
      <c r="C58" s="25">
        <v>0.03</v>
      </c>
      <c r="D58" s="26">
        <f t="shared" si="11"/>
        <v>0.25738310421189331</v>
      </c>
      <c r="E58" s="27">
        <v>0.89</v>
      </c>
      <c r="F58" s="56">
        <v>57.764553252658622</v>
      </c>
      <c r="G58" s="28">
        <f t="shared" si="0"/>
        <v>1013.9202264960624</v>
      </c>
      <c r="H58" s="32">
        <v>0.16666700000000001</v>
      </c>
      <c r="I58" s="51">
        <f t="shared" si="12"/>
        <v>2512.4351361688355</v>
      </c>
      <c r="J58" s="47">
        <v>14.531305645303576</v>
      </c>
      <c r="K58" s="28">
        <f t="shared" si="1"/>
        <v>3846.5806363232591</v>
      </c>
      <c r="L58" s="51">
        <f t="shared" si="13"/>
        <v>2397.7788843241538</v>
      </c>
      <c r="M58" s="47">
        <v>12.896745022662694</v>
      </c>
      <c r="N58" s="28">
        <f t="shared" si="2"/>
        <v>22225.292268370322</v>
      </c>
      <c r="O58" s="51">
        <f t="shared" si="14"/>
        <v>12295.812927706835</v>
      </c>
      <c r="Q58" s="47">
        <v>14.531305645303576</v>
      </c>
      <c r="R58" s="28">
        <f t="shared" si="3"/>
        <v>455.38748102226043</v>
      </c>
      <c r="S58" s="51">
        <f t="shared" si="8"/>
        <v>567.73291069001925</v>
      </c>
      <c r="T58" s="32">
        <v>0.33333299999999999</v>
      </c>
      <c r="U58" s="47">
        <v>12.896745022662694</v>
      </c>
      <c r="V58" s="28">
        <f t="shared" si="4"/>
        <v>75.897913503710058</v>
      </c>
      <c r="W58" s="51">
        <f t="shared" si="9"/>
        <v>83.97853536432109</v>
      </c>
    </row>
    <row r="59" spans="1:23">
      <c r="A59">
        <v>2059</v>
      </c>
      <c r="C59" s="25">
        <v>0.03</v>
      </c>
      <c r="D59" s="26">
        <f t="shared" si="11"/>
        <v>0.24988650894358574</v>
      </c>
      <c r="E59" s="27">
        <v>0.89</v>
      </c>
      <c r="F59" s="56">
        <v>59.04247333057404</v>
      </c>
      <c r="G59" s="28">
        <f t="shared" si="0"/>
        <v>1022.9441165118773</v>
      </c>
      <c r="H59" s="32">
        <v>0.16666700000000001</v>
      </c>
      <c r="I59" s="51">
        <f t="shared" si="12"/>
        <v>2515.4105546469909</v>
      </c>
      <c r="J59" s="47">
        <v>14.852780428657921</v>
      </c>
      <c r="K59" s="28">
        <f t="shared" si="1"/>
        <v>3880.8152039865358</v>
      </c>
      <c r="L59" s="51">
        <f t="shared" si="13"/>
        <v>2400.6185180708094</v>
      </c>
      <c r="M59" s="47">
        <v>13.182058566630211</v>
      </c>
      <c r="N59" s="28">
        <f t="shared" si="2"/>
        <v>22423.097369558815</v>
      </c>
      <c r="O59" s="51">
        <f t="shared" si="14"/>
        <v>12310.374572886192</v>
      </c>
      <c r="Q59" s="47">
        <v>14.852780428657921</v>
      </c>
      <c r="R59" s="28">
        <f t="shared" si="3"/>
        <v>459.4404296033585</v>
      </c>
      <c r="S59" s="51">
        <f t="shared" si="8"/>
        <v>568.4052635674351</v>
      </c>
      <c r="T59" s="32">
        <v>0.33333299999999999</v>
      </c>
      <c r="U59" s="47">
        <v>13.182058566630211</v>
      </c>
      <c r="V59" s="28">
        <f t="shared" si="4"/>
        <v>76.573404933893073</v>
      </c>
      <c r="W59" s="51">
        <f t="shared" si="9"/>
        <v>84.077989189932055</v>
      </c>
    </row>
    <row r="60" spans="1:23">
      <c r="A60">
        <v>2060</v>
      </c>
      <c r="C60" s="25">
        <v>0.03</v>
      </c>
      <c r="D60" s="26">
        <f t="shared" si="11"/>
        <v>0.24260826111027742</v>
      </c>
      <c r="E60" s="27">
        <v>0.89</v>
      </c>
      <c r="F60" s="56">
        <v>60.348664720800933</v>
      </c>
      <c r="G60" s="28">
        <f t="shared" si="0"/>
        <v>1032.0483191488329</v>
      </c>
      <c r="H60" s="32">
        <v>0.16666700000000001</v>
      </c>
      <c r="I60" s="51">
        <f t="shared" si="12"/>
        <v>2518.3894968440241</v>
      </c>
      <c r="J60" s="47">
        <v>15.181367170074076</v>
      </c>
      <c r="K60" s="28">
        <f t="shared" si="1"/>
        <v>3915.3544593020156</v>
      </c>
      <c r="L60" s="51">
        <f t="shared" si="13"/>
        <v>2403.4615147296449</v>
      </c>
      <c r="M60" s="47">
        <v>13.473684076774326</v>
      </c>
      <c r="N60" s="28">
        <f t="shared" si="2"/>
        <v>22622.662936147884</v>
      </c>
      <c r="O60" s="51">
        <f t="shared" si="14"/>
        <v>12324.953463083142</v>
      </c>
      <c r="Q60" s="47">
        <v>15.181367170074076</v>
      </c>
      <c r="R60" s="28">
        <f t="shared" si="3"/>
        <v>463.52944942682836</v>
      </c>
      <c r="S60" s="51">
        <f t="shared" si="8"/>
        <v>569.07841269672099</v>
      </c>
      <c r="T60" s="32">
        <v>0.33333299999999999</v>
      </c>
      <c r="U60" s="47">
        <v>13.473684076774326</v>
      </c>
      <c r="V60" s="28">
        <f t="shared" si="4"/>
        <v>77.254908237804713</v>
      </c>
      <c r="W60" s="51">
        <f t="shared" si="9"/>
        <v>84.177560796394815</v>
      </c>
    </row>
    <row r="61" spans="1:23">
      <c r="A61">
        <v>2061</v>
      </c>
      <c r="C61" s="25">
        <v>0.03</v>
      </c>
      <c r="D61" s="26">
        <f t="shared" si="11"/>
        <v>0.23554200107793924</v>
      </c>
      <c r="E61" s="27">
        <v>0.89</v>
      </c>
      <c r="F61" s="56">
        <v>61.683752867069032</v>
      </c>
      <c r="G61" s="28">
        <f t="shared" si="0"/>
        <v>1041.2335491892575</v>
      </c>
      <c r="H61" s="32">
        <v>0.16666700000000001</v>
      </c>
      <c r="I61" s="51">
        <f t="shared" si="12"/>
        <v>2521.3719669329944</v>
      </c>
      <c r="J61" s="47">
        <v>15.517223206768179</v>
      </c>
      <c r="K61" s="28">
        <f t="shared" si="1"/>
        <v>3950.2011139898032</v>
      </c>
      <c r="L61" s="51">
        <f t="shared" si="13"/>
        <v>2406.3078782832781</v>
      </c>
      <c r="M61" s="47">
        <v>13.771761192161808</v>
      </c>
      <c r="N61" s="28">
        <f t="shared" si="2"/>
        <v>22824.004636279598</v>
      </c>
      <c r="O61" s="51">
        <f t="shared" si="14"/>
        <v>12339.549618720566</v>
      </c>
      <c r="Q61" s="47">
        <v>15.517223206768179</v>
      </c>
      <c r="R61" s="28">
        <f t="shared" si="3"/>
        <v>467.65486152672707</v>
      </c>
      <c r="S61" s="51">
        <f t="shared" si="8"/>
        <v>569.7523590208591</v>
      </c>
      <c r="T61" s="32">
        <v>0.33333299999999999</v>
      </c>
      <c r="U61" s="47">
        <v>13.771761192161808</v>
      </c>
      <c r="V61" s="28">
        <f t="shared" si="4"/>
        <v>77.94247692112117</v>
      </c>
      <c r="W61" s="51">
        <f t="shared" si="9"/>
        <v>84.277250323194494</v>
      </c>
    </row>
    <row r="62" spans="1:23">
      <c r="A62">
        <v>2062</v>
      </c>
      <c r="C62" s="25">
        <v>0.03</v>
      </c>
      <c r="D62" s="26">
        <f t="shared" si="11"/>
        <v>0.2286815544446012</v>
      </c>
      <c r="E62" s="27">
        <v>0.89</v>
      </c>
      <c r="F62" s="56">
        <v>63.051977961375279</v>
      </c>
      <c r="G62" s="28">
        <f t="shared" si="0"/>
        <v>1050.5005277770417</v>
      </c>
      <c r="H62" s="32">
        <v>0.16666700000000001</v>
      </c>
      <c r="I62" s="51">
        <f t="shared" si="12"/>
        <v>2524.5021439366392</v>
      </c>
      <c r="J62" s="47">
        <v>15.861415205449021</v>
      </c>
      <c r="K62" s="28">
        <f t="shared" si="1"/>
        <v>3985.357903904312</v>
      </c>
      <c r="L62" s="51">
        <f t="shared" si="13"/>
        <v>2409.2952080716141</v>
      </c>
      <c r="M62" s="47">
        <v>14.077236595004367</v>
      </c>
      <c r="N62" s="28">
        <f t="shared" si="2"/>
        <v>23027.138277542486</v>
      </c>
      <c r="O62" s="51">
        <f t="shared" si="14"/>
        <v>12354.868649374677</v>
      </c>
      <c r="Q62" s="47">
        <v>15.861415205449021</v>
      </c>
      <c r="R62" s="28">
        <f t="shared" si="3"/>
        <v>471.81698979431491</v>
      </c>
      <c r="S62" s="51">
        <f t="shared" si="8"/>
        <v>570.45968255557318</v>
      </c>
      <c r="T62" s="32">
        <v>0.33333299999999999</v>
      </c>
      <c r="U62" s="47">
        <v>14.077236595004367</v>
      </c>
      <c r="V62" s="28">
        <f t="shared" si="4"/>
        <v>78.636164965719146</v>
      </c>
      <c r="W62" s="51">
        <f t="shared" si="9"/>
        <v>84.381876976600594</v>
      </c>
    </row>
    <row r="63" spans="1:23">
      <c r="A63">
        <v>2063</v>
      </c>
      <c r="C63" s="25">
        <v>0.03</v>
      </c>
      <c r="D63" s="26">
        <f t="shared" si="11"/>
        <v>0.22202092664524387</v>
      </c>
      <c r="E63" s="27">
        <v>0.89</v>
      </c>
      <c r="F63" s="56">
        <v>64.448004530497684</v>
      </c>
      <c r="G63" s="28">
        <f t="shared" si="0"/>
        <v>1059.8499824742573</v>
      </c>
      <c r="H63" s="32">
        <v>0.16666700000000001</v>
      </c>
      <c r="I63" s="51">
        <f t="shared" si="12"/>
        <v>2527.5362977042287</v>
      </c>
      <c r="J63" s="47">
        <v>16.212600969427012</v>
      </c>
      <c r="K63" s="28">
        <f t="shared" si="1"/>
        <v>4020.8275892490601</v>
      </c>
      <c r="L63" s="51">
        <f t="shared" si="13"/>
        <v>2412.1908966929777</v>
      </c>
      <c r="M63" s="47">
        <v>14.388919066226554</v>
      </c>
      <c r="N63" s="28">
        <f t="shared" si="2"/>
        <v>23232.079808212613</v>
      </c>
      <c r="O63" s="51">
        <f t="shared" si="14"/>
        <v>12369.717744017205</v>
      </c>
      <c r="Q63" s="47">
        <v>16.212600969427012</v>
      </c>
      <c r="R63" s="28">
        <f t="shared" si="3"/>
        <v>476.01616100348429</v>
      </c>
      <c r="S63" s="51">
        <f t="shared" si="8"/>
        <v>571.14530779825361</v>
      </c>
      <c r="T63" s="32">
        <v>0.33333299999999999</v>
      </c>
      <c r="U63" s="47">
        <v>14.388919066226554</v>
      </c>
      <c r="V63" s="28">
        <f t="shared" si="4"/>
        <v>79.336026833914033</v>
      </c>
      <c r="W63" s="51">
        <f t="shared" si="9"/>
        <v>84.483294038400189</v>
      </c>
    </row>
    <row r="64" spans="1:23">
      <c r="A64">
        <v>2064</v>
      </c>
      <c r="C64" s="25">
        <v>0.03</v>
      </c>
      <c r="D64" s="26">
        <f t="shared" si="11"/>
        <v>0.215554297713829</v>
      </c>
      <c r="E64" s="27">
        <v>0.89</v>
      </c>
      <c r="F64" s="56">
        <v>65.874940362813859</v>
      </c>
      <c r="G64" s="28">
        <f t="shared" si="0"/>
        <v>1069.2826473182781</v>
      </c>
      <c r="H64" s="32">
        <v>0.16666700000000001</v>
      </c>
      <c r="I64" s="51">
        <f t="shared" si="12"/>
        <v>2530.5740981667145</v>
      </c>
      <c r="J64" s="47">
        <v>16.571562296885517</v>
      </c>
      <c r="K64" s="28">
        <f t="shared" si="1"/>
        <v>4056.6129547933765</v>
      </c>
      <c r="L64" s="51">
        <f t="shared" si="13"/>
        <v>2415.090065590467</v>
      </c>
      <c r="M64" s="47">
        <v>14.707502463082232</v>
      </c>
      <c r="N64" s="28">
        <f t="shared" si="2"/>
        <v>23438.845318505704</v>
      </c>
      <c r="O64" s="51">
        <f t="shared" si="14"/>
        <v>12384.584685519776</v>
      </c>
      <c r="Q64" s="47">
        <v>16.571562296885517</v>
      </c>
      <c r="R64" s="28">
        <f t="shared" si="3"/>
        <v>480.25270483641526</v>
      </c>
      <c r="S64" s="51">
        <f t="shared" si="8"/>
        <v>571.83175708159411</v>
      </c>
      <c r="T64" s="32">
        <v>0.33333299999999999</v>
      </c>
      <c r="U64" s="47">
        <v>14.707502463082232</v>
      </c>
      <c r="V64" s="28">
        <f t="shared" si="4"/>
        <v>80.042117472735868</v>
      </c>
      <c r="W64" s="51">
        <f t="shared" si="9"/>
        <v>84.584832991544133</v>
      </c>
    </row>
    <row r="65" spans="1:24">
      <c r="A65">
        <v>2065</v>
      </c>
      <c r="C65" s="25">
        <v>0.03</v>
      </c>
      <c r="D65" s="26">
        <f t="shared" si="11"/>
        <v>0.20927601719789224</v>
      </c>
      <c r="E65" s="27">
        <v>0.89</v>
      </c>
      <c r="F65" s="56">
        <v>67.333469816753876</v>
      </c>
      <c r="G65" s="28">
        <f t="shared" si="0"/>
        <v>1078.7992628794107</v>
      </c>
      <c r="H65" s="32">
        <v>0.16666700000000001</v>
      </c>
      <c r="I65" s="51">
        <f t="shared" si="12"/>
        <v>2533.6155497069954</v>
      </c>
      <c r="J65" s="47">
        <v>16.938471345678423</v>
      </c>
      <c r="K65" s="28">
        <f t="shared" si="1"/>
        <v>4092.7168100910371</v>
      </c>
      <c r="L65" s="51">
        <f t="shared" si="13"/>
        <v>2417.9927189469636</v>
      </c>
      <c r="M65" s="47">
        <v>15.033139578169623</v>
      </c>
      <c r="N65" s="28">
        <f t="shared" si="2"/>
        <v>23647.451041840402</v>
      </c>
      <c r="O65" s="51">
        <f t="shared" si="14"/>
        <v>12399.46949533222</v>
      </c>
      <c r="Q65" s="47">
        <v>16.938471345678423</v>
      </c>
      <c r="R65" s="28">
        <f t="shared" si="3"/>
        <v>484.52695390945934</v>
      </c>
      <c r="S65" s="51">
        <f t="shared" si="8"/>
        <v>572.5190313959946</v>
      </c>
      <c r="T65" s="32">
        <v>0.33333299999999999</v>
      </c>
      <c r="U65" s="47">
        <v>15.033139578169623</v>
      </c>
      <c r="V65" s="28">
        <f t="shared" si="4"/>
        <v>80.754492318243209</v>
      </c>
      <c r="W65" s="51">
        <f t="shared" si="9"/>
        <v>84.686493982531459</v>
      </c>
    </row>
    <row r="66" spans="1:24">
      <c r="A66">
        <v>2066</v>
      </c>
      <c r="C66" s="25">
        <v>0.03</v>
      </c>
      <c r="D66" s="26">
        <f t="shared" si="11"/>
        <v>0.20318059922125459</v>
      </c>
      <c r="E66" s="27">
        <v>0.89</v>
      </c>
      <c r="F66" s="56">
        <v>68.82429240304883</v>
      </c>
      <c r="G66" s="28">
        <f t="shared" si="0"/>
        <v>1088.4005763190373</v>
      </c>
      <c r="H66" s="32">
        <v>0.16666700000000001</v>
      </c>
      <c r="I66" s="51">
        <f t="shared" si="12"/>
        <v>2536.6606567132339</v>
      </c>
      <c r="J66" s="47">
        <v>17.313504085386782</v>
      </c>
      <c r="K66" s="28">
        <f t="shared" si="1"/>
        <v>4129.1419897008473</v>
      </c>
      <c r="L66" s="51">
        <f t="shared" si="13"/>
        <v>2420.8988609503749</v>
      </c>
      <c r="M66" s="47">
        <v>15.365986587050241</v>
      </c>
      <c r="N66" s="28">
        <f t="shared" si="2"/>
        <v>23857.913356112778</v>
      </c>
      <c r="O66" s="51">
        <f t="shared" si="14"/>
        <v>12414.372194930129</v>
      </c>
      <c r="Q66" s="47">
        <v>17.313504085386782</v>
      </c>
      <c r="R66" s="28">
        <f t="shared" si="3"/>
        <v>488.8392437992535</v>
      </c>
      <c r="S66" s="51">
        <f t="shared" si="8"/>
        <v>573.20713173304489</v>
      </c>
      <c r="T66" s="32">
        <v>0.33333299999999999</v>
      </c>
      <c r="U66" s="47">
        <v>15.365986587050241</v>
      </c>
      <c r="V66" s="28">
        <f t="shared" si="4"/>
        <v>81.473207299875568</v>
      </c>
      <c r="W66" s="51">
        <f t="shared" si="9"/>
        <v>84.788277158037232</v>
      </c>
    </row>
    <row r="67" spans="1:24">
      <c r="A67">
        <v>2067</v>
      </c>
      <c r="C67" s="25">
        <v>0.03</v>
      </c>
      <c r="D67" s="26">
        <f t="shared" si="11"/>
        <v>0.19726271769053844</v>
      </c>
      <c r="E67" s="27">
        <v>0.89</v>
      </c>
      <c r="F67" s="56">
        <v>70.335777652341037</v>
      </c>
      <c r="G67" s="28">
        <f t="shared" si="0"/>
        <v>1098.0873414482767</v>
      </c>
      <c r="H67" s="32">
        <v>0.16666700000000001</v>
      </c>
      <c r="I67" s="51">
        <f t="shared" si="12"/>
        <v>2539.2637272374404</v>
      </c>
      <c r="J67" s="47">
        <v>17.69373474413981</v>
      </c>
      <c r="K67" s="28">
        <f t="shared" si="1"/>
        <v>4165.8913534091844</v>
      </c>
      <c r="L67" s="51">
        <f t="shared" si="13"/>
        <v>2423.3831390308296</v>
      </c>
      <c r="M67" s="47">
        <v>15.703446824652618</v>
      </c>
      <c r="N67" s="28">
        <f t="shared" si="2"/>
        <v>24070.248784982181</v>
      </c>
      <c r="O67" s="51">
        <f t="shared" si="14"/>
        <v>12427.111575836927</v>
      </c>
      <c r="Q67" s="47">
        <v>17.69373474413981</v>
      </c>
      <c r="R67" s="28">
        <f t="shared" si="3"/>
        <v>493.18991306906679</v>
      </c>
      <c r="S67" s="51">
        <f t="shared" si="8"/>
        <v>573.79534544816283</v>
      </c>
      <c r="T67" s="32">
        <v>0.33333299999999999</v>
      </c>
      <c r="U67" s="47">
        <v>15.703446824652618</v>
      </c>
      <c r="V67" s="28">
        <f t="shared" si="4"/>
        <v>82.198318844844451</v>
      </c>
      <c r="W67" s="51">
        <f t="shared" si="9"/>
        <v>84.87528519534969</v>
      </c>
    </row>
    <row r="68" spans="1:24">
      <c r="A68">
        <v>2068</v>
      </c>
      <c r="C68" s="25">
        <v>0.03</v>
      </c>
      <c r="D68" s="26">
        <f t="shared" si="11"/>
        <v>0.19151720164129946</v>
      </c>
      <c r="E68" s="27">
        <v>0.89</v>
      </c>
      <c r="F68" s="56">
        <v>71.880457397051359</v>
      </c>
      <c r="G68" s="28">
        <f t="shared" si="0"/>
        <v>1107.8603187871663</v>
      </c>
      <c r="H68" s="32">
        <v>0.16666700000000001</v>
      </c>
      <c r="I68" s="51">
        <f t="shared" si="12"/>
        <v>2541.8694689806521</v>
      </c>
      <c r="J68" s="47">
        <v>18.082315841552905</v>
      </c>
      <c r="K68" s="28">
        <f t="shared" si="1"/>
        <v>4202.9677864545256</v>
      </c>
      <c r="L68" s="51">
        <f t="shared" si="13"/>
        <v>2425.8699664278552</v>
      </c>
      <c r="M68" s="47">
        <v>16.048318197968118</v>
      </c>
      <c r="N68" s="28">
        <f t="shared" si="2"/>
        <v>24284.47399916852</v>
      </c>
      <c r="O68" s="51">
        <f t="shared" si="14"/>
        <v>12439.864029642084</v>
      </c>
      <c r="Q68" s="47">
        <v>18.082315841552905</v>
      </c>
      <c r="R68" s="28">
        <f t="shared" si="3"/>
        <v>497.57930329538146</v>
      </c>
      <c r="S68" s="51">
        <f t="shared" si="8"/>
        <v>574.38416277645263</v>
      </c>
      <c r="T68" s="32">
        <v>0.33333299999999999</v>
      </c>
      <c r="U68" s="47">
        <v>16.048318197968118</v>
      </c>
      <c r="V68" s="28">
        <f t="shared" si="4"/>
        <v>82.929883882563558</v>
      </c>
      <c r="W68" s="51">
        <f t="shared" si="9"/>
        <v>84.962382518573023</v>
      </c>
    </row>
    <row r="69" spans="1:24">
      <c r="A69">
        <v>2069</v>
      </c>
      <c r="C69" s="25">
        <v>0.03</v>
      </c>
      <c r="D69" s="26">
        <f t="shared" si="11"/>
        <v>0.18593903071970821</v>
      </c>
      <c r="E69" s="27">
        <v>0.89</v>
      </c>
      <c r="F69" s="56">
        <v>73.459060638356988</v>
      </c>
      <c r="G69" s="28">
        <f t="shared" si="0"/>
        <v>1117.7202756243719</v>
      </c>
      <c r="H69" s="32">
        <v>0.16666700000000001</v>
      </c>
      <c r="I69" s="51">
        <f t="shared" si="12"/>
        <v>2544.477884684019</v>
      </c>
      <c r="J69" s="47">
        <v>18.479430765851632</v>
      </c>
      <c r="K69" s="28">
        <f t="shared" si="1"/>
        <v>4240.3741997539701</v>
      </c>
      <c r="L69" s="51">
        <f t="shared" si="13"/>
        <v>2428.3593457575089</v>
      </c>
      <c r="M69" s="47">
        <v>16.400763466713112</v>
      </c>
      <c r="N69" s="28">
        <f t="shared" si="2"/>
        <v>24500.605817761119</v>
      </c>
      <c r="O69" s="51">
        <f t="shared" si="14"/>
        <v>12452.629569760746</v>
      </c>
      <c r="Q69" s="47">
        <v>18.479430765851632</v>
      </c>
      <c r="R69" s="28">
        <f t="shared" si="3"/>
        <v>502.00775909471031</v>
      </c>
      <c r="S69" s="51">
        <f t="shared" si="8"/>
        <v>574.9735843373295</v>
      </c>
      <c r="T69" s="32">
        <v>0.33333299999999999</v>
      </c>
      <c r="U69" s="47">
        <v>16.400763466713112</v>
      </c>
      <c r="V69" s="28">
        <f t="shared" si="4"/>
        <v>83.667959849118361</v>
      </c>
      <c r="W69" s="51">
        <f t="shared" si="9"/>
        <v>85.04956921933065</v>
      </c>
    </row>
    <row r="70" spans="1:24">
      <c r="A70">
        <v>2070</v>
      </c>
      <c r="C70" s="25">
        <v>0.03</v>
      </c>
      <c r="D70" s="26">
        <f t="shared" si="11"/>
        <v>0.18052333079583321</v>
      </c>
      <c r="E70" s="27">
        <v>0.89</v>
      </c>
      <c r="F70" s="56">
        <v>75.072332387400351</v>
      </c>
      <c r="G70" s="28">
        <f t="shared" si="0"/>
        <v>1127.6679860774286</v>
      </c>
      <c r="H70" s="32">
        <v>0.16666700000000001</v>
      </c>
      <c r="I70" s="51">
        <f t="shared" si="12"/>
        <v>2547.0889770915064</v>
      </c>
      <c r="J70" s="47">
        <v>18.885266932743537</v>
      </c>
      <c r="K70" s="28">
        <f t="shared" si="1"/>
        <v>4278.11353013178</v>
      </c>
      <c r="L70" s="51">
        <f t="shared" si="13"/>
        <v>2430.8512796385317</v>
      </c>
      <c r="M70" s="47">
        <v>16.76094896505278</v>
      </c>
      <c r="N70" s="28">
        <f t="shared" si="2"/>
        <v>24718.66120953919</v>
      </c>
      <c r="O70" s="51">
        <f t="shared" si="14"/>
        <v>12465.408209621824</v>
      </c>
      <c r="Q70" s="47">
        <v>18.885266932743537</v>
      </c>
      <c r="R70" s="28">
        <f t="shared" si="3"/>
        <v>506.47562815065316</v>
      </c>
      <c r="S70" s="51">
        <f t="shared" si="8"/>
        <v>575.56361075084465</v>
      </c>
      <c r="T70" s="32">
        <v>0.33333299999999999</v>
      </c>
      <c r="U70" s="47">
        <v>16.76094896505278</v>
      </c>
      <c r="V70" s="28">
        <f t="shared" si="4"/>
        <v>84.412604691775513</v>
      </c>
      <c r="W70" s="51">
        <f t="shared" si="9"/>
        <v>85.136845389339996</v>
      </c>
    </row>
    <row r="71" spans="1:24">
      <c r="A71">
        <v>2071</v>
      </c>
      <c r="C71" s="25">
        <v>0.03</v>
      </c>
      <c r="D71" s="26">
        <f t="shared" si="11"/>
        <v>0.17526536970469245</v>
      </c>
      <c r="E71" s="27">
        <v>0.89</v>
      </c>
      <c r="F71" s="56">
        <v>76.72103401689202</v>
      </c>
      <c r="G71" s="28">
        <f t="shared" si="0"/>
        <v>1137.7042311535176</v>
      </c>
      <c r="H71" s="32">
        <v>0.16666700000000001</v>
      </c>
      <c r="I71" s="51">
        <f t="shared" si="12"/>
        <v>2549.702748949896</v>
      </c>
      <c r="J71" s="47">
        <v>19.300015873867753</v>
      </c>
      <c r="K71" s="28">
        <f t="shared" si="1"/>
        <v>4316.1887405499529</v>
      </c>
      <c r="L71" s="51">
        <f t="shared" si="13"/>
        <v>2433.3457706923564</v>
      </c>
      <c r="M71" s="47">
        <v>17.129044680101419</v>
      </c>
      <c r="N71" s="28">
        <f t="shared" si="2"/>
        <v>24938.657294304088</v>
      </c>
      <c r="O71" s="51">
        <f t="shared" si="14"/>
        <v>12478.199962668021</v>
      </c>
      <c r="Q71" s="47">
        <v>19.300015873867753</v>
      </c>
      <c r="R71" s="28">
        <f t="shared" si="3"/>
        <v>510.98326124119393</v>
      </c>
      <c r="S71" s="51">
        <f t="shared" si="8"/>
        <v>576.15424263768648</v>
      </c>
      <c r="T71" s="32">
        <v>0.33333299999999999</v>
      </c>
      <c r="U71" s="47">
        <v>17.129044680101419</v>
      </c>
      <c r="V71" s="28">
        <f t="shared" si="4"/>
        <v>85.163876873532303</v>
      </c>
      <c r="W71" s="51">
        <f t="shared" si="9"/>
        <v>85.224211120412633</v>
      </c>
    </row>
    <row r="72" spans="1:24">
      <c r="A72">
        <v>2072</v>
      </c>
      <c r="C72" s="25">
        <v>0.03</v>
      </c>
      <c r="D72" s="26">
        <f t="shared" si="11"/>
        <v>0.17016055311135189</v>
      </c>
      <c r="E72" s="27">
        <v>0.89</v>
      </c>
      <c r="F72" s="47">
        <v>78.389427466094318</v>
      </c>
      <c r="G72" s="28">
        <f t="shared" si="0"/>
        <v>1147.8297988107838</v>
      </c>
      <c r="H72" s="32">
        <v>0.16666700000000001</v>
      </c>
      <c r="I72" s="51">
        <f t="shared" si="12"/>
        <v>2551.7815588463882</v>
      </c>
      <c r="J72" s="47">
        <v>19.719718507781312</v>
      </c>
      <c r="K72" s="28">
        <f t="shared" si="1"/>
        <v>4354.6028203408468</v>
      </c>
      <c r="L72" s="51">
        <f t="shared" si="13"/>
        <v>2435.3297130447677</v>
      </c>
      <c r="M72" s="47">
        <v>17.501536869519548</v>
      </c>
      <c r="N72" s="28">
        <f t="shared" si="2"/>
        <v>25160.611344223391</v>
      </c>
      <c r="O72" s="51">
        <f t="shared" si="14"/>
        <v>12488.373621375291</v>
      </c>
      <c r="Q72" s="47">
        <v>19.719718507781312</v>
      </c>
      <c r="R72" s="28">
        <f t="shared" si="3"/>
        <v>515.53101226624051</v>
      </c>
      <c r="S72" s="51">
        <f t="shared" si="8"/>
        <v>576.62398960799283</v>
      </c>
      <c r="T72" s="32">
        <v>0.33333299999999999</v>
      </c>
      <c r="U72" s="47">
        <v>17.501536869519548</v>
      </c>
      <c r="V72" s="28">
        <f t="shared" si="4"/>
        <v>85.921835377706728</v>
      </c>
      <c r="W72" s="51">
        <f t="shared" si="9"/>
        <v>85.293695664668178</v>
      </c>
    </row>
    <row r="73" spans="1:24">
      <c r="A73">
        <v>2073</v>
      </c>
      <c r="C73" s="25">
        <v>0.03</v>
      </c>
      <c r="D73" s="26">
        <f t="shared" si="11"/>
        <v>0.16520442049645814</v>
      </c>
      <c r="E73" s="27">
        <v>0.89</v>
      </c>
      <c r="F73" s="47">
        <v>80.094102187271247</v>
      </c>
      <c r="G73" s="28">
        <f t="shared" si="0"/>
        <v>1158.0454840201996</v>
      </c>
      <c r="H73" s="32">
        <v>0.16666700000000001</v>
      </c>
      <c r="I73" s="51">
        <f t="shared" si="12"/>
        <v>2553.8620636269552</v>
      </c>
      <c r="J73" s="47">
        <v>20.148548092784715</v>
      </c>
      <c r="K73" s="28">
        <f t="shared" si="1"/>
        <v>4393.3587854418802</v>
      </c>
      <c r="L73" s="51">
        <f t="shared" si="13"/>
        <v>2437.3152729343606</v>
      </c>
      <c r="M73" s="47">
        <v>17.882129360721503</v>
      </c>
      <c r="N73" s="28">
        <f t="shared" si="2"/>
        <v>25384.540785186975</v>
      </c>
      <c r="O73" s="51">
        <f t="shared" si="14"/>
        <v>12498.555574815115</v>
      </c>
      <c r="Q73" s="47">
        <v>20.148548092784715</v>
      </c>
      <c r="R73" s="28">
        <f t="shared" si="3"/>
        <v>520.11923827541</v>
      </c>
      <c r="S73" s="51">
        <f t="shared" si="8"/>
        <v>577.09411956986617</v>
      </c>
      <c r="T73" s="32">
        <v>0.33333299999999999</v>
      </c>
      <c r="U73" s="47">
        <v>17.882129360721503</v>
      </c>
      <c r="V73" s="28">
        <f t="shared" si="4"/>
        <v>86.686539712568305</v>
      </c>
      <c r="W73" s="51">
        <f t="shared" si="9"/>
        <v>85.363236860687621</v>
      </c>
    </row>
    <row r="74" spans="1:24">
      <c r="A74">
        <v>2074</v>
      </c>
      <c r="C74" s="25">
        <v>0.03</v>
      </c>
      <c r="D74" s="26">
        <f t="shared" si="11"/>
        <v>0.16039264125869723</v>
      </c>
      <c r="E74" s="27">
        <v>0.89</v>
      </c>
      <c r="F74" s="47">
        <v>81.835847161401318</v>
      </c>
      <c r="G74" s="28">
        <f t="shared" si="0"/>
        <v>1168.3520888279793</v>
      </c>
      <c r="H74" s="32">
        <v>0.16666700000000001</v>
      </c>
      <c r="I74" s="51">
        <f t="shared" si="12"/>
        <v>2555.9442646734619</v>
      </c>
      <c r="J74" s="47">
        <v>20.586703105679071</v>
      </c>
      <c r="K74" s="28">
        <f t="shared" si="1"/>
        <v>4432.4596786323127</v>
      </c>
      <c r="L74" s="51">
        <f t="shared" si="13"/>
        <v>2439.302451679936</v>
      </c>
      <c r="M74" s="47">
        <v>18.270998304753814</v>
      </c>
      <c r="N74" s="28">
        <f t="shared" si="2"/>
        <v>25610.463198175137</v>
      </c>
      <c r="O74" s="51">
        <f t="shared" si="14"/>
        <v>12508.745829750316</v>
      </c>
      <c r="Q74" s="47">
        <v>20.586703105679071</v>
      </c>
      <c r="R74" s="28">
        <f t="shared" si="3"/>
        <v>524.74829949606112</v>
      </c>
      <c r="S74" s="51">
        <f t="shared" si="8"/>
        <v>577.56463283556479</v>
      </c>
      <c r="T74" s="32">
        <v>0.33333299999999999</v>
      </c>
      <c r="U74" s="47">
        <v>18.270998304753814</v>
      </c>
      <c r="V74" s="28">
        <f t="shared" si="4"/>
        <v>87.458049916010154</v>
      </c>
      <c r="W74" s="51">
        <f t="shared" si="9"/>
        <v>85.43283475466005</v>
      </c>
    </row>
    <row r="75" spans="1:24">
      <c r="A75">
        <v>2075</v>
      </c>
      <c r="C75" s="25">
        <v>0.03</v>
      </c>
      <c r="D75" s="26">
        <f t="shared" si="11"/>
        <v>0.15572101093077401</v>
      </c>
      <c r="E75" s="27">
        <v>0.89</v>
      </c>
      <c r="F75" s="47">
        <v>83.615468526826874</v>
      </c>
      <c r="G75" s="28">
        <f t="shared" si="0"/>
        <v>1178.7504224185482</v>
      </c>
      <c r="H75" s="32">
        <v>0.16666700000000001</v>
      </c>
      <c r="I75" s="51">
        <f t="shared" si="12"/>
        <v>2558.0281633688974</v>
      </c>
      <c r="J75" s="47">
        <v>21.034386339388167</v>
      </c>
      <c r="K75" s="28">
        <f t="shared" si="1"/>
        <v>4471.9085697721403</v>
      </c>
      <c r="L75" s="51">
        <f t="shared" si="13"/>
        <v>2441.2912506013708</v>
      </c>
      <c r="M75" s="47">
        <v>18.66832368328464</v>
      </c>
      <c r="N75" s="28">
        <f t="shared" si="2"/>
        <v>25838.396320638894</v>
      </c>
      <c r="O75" s="51">
        <f t="shared" si="14"/>
        <v>12518.944392949228</v>
      </c>
      <c r="Q75" s="47">
        <v>21.034386339388167</v>
      </c>
      <c r="R75" s="28">
        <f t="shared" si="3"/>
        <v>529.41855936157606</v>
      </c>
      <c r="S75" s="51">
        <f t="shared" si="8"/>
        <v>578.03552971760234</v>
      </c>
      <c r="T75" s="32">
        <v>0.33333299999999999</v>
      </c>
      <c r="U75" s="47">
        <v>18.66832368328464</v>
      </c>
      <c r="V75" s="28">
        <f t="shared" si="4"/>
        <v>88.236426560262643</v>
      </c>
      <c r="W75" s="51">
        <f t="shared" si="9"/>
        <v>85.502489392812123</v>
      </c>
    </row>
    <row r="76" spans="1:24">
      <c r="A76">
        <v>2076</v>
      </c>
      <c r="C76" s="25">
        <v>0.03</v>
      </c>
      <c r="D76" s="26">
        <f t="shared" si="11"/>
        <v>0.15118544750560584</v>
      </c>
      <c r="E76" s="27">
        <v>0.89</v>
      </c>
      <c r="F76" s="47">
        <v>85.433789952362218</v>
      </c>
      <c r="G76" s="28">
        <f t="shared" si="0"/>
        <v>1189.2413011780732</v>
      </c>
      <c r="H76" s="32">
        <v>0.16666700000000001</v>
      </c>
      <c r="I76" s="51">
        <f t="shared" si="12"/>
        <v>2560.1137610973815</v>
      </c>
      <c r="J76" s="47">
        <v>21.491804996817876</v>
      </c>
      <c r="K76" s="28">
        <f t="shared" si="1"/>
        <v>4511.7085560431115</v>
      </c>
      <c r="L76" s="51">
        <f t="shared" si="13"/>
        <v>2443.281671019618</v>
      </c>
      <c r="M76" s="47">
        <v>19.074289391905339</v>
      </c>
      <c r="N76" s="28">
        <f t="shared" si="2"/>
        <v>26068.35804789258</v>
      </c>
      <c r="O76" s="51">
        <f t="shared" si="14"/>
        <v>12529.15127118569</v>
      </c>
      <c r="Q76" s="47">
        <v>21.491804996817876</v>
      </c>
      <c r="R76" s="28">
        <f t="shared" si="3"/>
        <v>534.13038453989407</v>
      </c>
      <c r="S76" s="51">
        <f t="shared" si="8"/>
        <v>578.50681052874631</v>
      </c>
      <c r="T76" s="32">
        <v>0.33333299999999999</v>
      </c>
      <c r="U76" s="47">
        <v>19.074289391905339</v>
      </c>
      <c r="V76" s="28">
        <f t="shared" si="4"/>
        <v>89.021730756648978</v>
      </c>
      <c r="W76" s="51">
        <f t="shared" si="9"/>
        <v>85.572200821408146</v>
      </c>
    </row>
    <row r="77" spans="1:24" ht="15.75" thickBot="1">
      <c r="A77">
        <v>2077</v>
      </c>
      <c r="C77" s="25">
        <v>0.03</v>
      </c>
      <c r="D77" s="26">
        <f t="shared" si="11"/>
        <v>0.14678198786952024</v>
      </c>
      <c r="E77" s="59">
        <v>0.89</v>
      </c>
      <c r="F77" s="53">
        <v>87.284546932482257</v>
      </c>
      <c r="G77" s="28">
        <f t="shared" si="0"/>
        <v>1199.8255487585579</v>
      </c>
      <c r="H77" s="60">
        <v>0.16666700000000001</v>
      </c>
      <c r="I77" s="54">
        <f t="shared" si="12"/>
        <v>2561.9924800669874</v>
      </c>
      <c r="J77" s="53">
        <v>21.957383173033858</v>
      </c>
      <c r="K77" s="28">
        <f t="shared" si="1"/>
        <v>4551.8627621918949</v>
      </c>
      <c r="L77" s="54">
        <f t="shared" si="13"/>
        <v>2445.0746536960864</v>
      </c>
      <c r="M77" s="53">
        <v>19.487496792075497</v>
      </c>
      <c r="N77" s="28">
        <f t="shared" si="2"/>
        <v>26300.366434518823</v>
      </c>
      <c r="O77" s="54">
        <f t="shared" si="14"/>
        <v>12538.34568845102</v>
      </c>
      <c r="Q77" s="53">
        <v>21.957383173033858</v>
      </c>
      <c r="R77" s="28">
        <f t="shared" si="3"/>
        <v>538.88414496229905</v>
      </c>
      <c r="S77" s="51">
        <f t="shared" si="8"/>
        <v>578.93134311612664</v>
      </c>
      <c r="T77" s="32">
        <v>0.33333299999999999</v>
      </c>
      <c r="U77" s="53">
        <v>19.487496792075497</v>
      </c>
      <c r="V77" s="28">
        <f t="shared" si="4"/>
        <v>89.814024160383141</v>
      </c>
      <c r="W77" s="51">
        <f t="shared" si="9"/>
        <v>85.63499729529812</v>
      </c>
    </row>
    <row r="78" spans="1:24" ht="15.75">
      <c r="H78" s="17" t="s">
        <v>75</v>
      </c>
      <c r="I78" s="33">
        <f>SUM(I17:I77)</f>
        <v>159007.00038471771</v>
      </c>
      <c r="L78" s="33">
        <f>SUM(L17:L77)</f>
        <v>151750.63526757571</v>
      </c>
      <c r="O78" s="33">
        <f>SUM(O17:O77)</f>
        <v>778177.43542132736</v>
      </c>
      <c r="S78" s="33">
        <f>SUM(S17:S77)</f>
        <v>35930.681691612204</v>
      </c>
      <c r="W78" s="33">
        <f>SUM(W17:W77)</f>
        <v>5314.8337295364518</v>
      </c>
      <c r="X78" s="65">
        <f>SUM(I78:W78)</f>
        <v>1130180.5864947694</v>
      </c>
    </row>
  </sheetData>
  <mergeCells count="5">
    <mergeCell ref="U6:W6"/>
    <mergeCell ref="F6:I6"/>
    <mergeCell ref="C8:C9"/>
    <mergeCell ref="Q6:S6"/>
    <mergeCell ref="J6:O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X78"/>
  <sheetViews>
    <sheetView topLeftCell="A4" workbookViewId="0">
      <selection activeCell="A4" sqref="A1:XFD1048576"/>
    </sheetView>
  </sheetViews>
  <sheetFormatPr defaultRowHeight="15"/>
  <cols>
    <col min="3" max="3" width="22.28515625" customWidth="1"/>
    <col min="4" max="4" width="13.5703125" customWidth="1"/>
    <col min="5" max="5" width="22.28515625" customWidth="1"/>
    <col min="6" max="6" width="12.140625" customWidth="1"/>
    <col min="7" max="7" width="12.5703125" customWidth="1"/>
    <col min="8" max="8" width="21.28515625" customWidth="1"/>
    <col min="9" max="9" width="17.28515625" customWidth="1"/>
    <col min="10" max="11" width="12.42578125" customWidth="1"/>
    <col min="12" max="12" width="16" customWidth="1"/>
    <col min="13" max="13" width="13.28515625" customWidth="1"/>
    <col min="14" max="14" width="12.42578125" customWidth="1"/>
    <col min="15" max="15" width="15.7109375" customWidth="1"/>
    <col min="17" max="17" width="12.42578125" customWidth="1"/>
    <col min="18" max="18" width="13.140625" customWidth="1"/>
    <col min="19" max="19" width="17.42578125" customWidth="1"/>
    <col min="20" max="20" width="17.85546875" customWidth="1"/>
    <col min="21" max="21" width="12.140625" customWidth="1"/>
    <col min="22" max="22" width="13" customWidth="1"/>
    <col min="23" max="23" width="15.28515625" customWidth="1"/>
    <col min="24" max="24" width="15.140625" customWidth="1"/>
  </cols>
  <sheetData>
    <row r="1" spans="1:24" ht="18.75">
      <c r="A1" s="69" t="s">
        <v>115</v>
      </c>
      <c r="B1" s="70"/>
      <c r="C1" s="70"/>
      <c r="D1" s="70"/>
    </row>
    <row r="3" spans="1:24">
      <c r="A3" s="68" t="s">
        <v>111</v>
      </c>
      <c r="B3" s="68"/>
      <c r="C3" s="68"/>
      <c r="D3" s="68"/>
      <c r="E3" s="68"/>
      <c r="F3" s="68"/>
      <c r="G3" s="68"/>
      <c r="H3" s="68"/>
      <c r="I3" s="68"/>
      <c r="J3" s="30"/>
      <c r="K3" s="30"/>
      <c r="L3" s="30"/>
      <c r="M3" s="30"/>
      <c r="N3" s="30"/>
      <c r="O3" s="30"/>
      <c r="P3" s="30"/>
    </row>
    <row r="4" spans="1:24">
      <c r="A4" s="68" t="s">
        <v>113</v>
      </c>
      <c r="B4" s="68"/>
      <c r="C4" s="68"/>
      <c r="D4" s="68"/>
      <c r="E4" s="68"/>
      <c r="F4" s="68"/>
      <c r="G4" s="68"/>
      <c r="H4" s="29"/>
      <c r="I4" s="29"/>
      <c r="J4" s="30"/>
      <c r="K4" s="30"/>
      <c r="L4" s="30"/>
      <c r="M4" s="30"/>
      <c r="N4" s="30"/>
      <c r="O4" s="30"/>
    </row>
    <row r="5" spans="1:24">
      <c r="A5" s="29"/>
      <c r="B5" s="29"/>
      <c r="C5" s="29"/>
      <c r="D5" s="29"/>
      <c r="E5" s="29"/>
      <c r="F5" s="29"/>
      <c r="G5" s="29"/>
      <c r="H5" s="29"/>
      <c r="I5" s="29"/>
      <c r="J5" s="30"/>
      <c r="K5" s="30"/>
      <c r="L5" s="30"/>
      <c r="M5" s="30"/>
      <c r="N5" s="30"/>
      <c r="O5" s="30"/>
    </row>
    <row r="6" spans="1:24" ht="15.75" thickBot="1">
      <c r="A6" s="39" t="s">
        <v>76</v>
      </c>
      <c r="B6" s="29"/>
      <c r="C6" s="39"/>
      <c r="D6" s="40"/>
      <c r="E6" s="40"/>
      <c r="F6" s="90" t="s">
        <v>49</v>
      </c>
      <c r="G6" s="90"/>
      <c r="H6" s="90"/>
      <c r="I6" s="90"/>
      <c r="J6" s="93" t="s">
        <v>50</v>
      </c>
      <c r="K6" s="94"/>
      <c r="L6" s="94"/>
      <c r="M6" s="94"/>
      <c r="N6" s="94"/>
      <c r="O6" s="94"/>
      <c r="P6" s="40"/>
      <c r="Q6" s="92" t="s">
        <v>5</v>
      </c>
      <c r="R6" s="92"/>
      <c r="S6" s="92"/>
      <c r="U6" s="89" t="s">
        <v>6</v>
      </c>
      <c r="V6" s="89"/>
      <c r="W6" s="89"/>
    </row>
    <row r="7" spans="1:24">
      <c r="A7" s="63" t="s">
        <v>77</v>
      </c>
      <c r="C7" s="62" t="s">
        <v>112</v>
      </c>
      <c r="D7" s="63"/>
      <c r="E7" s="44" t="s">
        <v>73</v>
      </c>
      <c r="F7" s="62" t="s">
        <v>110</v>
      </c>
      <c r="G7" s="41" t="s">
        <v>64</v>
      </c>
      <c r="H7" s="41" t="s">
        <v>65</v>
      </c>
      <c r="I7" s="42" t="s">
        <v>70</v>
      </c>
      <c r="J7" s="62" t="s">
        <v>110</v>
      </c>
      <c r="K7" s="41" t="s">
        <v>64</v>
      </c>
      <c r="L7" s="42" t="s">
        <v>70</v>
      </c>
      <c r="M7" s="62" t="s">
        <v>110</v>
      </c>
      <c r="N7" s="41" t="s">
        <v>64</v>
      </c>
      <c r="O7" s="42" t="s">
        <v>70</v>
      </c>
      <c r="Q7" s="62" t="s">
        <v>110</v>
      </c>
      <c r="R7" s="41" t="s">
        <v>64</v>
      </c>
      <c r="S7" s="42" t="s">
        <v>70</v>
      </c>
      <c r="T7" s="63" t="s">
        <v>65</v>
      </c>
      <c r="U7" s="62" t="s">
        <v>110</v>
      </c>
      <c r="V7" s="41" t="s">
        <v>64</v>
      </c>
      <c r="W7" s="42" t="s">
        <v>70</v>
      </c>
      <c r="X7" s="30"/>
    </row>
    <row r="8" spans="1:24" ht="15.75">
      <c r="C8" s="91" t="s">
        <v>82</v>
      </c>
      <c r="D8" s="63" t="s">
        <v>83</v>
      </c>
      <c r="E8" s="44" t="s">
        <v>79</v>
      </c>
      <c r="F8" s="55" t="s">
        <v>62</v>
      </c>
      <c r="G8" s="44" t="s">
        <v>68</v>
      </c>
      <c r="H8" s="44" t="s">
        <v>116</v>
      </c>
      <c r="I8" s="45" t="s">
        <v>71</v>
      </c>
      <c r="J8" s="43" t="s">
        <v>1</v>
      </c>
      <c r="K8" s="44" t="s">
        <v>68</v>
      </c>
      <c r="L8" s="45" t="s">
        <v>71</v>
      </c>
      <c r="M8" s="43" t="s">
        <v>61</v>
      </c>
      <c r="N8" s="44" t="s">
        <v>68</v>
      </c>
      <c r="O8" s="45" t="s">
        <v>71</v>
      </c>
      <c r="Q8" s="43" t="s">
        <v>1</v>
      </c>
      <c r="R8" s="44" t="s">
        <v>68</v>
      </c>
      <c r="S8" s="45" t="s">
        <v>71</v>
      </c>
      <c r="T8" s="63" t="s">
        <v>66</v>
      </c>
      <c r="U8" s="43" t="s">
        <v>2</v>
      </c>
      <c r="V8" s="44" t="s">
        <v>68</v>
      </c>
      <c r="W8" s="45" t="s">
        <v>71</v>
      </c>
      <c r="X8" s="30"/>
    </row>
    <row r="9" spans="1:24">
      <c r="C9" s="91"/>
      <c r="D9" s="63" t="s">
        <v>63</v>
      </c>
      <c r="E9" s="44" t="s">
        <v>80</v>
      </c>
      <c r="F9" s="46" t="s">
        <v>74</v>
      </c>
      <c r="G9" s="44" t="s">
        <v>67</v>
      </c>
      <c r="H9" s="44" t="s">
        <v>117</v>
      </c>
      <c r="I9" s="45" t="s">
        <v>72</v>
      </c>
      <c r="J9" s="46" t="s">
        <v>74</v>
      </c>
      <c r="K9" s="44" t="s">
        <v>67</v>
      </c>
      <c r="L9" s="45" t="s">
        <v>72</v>
      </c>
      <c r="M9" s="46" t="s">
        <v>74</v>
      </c>
      <c r="N9" s="44" t="s">
        <v>67</v>
      </c>
      <c r="O9" s="45" t="s">
        <v>72</v>
      </c>
      <c r="Q9" s="46" t="s">
        <v>74</v>
      </c>
      <c r="R9" s="44" t="s">
        <v>67</v>
      </c>
      <c r="S9" s="45" t="s">
        <v>72</v>
      </c>
      <c r="T9" s="63" t="s">
        <v>78</v>
      </c>
      <c r="U9" s="46" t="s">
        <v>74</v>
      </c>
      <c r="V9" s="44" t="s">
        <v>67</v>
      </c>
      <c r="W9" s="45" t="s">
        <v>72</v>
      </c>
    </row>
    <row r="10" spans="1:24">
      <c r="A10">
        <v>2010</v>
      </c>
      <c r="C10" s="24"/>
      <c r="E10" s="27"/>
      <c r="F10" s="56">
        <v>22.750636964980959</v>
      </c>
      <c r="G10" s="61"/>
      <c r="H10" s="31"/>
      <c r="I10" s="57"/>
      <c r="J10" s="47">
        <v>5.7231717506317636</v>
      </c>
      <c r="K10" s="61"/>
      <c r="L10" s="48"/>
      <c r="M10" s="47">
        <v>5.0793981346513721</v>
      </c>
      <c r="N10" s="28"/>
      <c r="O10" s="48"/>
      <c r="Q10" s="47">
        <v>5.7231717506317636</v>
      </c>
      <c r="R10" s="28"/>
      <c r="S10" s="48"/>
      <c r="T10" s="31"/>
      <c r="U10" s="47">
        <v>5.0793981346513721</v>
      </c>
      <c r="V10" s="28"/>
      <c r="W10" s="48"/>
    </row>
    <row r="11" spans="1:24">
      <c r="A11">
        <v>2011</v>
      </c>
      <c r="E11" s="27"/>
      <c r="F11" s="56">
        <v>22.932867919921684</v>
      </c>
      <c r="G11" s="28"/>
      <c r="H11" s="27"/>
      <c r="I11" s="51"/>
      <c r="J11" s="47">
        <v>5.7690139419960209</v>
      </c>
      <c r="K11" s="28"/>
      <c r="L11" s="48"/>
      <c r="M11" s="47">
        <v>5.1200837459609128</v>
      </c>
      <c r="N11" s="28"/>
      <c r="O11" s="48"/>
      <c r="Q11" s="47">
        <v>5.7690139419960209</v>
      </c>
      <c r="R11" s="28"/>
      <c r="S11" s="48"/>
      <c r="T11" s="27"/>
      <c r="U11" s="47">
        <v>5.1200837459609128</v>
      </c>
      <c r="V11" s="28"/>
      <c r="W11" s="48"/>
    </row>
    <row r="12" spans="1:24">
      <c r="A12">
        <v>2012</v>
      </c>
      <c r="E12" s="27"/>
      <c r="F12" s="56">
        <v>22.931848695058275</v>
      </c>
      <c r="G12" s="28"/>
      <c r="H12" s="27"/>
      <c r="I12" s="51"/>
      <c r="J12" s="47">
        <v>5.7687575448254798</v>
      </c>
      <c r="K12" s="28"/>
      <c r="L12" s="48"/>
      <c r="M12" s="47">
        <v>5.1198561897444437</v>
      </c>
      <c r="N12" s="28"/>
      <c r="O12" s="48"/>
      <c r="Q12" s="47">
        <v>5.7687575448254798</v>
      </c>
      <c r="R12" s="28"/>
      <c r="S12" s="48"/>
      <c r="T12" s="27"/>
      <c r="U12" s="47">
        <v>5.1198561897444437</v>
      </c>
      <c r="V12" s="28"/>
      <c r="W12" s="48"/>
    </row>
    <row r="13" spans="1:24">
      <c r="A13">
        <v>2013</v>
      </c>
      <c r="E13" s="27"/>
      <c r="F13" s="56">
        <v>23.182608376264469</v>
      </c>
      <c r="G13" s="28"/>
      <c r="H13" s="27"/>
      <c r="I13" s="51"/>
      <c r="J13" s="47">
        <v>5.8318388873780327</v>
      </c>
      <c r="K13" s="28"/>
      <c r="L13" s="48"/>
      <c r="M13" s="47">
        <v>5.1758417983638889</v>
      </c>
      <c r="N13" s="28"/>
      <c r="O13" s="48"/>
      <c r="Q13" s="47">
        <v>5.8318388873780327</v>
      </c>
      <c r="R13" s="28"/>
      <c r="S13" s="48"/>
      <c r="T13" s="27"/>
      <c r="U13" s="47">
        <v>5.1758417983638889</v>
      </c>
      <c r="V13" s="28"/>
      <c r="W13" s="48"/>
    </row>
    <row r="14" spans="1:24" ht="25.5">
      <c r="A14">
        <v>2014</v>
      </c>
      <c r="E14" s="64" t="s">
        <v>81</v>
      </c>
      <c r="F14" s="56">
        <v>23.658090569026307</v>
      </c>
      <c r="G14" s="28">
        <v>336.77154000000002</v>
      </c>
      <c r="H14" s="27"/>
      <c r="I14" s="51"/>
      <c r="J14" s="47">
        <v>5.9514516374619859</v>
      </c>
      <c r="K14" s="28">
        <v>1866.1670999999999</v>
      </c>
      <c r="L14" s="48"/>
      <c r="M14" s="47">
        <v>5.2819998530456989</v>
      </c>
      <c r="N14" s="28">
        <v>4446.4795199999999</v>
      </c>
      <c r="O14" s="48"/>
      <c r="Q14" s="47">
        <v>5.9514516374619859</v>
      </c>
      <c r="R14" s="28">
        <v>180</v>
      </c>
      <c r="S14" s="48"/>
      <c r="T14" s="27"/>
      <c r="U14" s="47">
        <v>5.2819998530456989</v>
      </c>
      <c r="V14" s="28">
        <v>50</v>
      </c>
      <c r="W14" s="48"/>
    </row>
    <row r="15" spans="1:24">
      <c r="A15">
        <v>2015</v>
      </c>
      <c r="E15" s="27">
        <v>1.48</v>
      </c>
      <c r="F15" s="56">
        <v>24.052665742690195</v>
      </c>
      <c r="G15" s="28">
        <f>(E15/100+1)*G14</f>
        <v>341.75575879199999</v>
      </c>
      <c r="H15" s="27"/>
      <c r="I15" s="51"/>
      <c r="J15" s="47">
        <v>6.0507113413063118</v>
      </c>
      <c r="K15" s="28">
        <f>(E15/100+1)*K14</f>
        <v>1893.7863730799997</v>
      </c>
      <c r="L15" s="48"/>
      <c r="M15" s="47">
        <v>5.3700942832883802</v>
      </c>
      <c r="N15" s="28">
        <f>(E15/100+1)*N14</f>
        <v>4512.2874168959997</v>
      </c>
      <c r="O15" s="48"/>
      <c r="Q15" s="47">
        <v>6.0507113413063118</v>
      </c>
      <c r="R15" s="28">
        <f>(E15/100+1)*R14</f>
        <v>182.66399999999999</v>
      </c>
      <c r="S15" s="48"/>
      <c r="T15" s="27"/>
      <c r="U15" s="47">
        <v>5.3700942832883802</v>
      </c>
      <c r="V15" s="28">
        <f>(E15/100+1)*V14</f>
        <v>50.739999999999995</v>
      </c>
      <c r="W15" s="48"/>
    </row>
    <row r="16" spans="1:24">
      <c r="A16">
        <v>2016</v>
      </c>
      <c r="E16" s="27">
        <v>1.48</v>
      </c>
      <c r="F16" s="56">
        <v>24.521954725305466</v>
      </c>
      <c r="G16" s="28">
        <f t="shared" ref="G16:G77" si="0">(E16/100+1)*G15</f>
        <v>346.81374402212157</v>
      </c>
      <c r="H16" s="27"/>
      <c r="I16" s="51"/>
      <c r="J16" s="47">
        <v>6.1687661215887548</v>
      </c>
      <c r="K16" s="28">
        <f t="shared" ref="K16:K77" si="1">(E16/100+1)*K15</f>
        <v>1921.8144114015836</v>
      </c>
      <c r="L16" s="48"/>
      <c r="M16" s="47">
        <v>5.4748696171209046</v>
      </c>
      <c r="N16" s="28">
        <f t="shared" ref="N16:N77" si="2">(E16/100+1)*N15</f>
        <v>4579.0692706660602</v>
      </c>
      <c r="O16" s="48"/>
      <c r="Q16" s="47">
        <v>6.1687661215887548</v>
      </c>
      <c r="R16" s="28">
        <f t="shared" ref="R16:R77" si="3">(E16/100+1)*R15</f>
        <v>185.36742719999998</v>
      </c>
      <c r="S16" s="48"/>
      <c r="T16" s="27"/>
      <c r="U16" s="47">
        <v>5.4748696171209046</v>
      </c>
      <c r="V16" s="28">
        <f t="shared" ref="V16:V77" si="4">(E16/100+1)*V15</f>
        <v>51.490951999999993</v>
      </c>
      <c r="W16" s="48"/>
    </row>
    <row r="17" spans="1:23">
      <c r="A17" s="34">
        <v>2017</v>
      </c>
      <c r="B17" s="34"/>
      <c r="C17" s="35" t="s">
        <v>85</v>
      </c>
      <c r="D17" s="34">
        <v>1</v>
      </c>
      <c r="E17" s="36">
        <v>1.19</v>
      </c>
      <c r="F17" s="58">
        <v>25.00912873207761</v>
      </c>
      <c r="G17" s="37">
        <f t="shared" si="0"/>
        <v>350.94082757598483</v>
      </c>
      <c r="H17" s="38">
        <v>0.5</v>
      </c>
      <c r="I17" s="50">
        <f t="shared" ref="I17:I77" si="5">D17*F17*G17*H17</f>
        <v>4388.3621670948278</v>
      </c>
      <c r="J17" s="49">
        <v>6.2913200754623162</v>
      </c>
      <c r="K17" s="37">
        <f t="shared" si="1"/>
        <v>1944.6840028972624</v>
      </c>
      <c r="L17" s="50">
        <f t="shared" ref="L17:L77" si="6">D17*J17*K17*H17</f>
        <v>6117.3147539289821</v>
      </c>
      <c r="M17" s="49">
        <v>5.5836380329264941</v>
      </c>
      <c r="N17" s="37">
        <f t="shared" si="2"/>
        <v>4633.5601949869861</v>
      </c>
      <c r="O17" s="50">
        <f t="shared" ref="O17:O77" si="7">D17*M17*N17*H17</f>
        <v>12936.061466291818</v>
      </c>
      <c r="Q17" s="49">
        <v>6.2913200754623162</v>
      </c>
      <c r="R17" s="37">
        <f t="shared" si="3"/>
        <v>187.57329958367998</v>
      </c>
      <c r="S17" s="50">
        <f>D17*Q17*R17*T17</f>
        <v>590.04183264575659</v>
      </c>
      <c r="T17" s="38">
        <v>0.5</v>
      </c>
      <c r="U17" s="49">
        <v>5.5836380329264941</v>
      </c>
      <c r="V17" s="37">
        <f t="shared" si="4"/>
        <v>52.103694328799996</v>
      </c>
      <c r="W17" s="50">
        <f>D17*U17*V17*T17</f>
        <v>145.46408465513207</v>
      </c>
    </row>
    <row r="18" spans="1:23">
      <c r="A18">
        <v>2018</v>
      </c>
      <c r="C18" s="25">
        <v>3.5000000000000003E-2</v>
      </c>
      <c r="D18" s="26">
        <f>D17/1.035</f>
        <v>0.96618357487922713</v>
      </c>
      <c r="E18" s="27">
        <v>1.19</v>
      </c>
      <c r="F18" s="56">
        <v>25.484612871256417</v>
      </c>
      <c r="G18" s="28">
        <f t="shared" si="0"/>
        <v>355.11702342413906</v>
      </c>
      <c r="H18" s="32">
        <v>0.5</v>
      </c>
      <c r="I18" s="51">
        <f t="shared" si="5"/>
        <v>4371.9902734092175</v>
      </c>
      <c r="J18" s="47">
        <v>6.4109333151887604</v>
      </c>
      <c r="K18" s="28">
        <f t="shared" si="1"/>
        <v>1967.8257425317399</v>
      </c>
      <c r="L18" s="51">
        <f t="shared" si="6"/>
        <v>6094.4925658370976</v>
      </c>
      <c r="M18" s="47">
        <v>5.6897965221731326</v>
      </c>
      <c r="N18" s="28">
        <f t="shared" si="2"/>
        <v>4688.6995613073314</v>
      </c>
      <c r="O18" s="51">
        <f t="shared" si="7"/>
        <v>12887.800220986062</v>
      </c>
      <c r="Q18" s="47">
        <v>6.4109333151887604</v>
      </c>
      <c r="R18" s="28">
        <f t="shared" si="3"/>
        <v>189.80542184872579</v>
      </c>
      <c r="S18" s="51">
        <f t="shared" ref="S18:S77" si="8">D18*Q18*R18*T18</f>
        <v>587.8405325282381</v>
      </c>
      <c r="T18" s="32">
        <v>0.5</v>
      </c>
      <c r="U18" s="47">
        <v>5.6897965221731326</v>
      </c>
      <c r="V18" s="28">
        <f t="shared" si="4"/>
        <v>52.723728291312717</v>
      </c>
      <c r="W18" s="51">
        <f t="shared" ref="W18:W77" si="9">D18*U18*V18*T18</f>
        <v>144.92139413908808</v>
      </c>
    </row>
    <row r="19" spans="1:23">
      <c r="A19">
        <v>2019</v>
      </c>
      <c r="C19" s="25">
        <v>3.5000000000000003E-2</v>
      </c>
      <c r="D19" s="26">
        <f>D18/1.035</f>
        <v>0.93351070036640305</v>
      </c>
      <c r="E19" s="27">
        <v>1.19</v>
      </c>
      <c r="F19" s="56">
        <v>25.971738255235024</v>
      </c>
      <c r="G19" s="28">
        <f t="shared" si="0"/>
        <v>359.34291600288634</v>
      </c>
      <c r="H19" s="32">
        <v>0.5</v>
      </c>
      <c r="I19" s="51">
        <f t="shared" si="5"/>
        <v>4356.1157358630871</v>
      </c>
      <c r="J19" s="47">
        <v>6.5334750374663972</v>
      </c>
      <c r="K19" s="28">
        <f t="shared" si="1"/>
        <v>1991.2428688678676</v>
      </c>
      <c r="L19" s="51">
        <f t="shared" si="6"/>
        <v>6072.3636851647361</v>
      </c>
      <c r="M19" s="47">
        <v>5.7985540822595105</v>
      </c>
      <c r="N19" s="28">
        <f t="shared" si="2"/>
        <v>4744.4950860868885</v>
      </c>
      <c r="O19" s="51">
        <f t="shared" si="7"/>
        <v>12841.005087488305</v>
      </c>
      <c r="Q19" s="47">
        <v>6.5334750374663972</v>
      </c>
      <c r="R19" s="28">
        <f t="shared" si="3"/>
        <v>192.06410636872562</v>
      </c>
      <c r="S19" s="51">
        <f t="shared" si="8"/>
        <v>585.70610495150868</v>
      </c>
      <c r="T19" s="32">
        <v>0.5</v>
      </c>
      <c r="U19" s="47">
        <v>5.7985540822595105</v>
      </c>
      <c r="V19" s="28">
        <f t="shared" si="4"/>
        <v>53.351140657979343</v>
      </c>
      <c r="W19" s="51">
        <f t="shared" si="9"/>
        <v>144.39518983198093</v>
      </c>
    </row>
    <row r="20" spans="1:23">
      <c r="A20">
        <v>2020</v>
      </c>
      <c r="C20" s="25">
        <v>3.5000000000000003E-2</v>
      </c>
      <c r="D20" s="26">
        <f>D19/1.035</f>
        <v>0.90194270566802237</v>
      </c>
      <c r="E20" s="27">
        <v>1.19</v>
      </c>
      <c r="F20" s="56">
        <v>26.464362164171281</v>
      </c>
      <c r="G20" s="28">
        <f t="shared" si="0"/>
        <v>363.61909670332068</v>
      </c>
      <c r="H20" s="32">
        <v>0.5</v>
      </c>
      <c r="I20" s="51">
        <f t="shared" si="5"/>
        <v>4339.6736365261095</v>
      </c>
      <c r="J20" s="47">
        <v>6.6573999738824412</v>
      </c>
      <c r="K20" s="28">
        <f t="shared" si="1"/>
        <v>2014.9386590073952</v>
      </c>
      <c r="L20" s="51">
        <f t="shared" si="6"/>
        <v>6049.4436313884435</v>
      </c>
      <c r="M20" s="47">
        <v>5.9085392650034949</v>
      </c>
      <c r="N20" s="28">
        <f t="shared" si="2"/>
        <v>4800.9545776113227</v>
      </c>
      <c r="O20" s="51">
        <f t="shared" si="7"/>
        <v>12792.536889204017</v>
      </c>
      <c r="Q20" s="47">
        <v>6.6573999738824412</v>
      </c>
      <c r="R20" s="28">
        <f t="shared" si="3"/>
        <v>194.34966923451347</v>
      </c>
      <c r="S20" s="51">
        <f t="shared" si="8"/>
        <v>583.49536525958479</v>
      </c>
      <c r="T20" s="32">
        <v>0.5</v>
      </c>
      <c r="U20" s="47">
        <v>5.9085392650034949</v>
      </c>
      <c r="V20" s="28">
        <f t="shared" si="4"/>
        <v>53.986019231809301</v>
      </c>
      <c r="W20" s="51">
        <f t="shared" si="9"/>
        <v>143.85017216051429</v>
      </c>
    </row>
    <row r="21" spans="1:23">
      <c r="A21">
        <v>2021</v>
      </c>
      <c r="C21" s="25">
        <v>3.5000000000000003E-2</v>
      </c>
      <c r="D21" s="26">
        <f t="shared" ref="D21:D47" si="10">D20/1.035</f>
        <v>0.87144222769857238</v>
      </c>
      <c r="E21" s="27">
        <v>1.19</v>
      </c>
      <c r="F21" s="56">
        <v>26.962911088215058</v>
      </c>
      <c r="G21" s="28">
        <f t="shared" si="0"/>
        <v>367.9461639540902</v>
      </c>
      <c r="H21" s="32">
        <v>0.5</v>
      </c>
      <c r="I21" s="51">
        <f t="shared" si="5"/>
        <v>4322.7454693895052</v>
      </c>
      <c r="J21" s="47">
        <v>6.7828154127023366</v>
      </c>
      <c r="K21" s="28">
        <f t="shared" si="1"/>
        <v>2038.9164290495833</v>
      </c>
      <c r="L21" s="51">
        <f t="shared" si="6"/>
        <v>6025.8460059786248</v>
      </c>
      <c r="M21" s="47">
        <v>6.0198472903004712</v>
      </c>
      <c r="N21" s="28">
        <f t="shared" si="2"/>
        <v>4858.0859370848975</v>
      </c>
      <c r="O21" s="51">
        <f t="shared" si="7"/>
        <v>12742.635855002061</v>
      </c>
      <c r="Q21" s="47">
        <v>6.7828154127023366</v>
      </c>
      <c r="R21" s="28">
        <f t="shared" si="3"/>
        <v>196.66243029840419</v>
      </c>
      <c r="S21" s="51">
        <f t="shared" si="8"/>
        <v>581.21927081243302</v>
      </c>
      <c r="T21" s="32">
        <v>0.5</v>
      </c>
      <c r="U21" s="47">
        <v>6.0198472903004712</v>
      </c>
      <c r="V21" s="28">
        <f t="shared" si="4"/>
        <v>54.628452860667835</v>
      </c>
      <c r="W21" s="51">
        <f t="shared" si="9"/>
        <v>143.28904246254197</v>
      </c>
    </row>
    <row r="22" spans="1:23">
      <c r="A22">
        <v>2022</v>
      </c>
      <c r="C22" s="25">
        <v>3.5000000000000003E-2</v>
      </c>
      <c r="D22" s="26">
        <f t="shared" si="10"/>
        <v>0.84197316685852408</v>
      </c>
      <c r="E22" s="27">
        <v>0.91</v>
      </c>
      <c r="F22" s="56">
        <v>27.467706381517473</v>
      </c>
      <c r="G22" s="28">
        <f t="shared" si="0"/>
        <v>371.29447404607248</v>
      </c>
      <c r="H22" s="32">
        <v>0.5</v>
      </c>
      <c r="I22" s="51">
        <f t="shared" si="5"/>
        <v>4293.4769668085028</v>
      </c>
      <c r="J22" s="47">
        <v>6.909802194080247</v>
      </c>
      <c r="K22" s="28">
        <f t="shared" si="1"/>
        <v>2057.4705685539348</v>
      </c>
      <c r="L22" s="51">
        <f t="shared" si="6"/>
        <v>5985.0461276078968</v>
      </c>
      <c r="M22" s="47">
        <v>6.1325499049625485</v>
      </c>
      <c r="N22" s="28">
        <f t="shared" si="2"/>
        <v>4902.2945191123708</v>
      </c>
      <c r="O22" s="51">
        <f t="shared" si="7"/>
        <v>12656.357846488278</v>
      </c>
      <c r="Q22" s="47">
        <v>6.909802194080247</v>
      </c>
      <c r="R22" s="28">
        <f t="shared" si="3"/>
        <v>198.45205841411968</v>
      </c>
      <c r="S22" s="51">
        <f t="shared" si="8"/>
        <v>577.2839436347482</v>
      </c>
      <c r="T22" s="32">
        <v>0.5</v>
      </c>
      <c r="U22" s="47">
        <v>6.1325499049625485</v>
      </c>
      <c r="V22" s="28">
        <f t="shared" si="4"/>
        <v>55.125571781699918</v>
      </c>
      <c r="W22" s="51">
        <f t="shared" si="9"/>
        <v>142.3188591059594</v>
      </c>
    </row>
    <row r="23" spans="1:23">
      <c r="A23">
        <v>2023</v>
      </c>
      <c r="C23" s="25">
        <v>3.5000000000000003E-2</v>
      </c>
      <c r="D23" s="26">
        <f t="shared" si="10"/>
        <v>0.81350064430775282</v>
      </c>
      <c r="E23" s="27">
        <v>0.91</v>
      </c>
      <c r="F23" s="56">
        <v>27.985902842392463</v>
      </c>
      <c r="G23" s="28">
        <f t="shared" si="0"/>
        <v>374.67325375989179</v>
      </c>
      <c r="H23" s="32">
        <v>0.5</v>
      </c>
      <c r="I23" s="51">
        <f t="shared" si="5"/>
        <v>4265.0086815359746</v>
      </c>
      <c r="J23" s="47">
        <v>7.0401601858464611</v>
      </c>
      <c r="K23" s="28">
        <f t="shared" si="1"/>
        <v>2076.1935507277758</v>
      </c>
      <c r="L23" s="51">
        <f t="shared" si="6"/>
        <v>5945.3617408399778</v>
      </c>
      <c r="M23" s="47">
        <v>6.2482445178563717</v>
      </c>
      <c r="N23" s="28">
        <f t="shared" si="2"/>
        <v>4946.9053992362942</v>
      </c>
      <c r="O23" s="51">
        <f t="shared" si="7"/>
        <v>12572.438727212588</v>
      </c>
      <c r="Q23" s="47">
        <v>7.0401601858464611</v>
      </c>
      <c r="R23" s="28">
        <f t="shared" si="3"/>
        <v>200.2579721456882</v>
      </c>
      <c r="S23" s="51">
        <f t="shared" si="8"/>
        <v>573.45621051362241</v>
      </c>
      <c r="T23" s="32">
        <v>0.5</v>
      </c>
      <c r="U23" s="47">
        <v>6.2482445178563717</v>
      </c>
      <c r="V23" s="28">
        <f t="shared" si="4"/>
        <v>55.627214484913395</v>
      </c>
      <c r="W23" s="51">
        <f t="shared" si="9"/>
        <v>141.37520110755611</v>
      </c>
    </row>
    <row r="24" spans="1:23">
      <c r="A24">
        <v>2024</v>
      </c>
      <c r="C24" s="25">
        <v>3.5000000000000003E-2</v>
      </c>
      <c r="D24" s="26">
        <f t="shared" si="10"/>
        <v>0.78599096068381924</v>
      </c>
      <c r="E24" s="27">
        <v>0.91</v>
      </c>
      <c r="F24" s="56">
        <v>28.518219096018971</v>
      </c>
      <c r="G24" s="28">
        <f t="shared" si="0"/>
        <v>378.08278036910684</v>
      </c>
      <c r="H24" s="32">
        <v>0.5</v>
      </c>
      <c r="I24" s="51">
        <f t="shared" si="5"/>
        <v>4237.374561757847</v>
      </c>
      <c r="J24" s="47">
        <v>7.1740701660306101</v>
      </c>
      <c r="K24" s="28">
        <f t="shared" si="1"/>
        <v>2095.0869120393986</v>
      </c>
      <c r="L24" s="51">
        <f t="shared" si="6"/>
        <v>5906.8401689655921</v>
      </c>
      <c r="M24" s="47">
        <v>6.3670915721114678</v>
      </c>
      <c r="N24" s="28">
        <f t="shared" si="2"/>
        <v>4991.922238369345</v>
      </c>
      <c r="O24" s="51">
        <f t="shared" si="7"/>
        <v>12490.978570004696</v>
      </c>
      <c r="Q24" s="47">
        <v>7.1740701660306101</v>
      </c>
      <c r="R24" s="28">
        <f t="shared" si="3"/>
        <v>202.08031969221398</v>
      </c>
      <c r="S24" s="51">
        <f t="shared" si="8"/>
        <v>569.74063598795999</v>
      </c>
      <c r="T24" s="32">
        <v>0.5</v>
      </c>
      <c r="U24" s="47">
        <v>6.3670915721114678</v>
      </c>
      <c r="V24" s="28">
        <f t="shared" si="4"/>
        <v>56.133422136726111</v>
      </c>
      <c r="W24" s="51">
        <f t="shared" si="9"/>
        <v>140.45919377139847</v>
      </c>
    </row>
    <row r="25" spans="1:23">
      <c r="A25">
        <v>2025</v>
      </c>
      <c r="C25" s="25">
        <v>3.5000000000000003E-2</v>
      </c>
      <c r="D25" s="26">
        <f t="shared" si="10"/>
        <v>0.75941155621625056</v>
      </c>
      <c r="E25" s="27">
        <v>0.91</v>
      </c>
      <c r="F25" s="56">
        <v>29.065343025055924</v>
      </c>
      <c r="G25" s="28">
        <f t="shared" si="0"/>
        <v>381.52333367046577</v>
      </c>
      <c r="H25" s="32">
        <v>0.5</v>
      </c>
      <c r="I25" s="51">
        <f t="shared" si="5"/>
        <v>4210.5978368612714</v>
      </c>
      <c r="J25" s="47">
        <v>7.3117051790449183</v>
      </c>
      <c r="K25" s="28">
        <f t="shared" si="1"/>
        <v>2114.1522029389575</v>
      </c>
      <c r="L25" s="51">
        <f t="shared" si="6"/>
        <v>5869.51379342167</v>
      </c>
      <c r="M25" s="47">
        <v>6.4892446471594818</v>
      </c>
      <c r="N25" s="28">
        <f t="shared" si="2"/>
        <v>5037.3487307385067</v>
      </c>
      <c r="O25" s="51">
        <f t="shared" si="7"/>
        <v>12412.045850703314</v>
      </c>
      <c r="Q25" s="47">
        <v>7.3117051790449183</v>
      </c>
      <c r="R25" s="28">
        <f t="shared" si="3"/>
        <v>203.91925060141315</v>
      </c>
      <c r="S25" s="51">
        <f t="shared" si="8"/>
        <v>566.14034338934653</v>
      </c>
      <c r="T25" s="32">
        <v>0.5</v>
      </c>
      <c r="U25" s="47">
        <v>6.4892446471594818</v>
      </c>
      <c r="V25" s="28">
        <f t="shared" si="4"/>
        <v>56.644236278170325</v>
      </c>
      <c r="W25" s="51">
        <f t="shared" si="9"/>
        <v>139.57160709809494</v>
      </c>
    </row>
    <row r="26" spans="1:23">
      <c r="A26">
        <v>2026</v>
      </c>
      <c r="C26" s="25">
        <v>3.5000000000000003E-2</v>
      </c>
      <c r="D26" s="26">
        <f t="shared" si="10"/>
        <v>0.73373097218961414</v>
      </c>
      <c r="E26" s="27">
        <v>0.91</v>
      </c>
      <c r="F26" s="56">
        <v>29.62796511634221</v>
      </c>
      <c r="G26" s="28">
        <f t="shared" si="0"/>
        <v>384.99519600686705</v>
      </c>
      <c r="H26" s="32">
        <v>0.5</v>
      </c>
      <c r="I26" s="51">
        <f t="shared" si="5"/>
        <v>4184.6967454998185</v>
      </c>
      <c r="J26" s="47">
        <v>7.4532389244115818</v>
      </c>
      <c r="K26" s="28">
        <f t="shared" si="1"/>
        <v>2133.3909879857024</v>
      </c>
      <c r="L26" s="51">
        <f t="shared" si="6"/>
        <v>5833.4080386331652</v>
      </c>
      <c r="M26" s="47">
        <v>6.614857903851683</v>
      </c>
      <c r="N26" s="28">
        <f t="shared" si="2"/>
        <v>5083.1886041882281</v>
      </c>
      <c r="O26" s="51">
        <f t="shared" si="7"/>
        <v>12335.694333408743</v>
      </c>
      <c r="Q26" s="47">
        <v>7.4532389244115818</v>
      </c>
      <c r="R26" s="28">
        <f t="shared" si="3"/>
        <v>205.77491578188602</v>
      </c>
      <c r="S26" s="51">
        <f t="shared" si="8"/>
        <v>562.65778501505565</v>
      </c>
      <c r="T26" s="32">
        <v>0.5</v>
      </c>
      <c r="U26" s="47">
        <v>6.614857903851683</v>
      </c>
      <c r="V26" s="28">
        <f t="shared" si="4"/>
        <v>57.159698828301678</v>
      </c>
      <c r="W26" s="51">
        <f t="shared" si="9"/>
        <v>138.71304565694641</v>
      </c>
    </row>
    <row r="27" spans="1:23">
      <c r="A27">
        <v>2027</v>
      </c>
      <c r="C27" s="25">
        <v>3.5000000000000003E-2</v>
      </c>
      <c r="D27" s="26">
        <f t="shared" si="10"/>
        <v>0.70891881370977217</v>
      </c>
      <c r="E27" s="27">
        <v>0.89</v>
      </c>
      <c r="F27" s="56">
        <v>30.206691450720747</v>
      </c>
      <c r="G27" s="28">
        <f t="shared" si="0"/>
        <v>388.42165325132811</v>
      </c>
      <c r="H27" s="32">
        <v>0.5</v>
      </c>
      <c r="I27" s="51">
        <f t="shared" si="5"/>
        <v>4158.8484833828352</v>
      </c>
      <c r="J27" s="47">
        <v>7.59882386840063</v>
      </c>
      <c r="K27" s="28">
        <f t="shared" si="1"/>
        <v>2152.3781677787752</v>
      </c>
      <c r="L27" s="51">
        <f t="shared" si="6"/>
        <v>5797.3759270637765</v>
      </c>
      <c r="M27" s="47">
        <v>6.7440666582193396</v>
      </c>
      <c r="N27" s="28">
        <f t="shared" si="2"/>
        <v>5128.428982765503</v>
      </c>
      <c r="O27" s="51">
        <f t="shared" si="7"/>
        <v>12259.498546732484</v>
      </c>
      <c r="Q27" s="47">
        <v>7.59882386840063</v>
      </c>
      <c r="R27" s="28">
        <f t="shared" si="3"/>
        <v>207.60631253234479</v>
      </c>
      <c r="S27" s="51">
        <f t="shared" si="8"/>
        <v>559.18232985217662</v>
      </c>
      <c r="T27" s="32">
        <v>0.5</v>
      </c>
      <c r="U27" s="47">
        <v>6.7440666582193396</v>
      </c>
      <c r="V27" s="28">
        <f t="shared" si="4"/>
        <v>57.668420147873562</v>
      </c>
      <c r="W27" s="51">
        <f t="shared" si="9"/>
        <v>137.85623538340829</v>
      </c>
    </row>
    <row r="28" spans="1:23">
      <c r="A28">
        <v>2028</v>
      </c>
      <c r="C28" s="25">
        <v>3.5000000000000003E-2</v>
      </c>
      <c r="D28" s="26">
        <f t="shared" si="10"/>
        <v>0.68494571372924851</v>
      </c>
      <c r="E28" s="27">
        <v>0.89</v>
      </c>
      <c r="F28" s="56">
        <v>30.802003134944645</v>
      </c>
      <c r="G28" s="28">
        <f t="shared" si="0"/>
        <v>391.87860596526491</v>
      </c>
      <c r="H28" s="32">
        <v>0.5</v>
      </c>
      <c r="I28" s="51">
        <f t="shared" si="5"/>
        <v>4133.8686367601977</v>
      </c>
      <c r="J28" s="47">
        <v>7.7485810386818663</v>
      </c>
      <c r="K28" s="28">
        <f t="shared" si="1"/>
        <v>2171.534333472006</v>
      </c>
      <c r="L28" s="51">
        <f t="shared" si="6"/>
        <v>5762.5543744031165</v>
      </c>
      <c r="M28" s="47">
        <v>6.8769783240789586</v>
      </c>
      <c r="N28" s="28">
        <f t="shared" si="2"/>
        <v>5174.0720007121154</v>
      </c>
      <c r="O28" s="51">
        <f t="shared" si="7"/>
        <v>12185.862684644351</v>
      </c>
      <c r="Q28" s="47">
        <v>7.7485810386818663</v>
      </c>
      <c r="R28" s="28">
        <f t="shared" si="3"/>
        <v>209.45400871388264</v>
      </c>
      <c r="S28" s="51">
        <f t="shared" si="8"/>
        <v>555.82363840438575</v>
      </c>
      <c r="T28" s="32">
        <v>0.5</v>
      </c>
      <c r="U28" s="47">
        <v>6.8769783240789586</v>
      </c>
      <c r="V28" s="28">
        <f t="shared" si="4"/>
        <v>58.181669087189633</v>
      </c>
      <c r="W28" s="51">
        <f t="shared" si="9"/>
        <v>137.02821108062082</v>
      </c>
    </row>
    <row r="29" spans="1:23">
      <c r="A29">
        <v>2029</v>
      </c>
      <c r="C29" s="25">
        <v>3.5000000000000003E-2</v>
      </c>
      <c r="D29" s="26">
        <f t="shared" si="10"/>
        <v>0.66178329828912907</v>
      </c>
      <c r="E29" s="27">
        <v>0.89</v>
      </c>
      <c r="F29" s="56">
        <v>31.414399176305807</v>
      </c>
      <c r="G29" s="28">
        <f t="shared" si="0"/>
        <v>395.36632555835575</v>
      </c>
      <c r="H29" s="32">
        <v>0.5</v>
      </c>
      <c r="I29" s="51">
        <f t="shared" si="5"/>
        <v>4109.7389955036851</v>
      </c>
      <c r="J29" s="47">
        <v>7.9026359660015624</v>
      </c>
      <c r="K29" s="28">
        <f t="shared" si="1"/>
        <v>2190.8609890399066</v>
      </c>
      <c r="L29" s="51">
        <f t="shared" si="6"/>
        <v>5728.9179959901658</v>
      </c>
      <c r="M29" s="47">
        <v>7.0137043117928748</v>
      </c>
      <c r="N29" s="28">
        <f t="shared" si="2"/>
        <v>5220.1212415184527</v>
      </c>
      <c r="O29" s="51">
        <f t="shared" si="7"/>
        <v>12114.733067131387</v>
      </c>
      <c r="Q29" s="47">
        <v>7.9026359660015624</v>
      </c>
      <c r="R29" s="28">
        <f t="shared" si="3"/>
        <v>211.31814939143618</v>
      </c>
      <c r="S29" s="51">
        <f t="shared" si="8"/>
        <v>552.57926220981494</v>
      </c>
      <c r="T29" s="32">
        <v>0.5</v>
      </c>
      <c r="U29" s="47">
        <v>7.0137043117928748</v>
      </c>
      <c r="V29" s="28">
        <f t="shared" si="4"/>
        <v>58.699485942065614</v>
      </c>
      <c r="W29" s="51">
        <f t="shared" si="9"/>
        <v>136.2283691248328</v>
      </c>
    </row>
    <row r="30" spans="1:23">
      <c r="A30">
        <v>2030</v>
      </c>
      <c r="C30" s="25">
        <v>3.5000000000000003E-2</v>
      </c>
      <c r="D30" s="26">
        <f t="shared" si="10"/>
        <v>0.63940415293635666</v>
      </c>
      <c r="E30" s="27">
        <v>0.89</v>
      </c>
      <c r="F30" s="56">
        <v>32.044259300362327</v>
      </c>
      <c r="G30" s="28">
        <f t="shared" si="0"/>
        <v>398.88508585582508</v>
      </c>
      <c r="H30" s="32">
        <v>0.5</v>
      </c>
      <c r="I30" s="51">
        <f t="shared" si="5"/>
        <v>4086.4246273397184</v>
      </c>
      <c r="J30" s="47">
        <v>8.0610841744802251</v>
      </c>
      <c r="K30" s="28">
        <f t="shared" si="1"/>
        <v>2210.3596518423615</v>
      </c>
      <c r="L30" s="51">
        <f t="shared" si="6"/>
        <v>5696.4180967299399</v>
      </c>
      <c r="M30" s="47">
        <v>7.1543294004068123</v>
      </c>
      <c r="N30" s="28">
        <f t="shared" si="2"/>
        <v>5266.5803205679667</v>
      </c>
      <c r="O30" s="51">
        <f t="shared" si="7"/>
        <v>12046.006720459663</v>
      </c>
      <c r="Q30" s="47">
        <v>8.0610841744802251</v>
      </c>
      <c r="R30" s="28">
        <f t="shared" si="3"/>
        <v>213.19888092101993</v>
      </c>
      <c r="S30" s="51">
        <f t="shared" si="8"/>
        <v>549.44450441302342</v>
      </c>
      <c r="T30" s="32">
        <v>0.5</v>
      </c>
      <c r="U30" s="47">
        <v>7.1543294004068123</v>
      </c>
      <c r="V30" s="28">
        <f t="shared" si="4"/>
        <v>59.221911366949996</v>
      </c>
      <c r="W30" s="51">
        <f t="shared" si="9"/>
        <v>135.45555159174177</v>
      </c>
    </row>
    <row r="31" spans="1:23">
      <c r="A31">
        <v>2031</v>
      </c>
      <c r="C31" s="25">
        <v>3.5000000000000003E-2</v>
      </c>
      <c r="D31" s="26">
        <f t="shared" si="10"/>
        <v>0.61778179027667313</v>
      </c>
      <c r="E31" s="27">
        <v>0.89</v>
      </c>
      <c r="F31" s="56">
        <v>32.691933437571272</v>
      </c>
      <c r="G31" s="28">
        <f t="shared" si="0"/>
        <v>402.43516311994188</v>
      </c>
      <c r="H31" s="32">
        <v>0.5</v>
      </c>
      <c r="I31" s="51">
        <f t="shared" si="5"/>
        <v>4063.8870963785585</v>
      </c>
      <c r="J31" s="47">
        <v>8.2240136929545731</v>
      </c>
      <c r="K31" s="28">
        <f t="shared" si="1"/>
        <v>2230.0318527437585</v>
      </c>
      <c r="L31" s="51">
        <f t="shared" si="6"/>
        <v>5665.0010975361147</v>
      </c>
      <c r="M31" s="47">
        <v>7.2989317167931578</v>
      </c>
      <c r="N31" s="28">
        <f t="shared" si="2"/>
        <v>5313.4528854210212</v>
      </c>
      <c r="O31" s="51">
        <f t="shared" si="7"/>
        <v>11979.570342897641</v>
      </c>
      <c r="Q31" s="47">
        <v>8.2240136929545731</v>
      </c>
      <c r="R31" s="28">
        <f t="shared" si="3"/>
        <v>215.09635096121698</v>
      </c>
      <c r="S31" s="51">
        <f t="shared" si="8"/>
        <v>546.41419707618934</v>
      </c>
      <c r="T31" s="32">
        <v>0.5</v>
      </c>
      <c r="U31" s="47">
        <v>7.2989317167931578</v>
      </c>
      <c r="V31" s="28">
        <f t="shared" si="4"/>
        <v>59.748986378115845</v>
      </c>
      <c r="W31" s="51">
        <f t="shared" si="9"/>
        <v>134.7084844202503</v>
      </c>
    </row>
    <row r="32" spans="1:23">
      <c r="A32">
        <v>2032</v>
      </c>
      <c r="C32" s="25">
        <v>3.5000000000000003E-2</v>
      </c>
      <c r="D32" s="26">
        <f t="shared" si="10"/>
        <v>0.59689061862480497</v>
      </c>
      <c r="E32" s="27">
        <v>0.89</v>
      </c>
      <c r="F32" s="56">
        <v>33.357691434038379</v>
      </c>
      <c r="G32" s="28">
        <f t="shared" si="0"/>
        <v>406.01683607170935</v>
      </c>
      <c r="H32" s="32">
        <v>0.5</v>
      </c>
      <c r="I32" s="51">
        <f t="shared" si="5"/>
        <v>4042.0789050313929</v>
      </c>
      <c r="J32" s="47">
        <v>8.3914924041661614</v>
      </c>
      <c r="K32" s="28">
        <f t="shared" si="1"/>
        <v>2249.8791362331776</v>
      </c>
      <c r="L32" s="51">
        <f t="shared" si="6"/>
        <v>5634.6007874420993</v>
      </c>
      <c r="M32" s="47">
        <v>7.4475715078719524</v>
      </c>
      <c r="N32" s="28">
        <f t="shared" si="2"/>
        <v>5360.7426161012681</v>
      </c>
      <c r="O32" s="51">
        <f t="shared" si="7"/>
        <v>11915.283920539214</v>
      </c>
      <c r="Q32" s="47">
        <v>8.3914924041661614</v>
      </c>
      <c r="R32" s="28">
        <f t="shared" si="3"/>
        <v>217.01070848477178</v>
      </c>
      <c r="S32" s="51">
        <f t="shared" si="8"/>
        <v>543.48195386124746</v>
      </c>
      <c r="T32" s="32">
        <v>0.5</v>
      </c>
      <c r="U32" s="47">
        <v>7.4475715078719524</v>
      </c>
      <c r="V32" s="28">
        <f t="shared" si="4"/>
        <v>60.280752356881074</v>
      </c>
      <c r="W32" s="51">
        <f t="shared" si="9"/>
        <v>133.98559317483617</v>
      </c>
    </row>
    <row r="33" spans="1:23">
      <c r="A33">
        <v>2033</v>
      </c>
      <c r="C33" s="25">
        <v>3.5000000000000003E-2</v>
      </c>
      <c r="D33" s="26">
        <f t="shared" si="10"/>
        <v>0.57670591171478747</v>
      </c>
      <c r="E33" s="27">
        <v>0.89</v>
      </c>
      <c r="F33" s="56">
        <v>34.041707097224808</v>
      </c>
      <c r="G33" s="28">
        <f t="shared" si="0"/>
        <v>409.6303859127475</v>
      </c>
      <c r="H33" s="32">
        <v>0.5</v>
      </c>
      <c r="I33" s="51">
        <f t="shared" si="5"/>
        <v>4020.9428723959682</v>
      </c>
      <c r="J33" s="47">
        <v>8.5635640312842938</v>
      </c>
      <c r="K33" s="28">
        <f t="shared" si="1"/>
        <v>2269.9030605456528</v>
      </c>
      <c r="L33" s="51">
        <f t="shared" si="6"/>
        <v>5605.1374570794187</v>
      </c>
      <c r="M33" s="47">
        <v>7.6002875785916171</v>
      </c>
      <c r="N33" s="28">
        <f t="shared" si="2"/>
        <v>5408.4532253845691</v>
      </c>
      <c r="O33" s="51">
        <f t="shared" si="7"/>
        <v>11852.978894902188</v>
      </c>
      <c r="Q33" s="47">
        <v>8.5635640312842938</v>
      </c>
      <c r="R33" s="28">
        <f t="shared" si="3"/>
        <v>218.94210379028624</v>
      </c>
      <c r="S33" s="51">
        <f t="shared" si="8"/>
        <v>540.64008645008005</v>
      </c>
      <c r="T33" s="32">
        <v>0.5</v>
      </c>
      <c r="U33" s="47">
        <v>7.6002875785916171</v>
      </c>
      <c r="V33" s="28">
        <f t="shared" si="4"/>
        <v>60.817251052857308</v>
      </c>
      <c r="W33" s="51">
        <f t="shared" si="9"/>
        <v>133.28498244046997</v>
      </c>
    </row>
    <row r="34" spans="1:23">
      <c r="A34">
        <v>2034</v>
      </c>
      <c r="C34" s="25">
        <v>3.5000000000000003E-2</v>
      </c>
      <c r="D34" s="26">
        <f t="shared" si="10"/>
        <v>0.55720377943457733</v>
      </c>
      <c r="E34" s="27">
        <v>0.89</v>
      </c>
      <c r="F34" s="56">
        <v>34.744002928237698</v>
      </c>
      <c r="G34" s="28">
        <f t="shared" si="0"/>
        <v>413.27609634737092</v>
      </c>
      <c r="H34" s="32">
        <v>0.5</v>
      </c>
      <c r="I34" s="51">
        <f t="shared" si="5"/>
        <v>4000.4071744006469</v>
      </c>
      <c r="J34" s="47">
        <v>8.7402342347087636</v>
      </c>
      <c r="K34" s="28">
        <f t="shared" si="1"/>
        <v>2290.1051977845091</v>
      </c>
      <c r="L34" s="51">
        <f t="shared" si="6"/>
        <v>5576.5109847087087</v>
      </c>
      <c r="M34" s="47">
        <v>7.7570849526392625</v>
      </c>
      <c r="N34" s="28">
        <f t="shared" si="2"/>
        <v>5456.5884590904916</v>
      </c>
      <c r="O34" s="51">
        <f t="shared" si="7"/>
        <v>11792.443542211246</v>
      </c>
      <c r="Q34" s="47">
        <v>8.7402342347087636</v>
      </c>
      <c r="R34" s="28">
        <f t="shared" si="3"/>
        <v>220.89068851401976</v>
      </c>
      <c r="S34" s="51">
        <f t="shared" si="8"/>
        <v>537.87893766188859</v>
      </c>
      <c r="T34" s="32">
        <v>0.5</v>
      </c>
      <c r="U34" s="47">
        <v>7.7570849526392625</v>
      </c>
      <c r="V34" s="28">
        <f t="shared" si="4"/>
        <v>61.358524587227734</v>
      </c>
      <c r="W34" s="51">
        <f t="shared" si="9"/>
        <v>132.60427141482984</v>
      </c>
    </row>
    <row r="35" spans="1:23">
      <c r="A35">
        <v>2035</v>
      </c>
      <c r="C35" s="25">
        <v>3.5000000000000003E-2</v>
      </c>
      <c r="D35" s="26">
        <f t="shared" si="10"/>
        <v>0.53836113955031628</v>
      </c>
      <c r="E35" s="27">
        <v>0.89</v>
      </c>
      <c r="F35" s="56">
        <v>35.464560139069569</v>
      </c>
      <c r="G35" s="28">
        <f t="shared" si="0"/>
        <v>416.95425360486252</v>
      </c>
      <c r="H35" s="32">
        <v>0.5</v>
      </c>
      <c r="I35" s="51">
        <f t="shared" si="5"/>
        <v>3980.3997885728122</v>
      </c>
      <c r="J35" s="47">
        <v>8.9214982881106391</v>
      </c>
      <c r="K35" s="28">
        <f t="shared" si="1"/>
        <v>2310.4871340447912</v>
      </c>
      <c r="L35" s="51">
        <f t="shared" si="6"/>
        <v>5548.6209720224524</v>
      </c>
      <c r="M35" s="47">
        <v>7.9179594353292488</v>
      </c>
      <c r="N35" s="28">
        <f t="shared" si="2"/>
        <v>5505.1520963763969</v>
      </c>
      <c r="O35" s="51">
        <f t="shared" si="7"/>
        <v>11733.465553842516</v>
      </c>
      <c r="Q35" s="47">
        <v>8.9214982881106391</v>
      </c>
      <c r="R35" s="28">
        <f t="shared" si="3"/>
        <v>222.85661564179452</v>
      </c>
      <c r="S35" s="51">
        <f t="shared" si="8"/>
        <v>535.18882363966293</v>
      </c>
      <c r="T35" s="32">
        <v>0.5</v>
      </c>
      <c r="U35" s="47">
        <v>7.9179594353292488</v>
      </c>
      <c r="V35" s="28">
        <f t="shared" si="4"/>
        <v>61.904615456054053</v>
      </c>
      <c r="W35" s="51">
        <f t="shared" si="9"/>
        <v>131.94107271905881</v>
      </c>
    </row>
    <row r="36" spans="1:23">
      <c r="A36">
        <v>2036</v>
      </c>
      <c r="C36" s="25">
        <v>3.5000000000000003E-2</v>
      </c>
      <c r="D36" s="26">
        <f t="shared" si="10"/>
        <v>0.520155690386779</v>
      </c>
      <c r="E36" s="27">
        <v>0.89</v>
      </c>
      <c r="F36" s="56">
        <v>36.203335236537853</v>
      </c>
      <c r="G36" s="28">
        <f t="shared" si="0"/>
        <v>420.66514646194577</v>
      </c>
      <c r="H36" s="32">
        <v>0.5</v>
      </c>
      <c r="I36" s="51">
        <f t="shared" si="5"/>
        <v>3960.8506850377235</v>
      </c>
      <c r="J36" s="47">
        <v>9.1073452503037799</v>
      </c>
      <c r="K36" s="28">
        <f t="shared" si="1"/>
        <v>2331.0504695377895</v>
      </c>
      <c r="L36" s="51">
        <f t="shared" si="6"/>
        <v>5521.3697983663697</v>
      </c>
      <c r="M36" s="47">
        <v>8.0829013161998091</v>
      </c>
      <c r="N36" s="28">
        <f t="shared" si="2"/>
        <v>5554.1479500341466</v>
      </c>
      <c r="O36" s="51">
        <f t="shared" si="7"/>
        <v>11675.838494973708</v>
      </c>
      <c r="Q36" s="47">
        <v>9.1073452503037799</v>
      </c>
      <c r="R36" s="28">
        <f t="shared" si="3"/>
        <v>224.84003952100647</v>
      </c>
      <c r="S36" s="51">
        <f t="shared" si="8"/>
        <v>532.56032844322806</v>
      </c>
      <c r="T36" s="32">
        <v>0.5</v>
      </c>
      <c r="U36" s="47">
        <v>8.0829013161998091</v>
      </c>
      <c r="V36" s="28">
        <f t="shared" si="4"/>
        <v>62.455566533612931</v>
      </c>
      <c r="W36" s="51">
        <f t="shared" si="9"/>
        <v>131.29306502432408</v>
      </c>
    </row>
    <row r="37" spans="1:23">
      <c r="A37">
        <v>2037</v>
      </c>
      <c r="C37" s="25">
        <v>3.5000000000000003E-2</v>
      </c>
      <c r="D37" s="26">
        <f t="shared" si="10"/>
        <v>0.50256588443167061</v>
      </c>
      <c r="E37" s="27">
        <v>0.89</v>
      </c>
      <c r="F37" s="56">
        <v>36.960254934683327</v>
      </c>
      <c r="G37" s="28">
        <f t="shared" si="0"/>
        <v>424.40906626545706</v>
      </c>
      <c r="H37" s="32">
        <v>0.5</v>
      </c>
      <c r="I37" s="51">
        <f t="shared" si="5"/>
        <v>3941.6913959503308</v>
      </c>
      <c r="J37" s="47">
        <v>9.2977566854029803</v>
      </c>
      <c r="K37" s="28">
        <f t="shared" si="1"/>
        <v>2351.7968187166757</v>
      </c>
      <c r="L37" s="51">
        <f t="shared" si="6"/>
        <v>5494.6620205334657</v>
      </c>
      <c r="M37" s="47">
        <v>8.2518942331347951</v>
      </c>
      <c r="N37" s="28">
        <f t="shared" si="2"/>
        <v>5603.5798667894496</v>
      </c>
      <c r="O37" s="51">
        <f t="shared" si="7"/>
        <v>11619.360535350555</v>
      </c>
      <c r="Q37" s="47">
        <v>9.2977566854029803</v>
      </c>
      <c r="R37" s="28">
        <f t="shared" si="3"/>
        <v>226.84111587274342</v>
      </c>
      <c r="S37" s="51">
        <f t="shared" si="8"/>
        <v>529.98424615674753</v>
      </c>
      <c r="T37" s="32">
        <v>0.5</v>
      </c>
      <c r="U37" s="47">
        <v>8.2518942331347951</v>
      </c>
      <c r="V37" s="28">
        <f t="shared" si="4"/>
        <v>63.01142107576208</v>
      </c>
      <c r="W37" s="51">
        <f t="shared" si="9"/>
        <v>130.65797877947446</v>
      </c>
    </row>
    <row r="38" spans="1:23">
      <c r="A38">
        <v>2038</v>
      </c>
      <c r="C38" s="25">
        <v>3.5000000000000003E-2</v>
      </c>
      <c r="D38" s="26">
        <f t="shared" si="10"/>
        <v>0.48557090283253201</v>
      </c>
      <c r="E38" s="27">
        <v>0.89</v>
      </c>
      <c r="F38" s="56">
        <v>37.737794180112473</v>
      </c>
      <c r="G38" s="28">
        <f t="shared" si="0"/>
        <v>428.18630695521961</v>
      </c>
      <c r="H38" s="32">
        <v>0.5</v>
      </c>
      <c r="I38" s="51">
        <f t="shared" si="5"/>
        <v>3923.1231844991362</v>
      </c>
      <c r="J38" s="47">
        <v>9.4933551933171678</v>
      </c>
      <c r="K38" s="28">
        <f t="shared" si="1"/>
        <v>2372.7278104032539</v>
      </c>
      <c r="L38" s="51">
        <f t="shared" si="6"/>
        <v>5468.778196560098</v>
      </c>
      <c r="M38" s="47">
        <v>8.4254907526050076</v>
      </c>
      <c r="N38" s="28">
        <f t="shared" si="2"/>
        <v>5653.451727603875</v>
      </c>
      <c r="O38" s="51">
        <f t="shared" si="7"/>
        <v>11564.624960777235</v>
      </c>
      <c r="Q38" s="47">
        <v>9.4933551933171678</v>
      </c>
      <c r="R38" s="28">
        <f t="shared" si="3"/>
        <v>228.86000180401081</v>
      </c>
      <c r="S38" s="51">
        <f t="shared" si="8"/>
        <v>527.48763783308448</v>
      </c>
      <c r="T38" s="32">
        <v>0.5</v>
      </c>
      <c r="U38" s="47">
        <v>8.4254907526050076</v>
      </c>
      <c r="V38" s="28">
        <f t="shared" si="4"/>
        <v>63.57222272333636</v>
      </c>
      <c r="W38" s="51">
        <f t="shared" si="9"/>
        <v>130.0424853950214</v>
      </c>
    </row>
    <row r="39" spans="1:23">
      <c r="A39">
        <v>2039</v>
      </c>
      <c r="C39" s="25">
        <v>3.5000000000000003E-2</v>
      </c>
      <c r="D39" s="26">
        <f t="shared" si="10"/>
        <v>0.46915063075606961</v>
      </c>
      <c r="E39" s="27">
        <v>0.89</v>
      </c>
      <c r="F39" s="56">
        <v>38.531690652493957</v>
      </c>
      <c r="G39" s="28">
        <f t="shared" si="0"/>
        <v>431.997165087121</v>
      </c>
      <c r="H39" s="32">
        <v>0.5</v>
      </c>
      <c r="I39" s="51">
        <f t="shared" si="5"/>
        <v>3904.642442725768</v>
      </c>
      <c r="J39" s="47">
        <v>9.6930685407128312</v>
      </c>
      <c r="K39" s="28">
        <f t="shared" si="1"/>
        <v>2393.8450879158427</v>
      </c>
      <c r="L39" s="51">
        <f t="shared" si="6"/>
        <v>5443.0163040796915</v>
      </c>
      <c r="M39" s="47">
        <v>8.6027392519383596</v>
      </c>
      <c r="N39" s="28">
        <f t="shared" si="2"/>
        <v>5703.7674479795487</v>
      </c>
      <c r="O39" s="51">
        <f t="shared" si="7"/>
        <v>11510.147230266393</v>
      </c>
      <c r="Q39" s="47">
        <v>9.6930685407128312</v>
      </c>
      <c r="R39" s="28">
        <f t="shared" si="3"/>
        <v>230.89685582006649</v>
      </c>
      <c r="S39" s="51">
        <f t="shared" si="8"/>
        <v>525.00279033659115</v>
      </c>
      <c r="T39" s="32">
        <v>0.5</v>
      </c>
      <c r="U39" s="47">
        <v>8.6027392519383596</v>
      </c>
      <c r="V39" s="28">
        <f t="shared" si="4"/>
        <v>64.138015505574046</v>
      </c>
      <c r="W39" s="51">
        <f t="shared" si="9"/>
        <v>129.42989142865088</v>
      </c>
    </row>
    <row r="40" spans="1:23">
      <c r="A40">
        <v>2040</v>
      </c>
      <c r="C40" s="25">
        <v>3.5000000000000003E-2</v>
      </c>
      <c r="D40" s="26">
        <f t="shared" si="10"/>
        <v>0.45328563358074364</v>
      </c>
      <c r="E40" s="27">
        <v>0.89</v>
      </c>
      <c r="F40" s="56">
        <v>39.3422884616269</v>
      </c>
      <c r="G40" s="28">
        <f t="shared" si="0"/>
        <v>435.84193985639632</v>
      </c>
      <c r="H40" s="32">
        <v>0.5</v>
      </c>
      <c r="I40" s="51">
        <f t="shared" si="5"/>
        <v>3886.2487585849108</v>
      </c>
      <c r="J40" s="47">
        <v>9.8969832921764755</v>
      </c>
      <c r="K40" s="28">
        <f t="shared" si="1"/>
        <v>2415.1503091982936</v>
      </c>
      <c r="L40" s="51">
        <f t="shared" si="6"/>
        <v>5417.3757687069101</v>
      </c>
      <c r="M40" s="47">
        <v>8.7837165584638885</v>
      </c>
      <c r="N40" s="28">
        <f t="shared" si="2"/>
        <v>5754.5309782665663</v>
      </c>
      <c r="O40" s="51">
        <f t="shared" si="7"/>
        <v>11455.926129186397</v>
      </c>
      <c r="Q40" s="47">
        <v>9.8969832921764755</v>
      </c>
      <c r="R40" s="28">
        <f t="shared" si="3"/>
        <v>232.95183783686505</v>
      </c>
      <c r="S40" s="51">
        <f t="shared" si="8"/>
        <v>522.52964826528319</v>
      </c>
      <c r="T40" s="32">
        <v>0.5</v>
      </c>
      <c r="U40" s="47">
        <v>8.7837165584638885</v>
      </c>
      <c r="V40" s="28">
        <f t="shared" si="4"/>
        <v>64.708843843573646</v>
      </c>
      <c r="W40" s="51">
        <f t="shared" si="9"/>
        <v>128.82018322201105</v>
      </c>
    </row>
    <row r="41" spans="1:23">
      <c r="A41">
        <v>2041</v>
      </c>
      <c r="C41" s="25">
        <v>3.5000000000000003E-2</v>
      </c>
      <c r="D41" s="26">
        <f t="shared" si="10"/>
        <v>0.43795713389443836</v>
      </c>
      <c r="E41" s="27">
        <v>0.89</v>
      </c>
      <c r="F41" s="56">
        <v>40.169938956407542</v>
      </c>
      <c r="G41" s="28">
        <f t="shared" si="0"/>
        <v>439.72093312111821</v>
      </c>
      <c r="H41" s="32">
        <v>0.5</v>
      </c>
      <c r="I41" s="51">
        <f t="shared" si="5"/>
        <v>3867.9417219722823</v>
      </c>
      <c r="J41" s="47">
        <v>10.105187833368712</v>
      </c>
      <c r="K41" s="28">
        <f t="shared" si="1"/>
        <v>2436.6451469501581</v>
      </c>
      <c r="L41" s="51">
        <f t="shared" si="6"/>
        <v>5391.8560187621852</v>
      </c>
      <c r="M41" s="47">
        <v>8.9685011157403753</v>
      </c>
      <c r="N41" s="28">
        <f t="shared" si="2"/>
        <v>5805.7463039731383</v>
      </c>
      <c r="O41" s="51">
        <f t="shared" si="7"/>
        <v>11401.9604486274</v>
      </c>
      <c r="Q41" s="47">
        <v>10.105187833368712</v>
      </c>
      <c r="R41" s="28">
        <f t="shared" si="3"/>
        <v>235.02510919361313</v>
      </c>
      <c r="S41" s="51">
        <f t="shared" si="8"/>
        <v>520.06815647815949</v>
      </c>
      <c r="T41" s="32">
        <v>0.5</v>
      </c>
      <c r="U41" s="47">
        <v>8.9685011157403753</v>
      </c>
      <c r="V41" s="28">
        <f t="shared" si="4"/>
        <v>65.284752553781445</v>
      </c>
      <c r="W41" s="51">
        <f t="shared" si="9"/>
        <v>128.2133471810908</v>
      </c>
    </row>
    <row r="42" spans="1:23">
      <c r="A42">
        <v>2042</v>
      </c>
      <c r="C42" s="25">
        <v>3.5000000000000003E-2</v>
      </c>
      <c r="D42" s="26">
        <f t="shared" si="10"/>
        <v>0.42314698926998878</v>
      </c>
      <c r="E42" s="27">
        <v>0.89</v>
      </c>
      <c r="F42" s="56">
        <v>41.022260631713401</v>
      </c>
      <c r="G42" s="28">
        <f t="shared" si="0"/>
        <v>443.63444942589609</v>
      </c>
      <c r="H42" s="32">
        <v>0.5</v>
      </c>
      <c r="I42" s="51">
        <f t="shared" si="5"/>
        <v>3850.4023346526146</v>
      </c>
      <c r="J42" s="47">
        <v>10.319598680065885</v>
      </c>
      <c r="K42" s="28">
        <f t="shared" si="1"/>
        <v>2458.3312887580141</v>
      </c>
      <c r="L42" s="51">
        <f t="shared" si="6"/>
        <v>5367.4063610675676</v>
      </c>
      <c r="M42" s="47">
        <v>9.158793859382472</v>
      </c>
      <c r="N42" s="28">
        <f t="shared" si="2"/>
        <v>5857.4174460784989</v>
      </c>
      <c r="O42" s="51">
        <f t="shared" si="7"/>
        <v>11350.257652958075</v>
      </c>
      <c r="Q42" s="47">
        <v>10.319598680065885</v>
      </c>
      <c r="R42" s="28">
        <f t="shared" si="3"/>
        <v>237.11683266543628</v>
      </c>
      <c r="S42" s="51">
        <f t="shared" si="8"/>
        <v>517.70987978094888</v>
      </c>
      <c r="T42" s="32">
        <v>0.5</v>
      </c>
      <c r="U42" s="47">
        <v>9.158793859382472</v>
      </c>
      <c r="V42" s="28">
        <f t="shared" si="4"/>
        <v>65.865786851510094</v>
      </c>
      <c r="W42" s="51">
        <f t="shared" si="9"/>
        <v>127.63195694374944</v>
      </c>
    </row>
    <row r="43" spans="1:23">
      <c r="A43">
        <v>2043</v>
      </c>
      <c r="C43" s="25">
        <v>3.5000000000000003E-2</v>
      </c>
      <c r="D43" s="26">
        <f t="shared" si="10"/>
        <v>0.40883767079225974</v>
      </c>
      <c r="E43" s="27">
        <v>0.89</v>
      </c>
      <c r="F43" s="56">
        <v>41.892666781555924</v>
      </c>
      <c r="G43" s="28">
        <f t="shared" si="0"/>
        <v>447.58279602578654</v>
      </c>
      <c r="H43" s="32">
        <v>0.5</v>
      </c>
      <c r="I43" s="51">
        <f t="shared" si="5"/>
        <v>3832.9424806169704</v>
      </c>
      <c r="J43" s="47">
        <v>10.538558874280346</v>
      </c>
      <c r="K43" s="28">
        <f t="shared" si="1"/>
        <v>2480.21043722796</v>
      </c>
      <c r="L43" s="51">
        <f t="shared" si="6"/>
        <v>5343.0675716452706</v>
      </c>
      <c r="M43" s="47">
        <v>9.3531242150865541</v>
      </c>
      <c r="N43" s="28">
        <f t="shared" si="2"/>
        <v>5909.5484613485969</v>
      </c>
      <c r="O43" s="51">
        <f t="shared" si="7"/>
        <v>11298.789306363722</v>
      </c>
      <c r="Q43" s="47">
        <v>10.538558874280346</v>
      </c>
      <c r="R43" s="28">
        <f t="shared" si="3"/>
        <v>239.22717247615864</v>
      </c>
      <c r="S43" s="51">
        <f t="shared" si="8"/>
        <v>515.3622968147647</v>
      </c>
      <c r="T43" s="32">
        <v>0.5</v>
      </c>
      <c r="U43" s="47">
        <v>9.3531242150865541</v>
      </c>
      <c r="V43" s="28">
        <f t="shared" si="4"/>
        <v>66.451992354488524</v>
      </c>
      <c r="W43" s="51">
        <f t="shared" si="9"/>
        <v>127.05320305134028</v>
      </c>
    </row>
    <row r="44" spans="1:23">
      <c r="A44">
        <v>2044</v>
      </c>
      <c r="C44" s="25">
        <v>3.5000000000000003E-2</v>
      </c>
      <c r="D44" s="26">
        <f t="shared" si="10"/>
        <v>0.39501224231136212</v>
      </c>
      <c r="E44" s="27">
        <v>0.89</v>
      </c>
      <c r="F44" s="56">
        <v>42.781541120474728</v>
      </c>
      <c r="G44" s="28">
        <f t="shared" si="0"/>
        <v>451.56628291041602</v>
      </c>
      <c r="H44" s="32">
        <v>0.5</v>
      </c>
      <c r="I44" s="51">
        <f t="shared" si="5"/>
        <v>3815.5617992174411</v>
      </c>
      <c r="J44" s="47">
        <v>10.762164943604562</v>
      </c>
      <c r="K44" s="28">
        <f t="shared" si="1"/>
        <v>2502.2843101192884</v>
      </c>
      <c r="L44" s="51">
        <f t="shared" si="6"/>
        <v>5318.839147757215</v>
      </c>
      <c r="M44" s="47">
        <v>9.5515778524943027</v>
      </c>
      <c r="N44" s="28">
        <f t="shared" si="2"/>
        <v>5962.1434426545993</v>
      </c>
      <c r="O44" s="51">
        <f t="shared" si="7"/>
        <v>11247.554345722541</v>
      </c>
      <c r="Q44" s="47">
        <v>10.762164943604562</v>
      </c>
      <c r="R44" s="28">
        <f t="shared" si="3"/>
        <v>241.35629431119642</v>
      </c>
      <c r="S44" s="51">
        <f t="shared" si="8"/>
        <v>513.02535908831464</v>
      </c>
      <c r="T44" s="32">
        <v>0.5</v>
      </c>
      <c r="U44" s="47">
        <v>9.5515778524943027</v>
      </c>
      <c r="V44" s="28">
        <f t="shared" si="4"/>
        <v>67.04341508644346</v>
      </c>
      <c r="W44" s="51">
        <f t="shared" si="9"/>
        <v>126.47707354921697</v>
      </c>
    </row>
    <row r="45" spans="1:23">
      <c r="A45">
        <v>2045</v>
      </c>
      <c r="C45" s="25">
        <v>3.5000000000000003E-2</v>
      </c>
      <c r="D45" s="26">
        <f t="shared" si="10"/>
        <v>0.38165434039745133</v>
      </c>
      <c r="E45" s="27">
        <v>0.89</v>
      </c>
      <c r="F45" s="56">
        <v>43.689275504625542</v>
      </c>
      <c r="G45" s="28">
        <f t="shared" si="0"/>
        <v>455.58522282831871</v>
      </c>
      <c r="H45" s="32">
        <v>0.5</v>
      </c>
      <c r="I45" s="51">
        <f t="shared" si="5"/>
        <v>3798.2599314415047</v>
      </c>
      <c r="J45" s="47">
        <v>10.990515463743648</v>
      </c>
      <c r="K45" s="28">
        <f t="shared" si="1"/>
        <v>2524.5546404793499</v>
      </c>
      <c r="L45" s="51">
        <f t="shared" si="6"/>
        <v>5294.7205889450224</v>
      </c>
      <c r="M45" s="47">
        <v>9.7542422589771434</v>
      </c>
      <c r="N45" s="28">
        <f t="shared" si="2"/>
        <v>6015.2065192942246</v>
      </c>
      <c r="O45" s="51">
        <f t="shared" si="7"/>
        <v>11196.551712733533</v>
      </c>
      <c r="Q45" s="47">
        <v>10.990515463743648</v>
      </c>
      <c r="R45" s="28">
        <f t="shared" si="3"/>
        <v>243.50436533056606</v>
      </c>
      <c r="S45" s="51">
        <f t="shared" si="8"/>
        <v>510.6990183301935</v>
      </c>
      <c r="T45" s="32">
        <v>0.5</v>
      </c>
      <c r="U45" s="47">
        <v>9.7542422589771434</v>
      </c>
      <c r="V45" s="28">
        <f t="shared" si="4"/>
        <v>67.640101480712801</v>
      </c>
      <c r="W45" s="51">
        <f t="shared" si="9"/>
        <v>125.9035565369424</v>
      </c>
    </row>
    <row r="46" spans="1:23">
      <c r="A46">
        <v>2046</v>
      </c>
      <c r="C46" s="25">
        <v>3.5000000000000003E-2</v>
      </c>
      <c r="D46" s="26">
        <f t="shared" si="10"/>
        <v>0.36874815497338298</v>
      </c>
      <c r="E46" s="27">
        <v>0.89</v>
      </c>
      <c r="F46" s="56">
        <v>44.616270104528006</v>
      </c>
      <c r="G46" s="28">
        <f t="shared" si="0"/>
        <v>459.63993131149073</v>
      </c>
      <c r="H46" s="32">
        <v>0.5</v>
      </c>
      <c r="I46" s="51">
        <f t="shared" si="5"/>
        <v>3781.0365199045923</v>
      </c>
      <c r="J46" s="47">
        <v>11.223711101971992</v>
      </c>
      <c r="K46" s="28">
        <f t="shared" si="1"/>
        <v>2547.0231767796158</v>
      </c>
      <c r="L46" s="51">
        <f t="shared" si="6"/>
        <v>5270.7113970196688</v>
      </c>
      <c r="M46" s="47">
        <v>9.9612067782046374</v>
      </c>
      <c r="N46" s="28">
        <f t="shared" si="2"/>
        <v>6068.741857315943</v>
      </c>
      <c r="O46" s="51">
        <f t="shared" si="7"/>
        <v>11145.78035389461</v>
      </c>
      <c r="Q46" s="47">
        <v>11.223711101971992</v>
      </c>
      <c r="R46" s="28">
        <f t="shared" si="3"/>
        <v>245.67155418200807</v>
      </c>
      <c r="S46" s="51">
        <f t="shared" si="8"/>
        <v>508.38322648788551</v>
      </c>
      <c r="T46" s="32">
        <v>0.5</v>
      </c>
      <c r="U46" s="47">
        <v>9.9612067782046374</v>
      </c>
      <c r="V46" s="28">
        <f t="shared" si="4"/>
        <v>68.242098383891133</v>
      </c>
      <c r="W46" s="51">
        <f t="shared" si="9"/>
        <v>125.33264016804249</v>
      </c>
    </row>
    <row r="47" spans="1:23">
      <c r="A47" s="30">
        <v>2047</v>
      </c>
      <c r="B47" s="30"/>
      <c r="C47" s="25">
        <v>3.5000000000000003E-2</v>
      </c>
      <c r="D47" s="26">
        <f t="shared" si="10"/>
        <v>0.35627841060230242</v>
      </c>
      <c r="E47" s="27">
        <v>0.89</v>
      </c>
      <c r="F47" s="56">
        <v>45.575725523018882</v>
      </c>
      <c r="G47" s="28">
        <f t="shared" si="0"/>
        <v>463.73072670016296</v>
      </c>
      <c r="H47" s="32">
        <v>0.5</v>
      </c>
      <c r="I47" s="51">
        <f t="shared" si="5"/>
        <v>3764.9479335204478</v>
      </c>
      <c r="J47" s="52">
        <v>11.465072614423258</v>
      </c>
      <c r="K47" s="28">
        <f t="shared" si="1"/>
        <v>2569.691683052954</v>
      </c>
      <c r="L47" s="51">
        <f t="shared" si="6"/>
        <v>5248.2841352964761</v>
      </c>
      <c r="M47" s="52">
        <v>10.175418629524019</v>
      </c>
      <c r="N47" s="28">
        <f t="shared" si="2"/>
        <v>6122.7536598460547</v>
      </c>
      <c r="O47" s="51">
        <f t="shared" si="7"/>
        <v>11098.354244916733</v>
      </c>
      <c r="Q47" s="52">
        <v>11.465072614423258</v>
      </c>
      <c r="R47" s="28">
        <f t="shared" si="3"/>
        <v>247.85803101422792</v>
      </c>
      <c r="S47" s="51">
        <f t="shared" si="8"/>
        <v>506.22001875039263</v>
      </c>
      <c r="T47" s="32">
        <v>0.5</v>
      </c>
      <c r="U47" s="52">
        <v>10.175418629524019</v>
      </c>
      <c r="V47" s="28">
        <f t="shared" si="4"/>
        <v>68.849453059507752</v>
      </c>
      <c r="W47" s="51">
        <f t="shared" si="9"/>
        <v>124.79934063563083</v>
      </c>
    </row>
    <row r="48" spans="1:23">
      <c r="A48">
        <v>2048</v>
      </c>
      <c r="C48" s="25">
        <v>0.03</v>
      </c>
      <c r="D48" s="26">
        <f>D47/1.03</f>
        <v>0.34590136951679845</v>
      </c>
      <c r="E48" s="27">
        <v>0.89</v>
      </c>
      <c r="F48" s="56">
        <v>46.555813654596584</v>
      </c>
      <c r="G48" s="28">
        <f t="shared" si="0"/>
        <v>467.85793016779439</v>
      </c>
      <c r="H48" s="32">
        <v>0.5</v>
      </c>
      <c r="I48" s="51">
        <f t="shared" si="5"/>
        <v>3767.1264839119731</v>
      </c>
      <c r="J48" s="47">
        <v>11.711624511691413</v>
      </c>
      <c r="K48" s="28">
        <f t="shared" si="1"/>
        <v>2592.5619390321249</v>
      </c>
      <c r="L48" s="51">
        <f t="shared" si="6"/>
        <v>5251.3210037099798</v>
      </c>
      <c r="M48" s="47">
        <v>10.394237022828458</v>
      </c>
      <c r="N48" s="28">
        <f t="shared" si="2"/>
        <v>6177.2461674186843</v>
      </c>
      <c r="O48" s="51">
        <f t="shared" si="7"/>
        <v>11104.776199326854</v>
      </c>
      <c r="Q48" s="47">
        <v>11.711624511691413</v>
      </c>
      <c r="R48" s="28">
        <f t="shared" si="3"/>
        <v>250.06396749025453</v>
      </c>
      <c r="S48" s="51">
        <f t="shared" si="8"/>
        <v>506.51293802564442</v>
      </c>
      <c r="T48" s="32">
        <v>0.5</v>
      </c>
      <c r="U48" s="47">
        <v>10.394237022828458</v>
      </c>
      <c r="V48" s="28">
        <f t="shared" si="4"/>
        <v>69.462213191737362</v>
      </c>
      <c r="W48" s="51">
        <f t="shared" si="9"/>
        <v>124.87155455656801</v>
      </c>
    </row>
    <row r="49" spans="1:23">
      <c r="A49">
        <v>2049</v>
      </c>
      <c r="C49" s="25">
        <v>0.03</v>
      </c>
      <c r="D49" s="26">
        <f t="shared" ref="D49:D77" si="11">D48/1.03</f>
        <v>0.33582657234640628</v>
      </c>
      <c r="E49" s="27">
        <v>0.89</v>
      </c>
      <c r="F49" s="56">
        <v>47.556978197677047</v>
      </c>
      <c r="G49" s="28">
        <f t="shared" si="0"/>
        <v>472.02186574628774</v>
      </c>
      <c r="H49" s="32">
        <v>0.5</v>
      </c>
      <c r="I49" s="51">
        <f t="shared" si="5"/>
        <v>3769.3062949004316</v>
      </c>
      <c r="J49" s="47">
        <v>11.963478410969572</v>
      </c>
      <c r="K49" s="28">
        <f t="shared" si="1"/>
        <v>2615.6357402895105</v>
      </c>
      <c r="L49" s="51">
        <f t="shared" si="6"/>
        <v>5254.3596293777637</v>
      </c>
      <c r="M49" s="47">
        <v>10.617761019999598</v>
      </c>
      <c r="N49" s="28">
        <f t="shared" si="2"/>
        <v>6232.2236583087097</v>
      </c>
      <c r="O49" s="51">
        <f t="shared" si="7"/>
        <v>11111.20186973825</v>
      </c>
      <c r="Q49" s="47">
        <v>11.963478410969572</v>
      </c>
      <c r="R49" s="28">
        <f t="shared" si="3"/>
        <v>252.28953680091777</v>
      </c>
      <c r="S49" s="51">
        <f t="shared" si="8"/>
        <v>506.80602679577714</v>
      </c>
      <c r="T49" s="32">
        <v>0.5</v>
      </c>
      <c r="U49" s="47">
        <v>10.617761019999598</v>
      </c>
      <c r="V49" s="28">
        <f t="shared" si="4"/>
        <v>70.080426889143823</v>
      </c>
      <c r="W49" s="51">
        <f t="shared" si="9"/>
        <v>124.94381026338613</v>
      </c>
    </row>
    <row r="50" spans="1:23">
      <c r="A50">
        <v>2050</v>
      </c>
      <c r="C50" s="25">
        <v>0.03</v>
      </c>
      <c r="D50" s="26">
        <f t="shared" si="11"/>
        <v>0.32604521587029733</v>
      </c>
      <c r="E50" s="27">
        <v>0.89</v>
      </c>
      <c r="F50" s="56">
        <v>48.579672392236859</v>
      </c>
      <c r="G50" s="28">
        <f t="shared" si="0"/>
        <v>476.22286035142969</v>
      </c>
      <c r="H50" s="32">
        <v>0.5</v>
      </c>
      <c r="I50" s="51">
        <f t="shared" si="5"/>
        <v>3771.4873672152503</v>
      </c>
      <c r="J50" s="47">
        <v>12.220748329734885</v>
      </c>
      <c r="K50" s="28">
        <f t="shared" si="1"/>
        <v>2638.9148983780869</v>
      </c>
      <c r="L50" s="51">
        <f t="shared" si="6"/>
        <v>5257.4000133166446</v>
      </c>
      <c r="M50" s="47">
        <v>10.846091813206039</v>
      </c>
      <c r="N50" s="28">
        <f t="shared" si="2"/>
        <v>6287.6904488676564</v>
      </c>
      <c r="O50" s="51">
        <f t="shared" si="7"/>
        <v>11117.631258301137</v>
      </c>
      <c r="Q50" s="47">
        <v>12.220748329734885</v>
      </c>
      <c r="R50" s="28">
        <f t="shared" si="3"/>
        <v>254.53491367844592</v>
      </c>
      <c r="S50" s="51">
        <f t="shared" si="8"/>
        <v>507.09928515886719</v>
      </c>
      <c r="T50" s="32">
        <v>0.5</v>
      </c>
      <c r="U50" s="47">
        <v>10.846091813206039</v>
      </c>
      <c r="V50" s="28">
        <f t="shared" si="4"/>
        <v>70.704142688457196</v>
      </c>
      <c r="W50" s="51">
        <f t="shared" si="9"/>
        <v>125.01610778026399</v>
      </c>
    </row>
    <row r="51" spans="1:23">
      <c r="A51">
        <v>2051</v>
      </c>
      <c r="C51" s="25">
        <v>0.03</v>
      </c>
      <c r="D51" s="26">
        <f t="shared" si="11"/>
        <v>0.31654875327213333</v>
      </c>
      <c r="E51" s="27">
        <v>0.89</v>
      </c>
      <c r="F51" s="56">
        <v>49.624359225000887</v>
      </c>
      <c r="G51" s="28">
        <f t="shared" si="0"/>
        <v>480.46124380855736</v>
      </c>
      <c r="H51" s="32">
        <v>0.5</v>
      </c>
      <c r="I51" s="51">
        <f t="shared" si="5"/>
        <v>3773.6697015862878</v>
      </c>
      <c r="J51" s="47">
        <v>12.48355073736572</v>
      </c>
      <c r="K51" s="28">
        <f t="shared" si="1"/>
        <v>2662.4012409736515</v>
      </c>
      <c r="L51" s="51">
        <f t="shared" si="6"/>
        <v>5260.4421565440325</v>
      </c>
      <c r="M51" s="47">
        <v>11.079332770714364</v>
      </c>
      <c r="N51" s="28">
        <f t="shared" si="2"/>
        <v>6343.6508938625784</v>
      </c>
      <c r="O51" s="51">
        <f t="shared" si="7"/>
        <v>11124.064367166997</v>
      </c>
      <c r="Q51" s="47">
        <v>12.48355073736572</v>
      </c>
      <c r="R51" s="28">
        <f t="shared" si="3"/>
        <v>256.80027441018404</v>
      </c>
      <c r="S51" s="51">
        <f t="shared" si="8"/>
        <v>507.3927132130483</v>
      </c>
      <c r="T51" s="32">
        <v>0.5</v>
      </c>
      <c r="U51" s="47">
        <v>11.079332770714364</v>
      </c>
      <c r="V51" s="28">
        <f t="shared" si="4"/>
        <v>71.33340955838446</v>
      </c>
      <c r="W51" s="51">
        <f t="shared" si="9"/>
        <v>125.08844713139476</v>
      </c>
    </row>
    <row r="52" spans="1:23">
      <c r="A52">
        <v>2052</v>
      </c>
      <c r="C52" s="25">
        <v>0.03</v>
      </c>
      <c r="D52" s="26">
        <f t="shared" si="11"/>
        <v>0.30732888667197411</v>
      </c>
      <c r="E52" s="27">
        <v>0.89</v>
      </c>
      <c r="F52" s="56">
        <v>50.709223936427989</v>
      </c>
      <c r="G52" s="28">
        <f t="shared" si="0"/>
        <v>484.73734887845347</v>
      </c>
      <c r="H52" s="32">
        <v>0.5</v>
      </c>
      <c r="I52" s="51">
        <f t="shared" si="5"/>
        <v>3777.1726327772717</v>
      </c>
      <c r="J52" s="47">
        <v>12.756460330150039</v>
      </c>
      <c r="K52" s="28">
        <f t="shared" si="1"/>
        <v>2686.0966120183166</v>
      </c>
      <c r="L52" s="51">
        <f t="shared" si="6"/>
        <v>5265.3251930484657</v>
      </c>
      <c r="M52" s="47">
        <v>11.321544001989071</v>
      </c>
      <c r="N52" s="28">
        <f t="shared" si="2"/>
        <v>6400.1093868179551</v>
      </c>
      <c r="O52" s="51">
        <f t="shared" si="7"/>
        <v>11134.390345623957</v>
      </c>
      <c r="Q52" s="47">
        <v>12.756460330150039</v>
      </c>
      <c r="R52" s="28">
        <f t="shared" si="3"/>
        <v>259.08579685243467</v>
      </c>
      <c r="S52" s="51">
        <f t="shared" si="8"/>
        <v>507.86370349617891</v>
      </c>
      <c r="T52" s="32">
        <v>0.5</v>
      </c>
      <c r="U52" s="47">
        <v>11.321544001989071</v>
      </c>
      <c r="V52" s="28">
        <f t="shared" si="4"/>
        <v>71.968276903454068</v>
      </c>
      <c r="W52" s="51">
        <f t="shared" si="9"/>
        <v>125.20456122132266</v>
      </c>
    </row>
    <row r="53" spans="1:23">
      <c r="A53">
        <v>2053</v>
      </c>
      <c r="C53" s="25">
        <v>0.03</v>
      </c>
      <c r="D53" s="26">
        <f t="shared" si="11"/>
        <v>0.29837755987570302</v>
      </c>
      <c r="E53" s="27">
        <v>0.89</v>
      </c>
      <c r="F53" s="56">
        <v>51.817805456706225</v>
      </c>
      <c r="G53" s="28">
        <f t="shared" si="0"/>
        <v>489.05151128347165</v>
      </c>
      <c r="H53" s="32">
        <v>0.5</v>
      </c>
      <c r="I53" s="51">
        <f t="shared" si="5"/>
        <v>3780.678815584823</v>
      </c>
      <c r="J53" s="47">
        <v>13.035336145798402</v>
      </c>
      <c r="K53" s="28">
        <f t="shared" si="1"/>
        <v>2710.0028718652793</v>
      </c>
      <c r="L53" s="51">
        <f t="shared" si="6"/>
        <v>5270.2127622603775</v>
      </c>
      <c r="M53" s="47">
        <v>11.569050342795165</v>
      </c>
      <c r="N53" s="28">
        <f t="shared" si="2"/>
        <v>6457.0703603606344</v>
      </c>
      <c r="O53" s="51">
        <f t="shared" si="7"/>
        <v>11144.725909231411</v>
      </c>
      <c r="Q53" s="47">
        <v>13.035336145798402</v>
      </c>
      <c r="R53" s="28">
        <f t="shared" si="3"/>
        <v>261.39166044442129</v>
      </c>
      <c r="S53" s="51">
        <f t="shared" si="8"/>
        <v>508.33513097882189</v>
      </c>
      <c r="T53" s="32">
        <v>0.5</v>
      </c>
      <c r="U53" s="47">
        <v>11.569050342795165</v>
      </c>
      <c r="V53" s="28">
        <f t="shared" si="4"/>
        <v>72.608794567894805</v>
      </c>
      <c r="W53" s="51">
        <f t="shared" si="9"/>
        <v>125.32078309484042</v>
      </c>
    </row>
    <row r="54" spans="1:23">
      <c r="A54">
        <v>2054</v>
      </c>
      <c r="C54" s="25">
        <v>0.03</v>
      </c>
      <c r="D54" s="26">
        <f t="shared" si="11"/>
        <v>0.28968695133563399</v>
      </c>
      <c r="E54" s="27">
        <v>0.89</v>
      </c>
      <c r="F54" s="56">
        <v>52.950622271704084</v>
      </c>
      <c r="G54" s="28">
        <f t="shared" si="0"/>
        <v>493.40406973389452</v>
      </c>
      <c r="H54" s="32">
        <v>0.5</v>
      </c>
      <c r="I54" s="51">
        <f t="shared" si="5"/>
        <v>3784.1882530272774</v>
      </c>
      <c r="J54" s="47">
        <v>13.320308615106221</v>
      </c>
      <c r="K54" s="28">
        <f t="shared" si="1"/>
        <v>2734.12189742488</v>
      </c>
      <c r="L54" s="51">
        <f t="shared" si="6"/>
        <v>5275.1048683872805</v>
      </c>
      <c r="M54" s="47">
        <v>11.821967552359835</v>
      </c>
      <c r="N54" s="28">
        <f t="shared" si="2"/>
        <v>6514.538286567843</v>
      </c>
      <c r="O54" s="51">
        <f t="shared" si="7"/>
        <v>11155.071066886834</v>
      </c>
      <c r="Q54" s="47">
        <v>13.320308615106221</v>
      </c>
      <c r="R54" s="28">
        <f t="shared" si="3"/>
        <v>263.71804622237664</v>
      </c>
      <c r="S54" s="51">
        <f t="shared" si="8"/>
        <v>508.80699606681031</v>
      </c>
      <c r="T54" s="32">
        <v>0.5</v>
      </c>
      <c r="U54" s="47">
        <v>11.821967552359835</v>
      </c>
      <c r="V54" s="28">
        <f t="shared" si="4"/>
        <v>73.255012839549067</v>
      </c>
      <c r="W54" s="51">
        <f t="shared" si="9"/>
        <v>125.43711285199878</v>
      </c>
    </row>
    <row r="55" spans="1:23">
      <c r="A55">
        <v>2055</v>
      </c>
      <c r="C55" s="25">
        <v>0.03</v>
      </c>
      <c r="D55" s="26">
        <f t="shared" si="11"/>
        <v>0.28124946731614953</v>
      </c>
      <c r="E55" s="27">
        <v>0.89</v>
      </c>
      <c r="F55" s="56">
        <v>54.108204202187473</v>
      </c>
      <c r="G55" s="28">
        <f t="shared" si="0"/>
        <v>497.79536595452612</v>
      </c>
      <c r="H55" s="32">
        <v>0.5</v>
      </c>
      <c r="I55" s="51">
        <f t="shared" si="5"/>
        <v>3787.7009481257678</v>
      </c>
      <c r="J55" s="47">
        <v>13.611511020286434</v>
      </c>
      <c r="K55" s="28">
        <f t="shared" si="1"/>
        <v>2758.4555823119613</v>
      </c>
      <c r="L55" s="51">
        <f t="shared" si="6"/>
        <v>5280.0015156405943</v>
      </c>
      <c r="M55" s="47">
        <v>12.080413920584778</v>
      </c>
      <c r="N55" s="28">
        <f t="shared" si="2"/>
        <v>6572.5176773182966</v>
      </c>
      <c r="O55" s="51">
        <f t="shared" si="7"/>
        <v>11165.425827495959</v>
      </c>
      <c r="Q55" s="47">
        <v>13.611511020286434</v>
      </c>
      <c r="R55" s="28">
        <f t="shared" si="3"/>
        <v>266.06513683375579</v>
      </c>
      <c r="S55" s="51">
        <f t="shared" si="8"/>
        <v>509.27929916635401</v>
      </c>
      <c r="T55" s="32">
        <v>0.5</v>
      </c>
      <c r="U55" s="47">
        <v>12.080413920584778</v>
      </c>
      <c r="V55" s="28">
        <f t="shared" si="4"/>
        <v>73.906982453821044</v>
      </c>
      <c r="W55" s="51">
        <f t="shared" si="9"/>
        <v>125.55355059294136</v>
      </c>
    </row>
    <row r="56" spans="1:23">
      <c r="A56">
        <v>2056</v>
      </c>
      <c r="C56" s="25">
        <v>0.03</v>
      </c>
      <c r="D56" s="26">
        <f t="shared" si="11"/>
        <v>0.2730577352583976</v>
      </c>
      <c r="E56" s="27">
        <v>0.89</v>
      </c>
      <c r="F56" s="56">
        <v>55.291092651617994</v>
      </c>
      <c r="G56" s="28">
        <f t="shared" si="0"/>
        <v>502.22574471152137</v>
      </c>
      <c r="H56" s="32">
        <v>0.5</v>
      </c>
      <c r="I56" s="51">
        <f t="shared" si="5"/>
        <v>3791.2169039042319</v>
      </c>
      <c r="J56" s="47">
        <v>13.909079557305857</v>
      </c>
      <c r="K56" s="28">
        <f t="shared" si="1"/>
        <v>2783.0058369945373</v>
      </c>
      <c r="L56" s="51">
        <f t="shared" si="6"/>
        <v>5284.9027082356433</v>
      </c>
      <c r="M56" s="47">
        <v>12.344510323370619</v>
      </c>
      <c r="N56" s="28">
        <f t="shared" si="2"/>
        <v>6631.013084646429</v>
      </c>
      <c r="O56" s="51">
        <f t="shared" si="7"/>
        <v>11175.790199972784</v>
      </c>
      <c r="Q56" s="47">
        <v>13.909079557305857</v>
      </c>
      <c r="R56" s="28">
        <f t="shared" si="3"/>
        <v>268.43311655157618</v>
      </c>
      <c r="S56" s="51">
        <f t="shared" si="8"/>
        <v>509.75204068403957</v>
      </c>
      <c r="T56" s="32">
        <v>0.5</v>
      </c>
      <c r="U56" s="47">
        <v>12.344510323370619</v>
      </c>
      <c r="V56" s="28">
        <f t="shared" si="4"/>
        <v>74.564754597660041</v>
      </c>
      <c r="W56" s="51">
        <f t="shared" si="9"/>
        <v>125.67009641790474</v>
      </c>
    </row>
    <row r="57" spans="1:23">
      <c r="A57">
        <v>2057</v>
      </c>
      <c r="C57" s="25">
        <v>0.03</v>
      </c>
      <c r="D57" s="26">
        <f t="shared" si="11"/>
        <v>0.26510459733825009</v>
      </c>
      <c r="E57" s="27">
        <v>0.89</v>
      </c>
      <c r="F57" s="56">
        <v>56.514292580479768</v>
      </c>
      <c r="G57" s="28">
        <f t="shared" si="0"/>
        <v>506.69555383945385</v>
      </c>
      <c r="H57" s="32">
        <v>0.5</v>
      </c>
      <c r="I57" s="51">
        <f t="shared" si="5"/>
        <v>3795.706753878138</v>
      </c>
      <c r="J57" s="47">
        <v>14.216788888214355</v>
      </c>
      <c r="K57" s="28">
        <f t="shared" si="1"/>
        <v>2807.7745889437883</v>
      </c>
      <c r="L57" s="51">
        <f t="shared" si="6"/>
        <v>5291.1614955559444</v>
      </c>
      <c r="M57" s="47">
        <v>12.617606828164298</v>
      </c>
      <c r="N57" s="28">
        <f t="shared" si="2"/>
        <v>6690.0291010997817</v>
      </c>
      <c r="O57" s="51">
        <f t="shared" si="7"/>
        <v>11189.025428293817</v>
      </c>
      <c r="Q57" s="47">
        <v>14.216788888214355</v>
      </c>
      <c r="R57" s="28">
        <f t="shared" si="3"/>
        <v>270.82217128888516</v>
      </c>
      <c r="S57" s="51">
        <f t="shared" si="8"/>
        <v>510.35572816607385</v>
      </c>
      <c r="T57" s="32">
        <v>0.5</v>
      </c>
      <c r="U57" s="47">
        <v>12.617606828164298</v>
      </c>
      <c r="V57" s="28">
        <f t="shared" si="4"/>
        <v>75.228380913579215</v>
      </c>
      <c r="W57" s="51">
        <f t="shared" si="9"/>
        <v>125.81892458928733</v>
      </c>
    </row>
    <row r="58" spans="1:23">
      <c r="A58">
        <v>2058</v>
      </c>
      <c r="C58" s="25">
        <v>0.03</v>
      </c>
      <c r="D58" s="26">
        <f t="shared" si="11"/>
        <v>0.25738310421189331</v>
      </c>
      <c r="E58" s="27">
        <v>0.89</v>
      </c>
      <c r="F58" s="56">
        <v>57.764553252658622</v>
      </c>
      <c r="G58" s="28">
        <f t="shared" si="0"/>
        <v>511.20514426862496</v>
      </c>
      <c r="H58" s="32">
        <v>0.5</v>
      </c>
      <c r="I58" s="51">
        <f t="shared" si="5"/>
        <v>3800.201921076909</v>
      </c>
      <c r="J58" s="47">
        <v>14.531305645303576</v>
      </c>
      <c r="K58" s="28">
        <f t="shared" si="1"/>
        <v>2832.7637827853878</v>
      </c>
      <c r="L58" s="51">
        <f t="shared" si="6"/>
        <v>5297.427695012454</v>
      </c>
      <c r="M58" s="47">
        <v>12.896745022662694</v>
      </c>
      <c r="N58" s="28">
        <f t="shared" si="2"/>
        <v>6749.5703600995694</v>
      </c>
      <c r="O58" s="51">
        <f t="shared" si="7"/>
        <v>11202.276330787823</v>
      </c>
      <c r="Q58" s="47">
        <v>14.531305645303576</v>
      </c>
      <c r="R58" s="28">
        <f t="shared" si="3"/>
        <v>273.23248861335622</v>
      </c>
      <c r="S58" s="51">
        <f t="shared" si="8"/>
        <v>510.96013058114795</v>
      </c>
      <c r="T58" s="32">
        <v>0.5</v>
      </c>
      <c r="U58" s="47">
        <v>12.896745022662694</v>
      </c>
      <c r="V58" s="28">
        <f t="shared" si="4"/>
        <v>75.897913503710058</v>
      </c>
      <c r="W58" s="51">
        <f t="shared" si="9"/>
        <v>125.96792901441064</v>
      </c>
    </row>
    <row r="59" spans="1:23">
      <c r="A59">
        <v>2059</v>
      </c>
      <c r="C59" s="25">
        <v>0.03</v>
      </c>
      <c r="D59" s="26">
        <f t="shared" si="11"/>
        <v>0.24988650894358574</v>
      </c>
      <c r="E59" s="27">
        <v>0.89</v>
      </c>
      <c r="F59" s="56">
        <v>59.04247333057404</v>
      </c>
      <c r="G59" s="28">
        <f t="shared" si="0"/>
        <v>515.75487005261573</v>
      </c>
      <c r="H59" s="32">
        <v>0.5</v>
      </c>
      <c r="I59" s="51">
        <f t="shared" si="5"/>
        <v>3804.7024117976107</v>
      </c>
      <c r="J59" s="47">
        <v>14.852780428657921</v>
      </c>
      <c r="K59" s="28">
        <f t="shared" si="1"/>
        <v>2857.9753804521774</v>
      </c>
      <c r="L59" s="51">
        <f t="shared" si="6"/>
        <v>5303.7013153831931</v>
      </c>
      <c r="M59" s="47">
        <v>13.182058566630211</v>
      </c>
      <c r="N59" s="28">
        <f t="shared" si="2"/>
        <v>6809.6415363044553</v>
      </c>
      <c r="O59" s="51">
        <f t="shared" si="7"/>
        <v>11215.542926017364</v>
      </c>
      <c r="Q59" s="47">
        <v>14.852780428657921</v>
      </c>
      <c r="R59" s="28">
        <f t="shared" si="3"/>
        <v>275.6642577620151</v>
      </c>
      <c r="S59" s="51">
        <f t="shared" si="8"/>
        <v>511.5652487759404</v>
      </c>
      <c r="T59" s="32">
        <v>0.5</v>
      </c>
      <c r="U59" s="47">
        <v>13.182058566630211</v>
      </c>
      <c r="V59" s="28">
        <f t="shared" si="4"/>
        <v>76.573404933893073</v>
      </c>
      <c r="W59" s="51">
        <f t="shared" si="9"/>
        <v>126.117109902008</v>
      </c>
    </row>
    <row r="60" spans="1:23">
      <c r="A60">
        <v>2060</v>
      </c>
      <c r="C60" s="25">
        <v>0.03</v>
      </c>
      <c r="D60" s="26">
        <f t="shared" si="11"/>
        <v>0.24260826111027742</v>
      </c>
      <c r="E60" s="27">
        <v>0.89</v>
      </c>
      <c r="F60" s="56">
        <v>60.348664720800933</v>
      </c>
      <c r="G60" s="28">
        <f t="shared" si="0"/>
        <v>520.34508839608395</v>
      </c>
      <c r="H60" s="32">
        <v>0.5</v>
      </c>
      <c r="I60" s="51">
        <f t="shared" si="5"/>
        <v>3809.2082323447648</v>
      </c>
      <c r="J60" s="47">
        <v>15.181367170074076</v>
      </c>
      <c r="K60" s="28">
        <f t="shared" si="1"/>
        <v>2883.4113613382015</v>
      </c>
      <c r="L60" s="51">
        <f t="shared" si="6"/>
        <v>5309.9823654565771</v>
      </c>
      <c r="M60" s="47">
        <v>13.473684076774326</v>
      </c>
      <c r="N60" s="28">
        <f t="shared" si="2"/>
        <v>6870.2473459775647</v>
      </c>
      <c r="O60" s="51">
        <f t="shared" si="7"/>
        <v>11228.825232566975</v>
      </c>
      <c r="Q60" s="47">
        <v>15.181367170074076</v>
      </c>
      <c r="R60" s="28">
        <f t="shared" si="3"/>
        <v>278.11766965609701</v>
      </c>
      <c r="S60" s="51">
        <f t="shared" si="8"/>
        <v>512.17108359813244</v>
      </c>
      <c r="T60" s="32">
        <v>0.5</v>
      </c>
      <c r="U60" s="47">
        <v>13.473684076774326</v>
      </c>
      <c r="V60" s="28">
        <f t="shared" si="4"/>
        <v>77.254908237804713</v>
      </c>
      <c r="W60" s="51">
        <f t="shared" si="9"/>
        <v>126.26646746105968</v>
      </c>
    </row>
    <row r="61" spans="1:23">
      <c r="A61">
        <v>2061</v>
      </c>
      <c r="C61" s="25">
        <v>0.03</v>
      </c>
      <c r="D61" s="26">
        <f t="shared" si="11"/>
        <v>0.23554200107793924</v>
      </c>
      <c r="E61" s="27">
        <v>0.89</v>
      </c>
      <c r="F61" s="56">
        <v>61.683752867069032</v>
      </c>
      <c r="G61" s="28">
        <f t="shared" si="0"/>
        <v>524.976159682809</v>
      </c>
      <c r="H61" s="32">
        <v>0.5</v>
      </c>
      <c r="I61" s="51">
        <f t="shared" si="5"/>
        <v>3813.7193890303624</v>
      </c>
      <c r="J61" s="47">
        <v>15.517223206768179</v>
      </c>
      <c r="K61" s="28">
        <f t="shared" si="1"/>
        <v>2909.0737224541112</v>
      </c>
      <c r="L61" s="51">
        <f t="shared" si="6"/>
        <v>5316.2708540314288</v>
      </c>
      <c r="M61" s="47">
        <v>13.771761192161808</v>
      </c>
      <c r="N61" s="28">
        <f t="shared" si="2"/>
        <v>6931.3925473567642</v>
      </c>
      <c r="O61" s="51">
        <f t="shared" si="7"/>
        <v>11242.12326904321</v>
      </c>
      <c r="Q61" s="47">
        <v>15.517223206768179</v>
      </c>
      <c r="R61" s="28">
        <f t="shared" si="3"/>
        <v>280.59291691603624</v>
      </c>
      <c r="S61" s="51">
        <f t="shared" si="8"/>
        <v>512.77763589640904</v>
      </c>
      <c r="T61" s="32">
        <v>0.5</v>
      </c>
      <c r="U61" s="47">
        <v>13.771761192161808</v>
      </c>
      <c r="V61" s="28">
        <f t="shared" si="4"/>
        <v>77.94247692112117</v>
      </c>
      <c r="W61" s="51">
        <f t="shared" si="9"/>
        <v>126.41600190079365</v>
      </c>
    </row>
    <row r="62" spans="1:23">
      <c r="A62">
        <v>2062</v>
      </c>
      <c r="C62" s="25">
        <v>0.03</v>
      </c>
      <c r="D62" s="26">
        <f t="shared" si="11"/>
        <v>0.2286815544446012</v>
      </c>
      <c r="E62" s="27">
        <v>0.89</v>
      </c>
      <c r="F62" s="56">
        <v>63.051977961375279</v>
      </c>
      <c r="G62" s="28">
        <f t="shared" si="0"/>
        <v>529.64844750398595</v>
      </c>
      <c r="H62" s="32">
        <v>0.5</v>
      </c>
      <c r="I62" s="51">
        <f t="shared" si="5"/>
        <v>3818.4539608771415</v>
      </c>
      <c r="J62" s="47">
        <v>15.861415205449021</v>
      </c>
      <c r="K62" s="28">
        <f t="shared" si="1"/>
        <v>2934.9644785839528</v>
      </c>
      <c r="L62" s="51">
        <f t="shared" si="6"/>
        <v>5322.8707801790506</v>
      </c>
      <c r="M62" s="47">
        <v>14.077236595004367</v>
      </c>
      <c r="N62" s="28">
        <f t="shared" si="2"/>
        <v>6993.0819410282384</v>
      </c>
      <c r="O62" s="51">
        <f t="shared" si="7"/>
        <v>11256.079891148322</v>
      </c>
      <c r="Q62" s="47">
        <v>15.861415205449021</v>
      </c>
      <c r="R62" s="28">
        <f t="shared" si="3"/>
        <v>283.09019387658896</v>
      </c>
      <c r="S62" s="51">
        <f t="shared" si="8"/>
        <v>513.41422771424357</v>
      </c>
      <c r="T62" s="32">
        <v>0.5</v>
      </c>
      <c r="U62" s="47">
        <v>14.077236595004367</v>
      </c>
      <c r="V62" s="28">
        <f t="shared" si="4"/>
        <v>78.636164965719146</v>
      </c>
      <c r="W62" s="51">
        <f t="shared" si="9"/>
        <v>126.57294203784294</v>
      </c>
    </row>
    <row r="63" spans="1:23">
      <c r="A63">
        <v>2063</v>
      </c>
      <c r="C63" s="25">
        <v>0.03</v>
      </c>
      <c r="D63" s="26">
        <f t="shared" si="11"/>
        <v>0.22202092664524387</v>
      </c>
      <c r="E63" s="27">
        <v>0.89</v>
      </c>
      <c r="F63" s="56">
        <v>64.448004530497684</v>
      </c>
      <c r="G63" s="28">
        <f t="shared" si="0"/>
        <v>534.36231868677135</v>
      </c>
      <c r="H63" s="32">
        <v>0.5</v>
      </c>
      <c r="I63" s="51">
        <f t="shared" si="5"/>
        <v>3823.0432920843214</v>
      </c>
      <c r="J63" s="47">
        <v>16.212600969427012</v>
      </c>
      <c r="K63" s="28">
        <f t="shared" si="1"/>
        <v>2961.0856624433495</v>
      </c>
      <c r="L63" s="51">
        <f t="shared" si="6"/>
        <v>5329.2682429306124</v>
      </c>
      <c r="M63" s="47">
        <v>14.388919066226554</v>
      </c>
      <c r="N63" s="28">
        <f t="shared" si="2"/>
        <v>7055.3203703033887</v>
      </c>
      <c r="O63" s="51">
        <f t="shared" si="7"/>
        <v>11269.608371324914</v>
      </c>
      <c r="Q63" s="47">
        <v>16.212600969427012</v>
      </c>
      <c r="R63" s="28">
        <f t="shared" si="3"/>
        <v>285.60969660209059</v>
      </c>
      <c r="S63" s="51">
        <f t="shared" si="8"/>
        <v>514.03129104971936</v>
      </c>
      <c r="T63" s="32">
        <v>0.5</v>
      </c>
      <c r="U63" s="47">
        <v>14.388919066226554</v>
      </c>
      <c r="V63" s="28">
        <f t="shared" si="4"/>
        <v>79.336026833914033</v>
      </c>
      <c r="W63" s="51">
        <f t="shared" si="9"/>
        <v>126.72506778266806</v>
      </c>
    </row>
    <row r="64" spans="1:23">
      <c r="A64">
        <v>2064</v>
      </c>
      <c r="C64" s="25">
        <v>0.03</v>
      </c>
      <c r="D64" s="26">
        <f t="shared" si="11"/>
        <v>0.215554297713829</v>
      </c>
      <c r="E64" s="27">
        <v>0.89</v>
      </c>
      <c r="F64" s="56">
        <v>65.874940362813859</v>
      </c>
      <c r="G64" s="28">
        <f t="shared" si="0"/>
        <v>539.11814332308359</v>
      </c>
      <c r="H64" s="32">
        <v>0.5</v>
      </c>
      <c r="I64" s="51">
        <f t="shared" si="5"/>
        <v>3827.6381391262203</v>
      </c>
      <c r="J64" s="47">
        <v>16.571562296885517</v>
      </c>
      <c r="K64" s="28">
        <f t="shared" si="1"/>
        <v>2987.4393248390952</v>
      </c>
      <c r="L64" s="51">
        <f t="shared" si="6"/>
        <v>5335.6733946777076</v>
      </c>
      <c r="M64" s="47">
        <v>14.707502463082232</v>
      </c>
      <c r="N64" s="28">
        <f t="shared" si="2"/>
        <v>7118.1127215990882</v>
      </c>
      <c r="O64" s="51">
        <f t="shared" si="7"/>
        <v>11283.153111138758</v>
      </c>
      <c r="Q64" s="47">
        <v>16.571562296885517</v>
      </c>
      <c r="R64" s="28">
        <f t="shared" si="3"/>
        <v>288.15162290184918</v>
      </c>
      <c r="S64" s="51">
        <f t="shared" si="8"/>
        <v>514.64909602253078</v>
      </c>
      <c r="T64" s="32">
        <v>0.5</v>
      </c>
      <c r="U64" s="47">
        <v>14.707502463082232</v>
      </c>
      <c r="V64" s="28">
        <f t="shared" si="4"/>
        <v>80.042117472735868</v>
      </c>
      <c r="W64" s="51">
        <f t="shared" si="9"/>
        <v>126.87737636469257</v>
      </c>
    </row>
    <row r="65" spans="1:24">
      <c r="A65">
        <v>2065</v>
      </c>
      <c r="C65" s="25">
        <v>0.03</v>
      </c>
      <c r="D65" s="26">
        <f t="shared" si="11"/>
        <v>0.20927601719789224</v>
      </c>
      <c r="E65" s="27">
        <v>0.89</v>
      </c>
      <c r="F65" s="56">
        <v>67.333469816753876</v>
      </c>
      <c r="G65" s="28">
        <f t="shared" si="0"/>
        <v>543.91629479865901</v>
      </c>
      <c r="H65" s="32">
        <v>0.5</v>
      </c>
      <c r="I65" s="51">
        <f t="shared" si="5"/>
        <v>3832.2385086322215</v>
      </c>
      <c r="J65" s="47">
        <v>16.938471345678423</v>
      </c>
      <c r="K65" s="28">
        <f t="shared" si="1"/>
        <v>3014.0275348301629</v>
      </c>
      <c r="L65" s="51">
        <f t="shared" si="6"/>
        <v>5342.0862446616038</v>
      </c>
      <c r="M65" s="47">
        <v>15.033139578169623</v>
      </c>
      <c r="N65" s="28">
        <f t="shared" si="2"/>
        <v>7181.4639248213198</v>
      </c>
      <c r="O65" s="51">
        <f t="shared" si="7"/>
        <v>11296.714130132017</v>
      </c>
      <c r="Q65" s="47">
        <v>16.938471345678423</v>
      </c>
      <c r="R65" s="28">
        <f t="shared" si="3"/>
        <v>290.7161723456756</v>
      </c>
      <c r="S65" s="51">
        <f t="shared" si="8"/>
        <v>515.2676435240387</v>
      </c>
      <c r="T65" s="32">
        <v>0.5</v>
      </c>
      <c r="U65" s="47">
        <v>15.033139578169623</v>
      </c>
      <c r="V65" s="28">
        <f t="shared" si="4"/>
        <v>80.754492318243209</v>
      </c>
      <c r="W65" s="51">
        <f t="shared" si="9"/>
        <v>127.02986800366519</v>
      </c>
    </row>
    <row r="66" spans="1:24">
      <c r="A66">
        <v>2066</v>
      </c>
      <c r="C66" s="25">
        <v>0.03</v>
      </c>
      <c r="D66" s="26">
        <f t="shared" si="11"/>
        <v>0.20318059922125459</v>
      </c>
      <c r="E66" s="27">
        <v>0.89</v>
      </c>
      <c r="F66" s="56">
        <v>68.82429240304883</v>
      </c>
      <c r="G66" s="28">
        <f t="shared" si="0"/>
        <v>548.75714982236707</v>
      </c>
      <c r="H66" s="32">
        <v>0.5</v>
      </c>
      <c r="I66" s="51">
        <f t="shared" si="5"/>
        <v>3836.8444072396737</v>
      </c>
      <c r="J66" s="47">
        <v>17.313504085386782</v>
      </c>
      <c r="K66" s="28">
        <f t="shared" si="1"/>
        <v>3040.852379890151</v>
      </c>
      <c r="L66" s="51">
        <f t="shared" si="6"/>
        <v>5348.5068021346706</v>
      </c>
      <c r="M66" s="47">
        <v>15.365986587050241</v>
      </c>
      <c r="N66" s="28">
        <f t="shared" si="2"/>
        <v>7245.3789537522289</v>
      </c>
      <c r="O66" s="51">
        <f t="shared" si="7"/>
        <v>11310.291447870346</v>
      </c>
      <c r="Q66" s="47">
        <v>17.313504085386782</v>
      </c>
      <c r="R66" s="28">
        <f t="shared" si="3"/>
        <v>293.30354627955211</v>
      </c>
      <c r="S66" s="51">
        <f t="shared" si="8"/>
        <v>515.8869344466749</v>
      </c>
      <c r="T66" s="32">
        <v>0.5</v>
      </c>
      <c r="U66" s="47">
        <v>15.365986587050241</v>
      </c>
      <c r="V66" s="28">
        <f t="shared" si="4"/>
        <v>81.473207299875568</v>
      </c>
      <c r="W66" s="51">
        <f t="shared" si="9"/>
        <v>127.18254291959877</v>
      </c>
    </row>
    <row r="67" spans="1:24">
      <c r="A67">
        <v>2067</v>
      </c>
      <c r="C67" s="25">
        <v>0.03</v>
      </c>
      <c r="D67" s="26">
        <f t="shared" si="11"/>
        <v>0.19726271769053844</v>
      </c>
      <c r="E67" s="27">
        <v>0.89</v>
      </c>
      <c r="F67" s="56">
        <v>70.335777652341037</v>
      </c>
      <c r="G67" s="28">
        <f t="shared" si="0"/>
        <v>553.64108845578608</v>
      </c>
      <c r="H67" s="32">
        <v>0.5</v>
      </c>
      <c r="I67" s="51">
        <f t="shared" si="5"/>
        <v>3840.7817003718951</v>
      </c>
      <c r="J67" s="47">
        <v>17.69373474413981</v>
      </c>
      <c r="K67" s="28">
        <f t="shared" si="1"/>
        <v>3067.915966071173</v>
      </c>
      <c r="L67" s="51">
        <f t="shared" si="6"/>
        <v>5353.9953330378121</v>
      </c>
      <c r="M67" s="47">
        <v>15.703446824652618</v>
      </c>
      <c r="N67" s="28">
        <f t="shared" si="2"/>
        <v>7309.8628264406234</v>
      </c>
      <c r="O67" s="51">
        <f t="shared" si="7"/>
        <v>11321.897843156299</v>
      </c>
      <c r="Q67" s="47">
        <v>17.69373474413981</v>
      </c>
      <c r="R67" s="28">
        <f t="shared" si="3"/>
        <v>295.91394784144012</v>
      </c>
      <c r="S67" s="51">
        <f t="shared" si="8"/>
        <v>516.416327319674</v>
      </c>
      <c r="T67" s="32">
        <v>0.5</v>
      </c>
      <c r="U67" s="47">
        <v>15.703446824652618</v>
      </c>
      <c r="V67" s="28">
        <f t="shared" si="4"/>
        <v>82.198318844844451</v>
      </c>
      <c r="W67" s="51">
        <f t="shared" si="9"/>
        <v>127.31305510607964</v>
      </c>
    </row>
    <row r="68" spans="1:24">
      <c r="A68">
        <v>2068</v>
      </c>
      <c r="C68" s="25">
        <v>0.03</v>
      </c>
      <c r="D68" s="26">
        <f t="shared" si="11"/>
        <v>0.19151720164129946</v>
      </c>
      <c r="E68" s="27">
        <v>0.89</v>
      </c>
      <c r="F68" s="56">
        <v>71.880457397051359</v>
      </c>
      <c r="G68" s="28">
        <f t="shared" si="0"/>
        <v>558.56849414304247</v>
      </c>
      <c r="H68" s="32">
        <v>0.5</v>
      </c>
      <c r="I68" s="51">
        <f t="shared" si="5"/>
        <v>3844.7230338757245</v>
      </c>
      <c r="J68" s="47">
        <v>18.082315841552905</v>
      </c>
      <c r="K68" s="28">
        <f t="shared" si="1"/>
        <v>3095.2204181692064</v>
      </c>
      <c r="L68" s="51">
        <f t="shared" si="6"/>
        <v>5359.4894961617956</v>
      </c>
      <c r="M68" s="47">
        <v>16.048318197968118</v>
      </c>
      <c r="N68" s="28">
        <f t="shared" si="2"/>
        <v>7374.9206055959439</v>
      </c>
      <c r="O68" s="51">
        <f t="shared" si="7"/>
        <v>11333.516148693387</v>
      </c>
      <c r="Q68" s="47">
        <v>18.082315841552905</v>
      </c>
      <c r="R68" s="28">
        <f t="shared" si="3"/>
        <v>298.5475819772289</v>
      </c>
      <c r="S68" s="51">
        <f t="shared" si="8"/>
        <v>516.94626344507083</v>
      </c>
      <c r="T68" s="32">
        <v>0.5</v>
      </c>
      <c r="U68" s="47">
        <v>16.048318197968118</v>
      </c>
      <c r="V68" s="28">
        <f t="shared" si="4"/>
        <v>82.929883882563558</v>
      </c>
      <c r="W68" s="51">
        <f t="shared" si="9"/>
        <v>127.44370122156076</v>
      </c>
    </row>
    <row r="69" spans="1:24">
      <c r="A69">
        <v>2069</v>
      </c>
      <c r="C69" s="25">
        <v>0.03</v>
      </c>
      <c r="D69" s="26">
        <f t="shared" si="11"/>
        <v>0.18593903071970821</v>
      </c>
      <c r="E69" s="27">
        <v>0.89</v>
      </c>
      <c r="F69" s="56">
        <v>73.459060638356988</v>
      </c>
      <c r="G69" s="28">
        <f t="shared" si="0"/>
        <v>563.53975374091544</v>
      </c>
      <c r="H69" s="32">
        <v>0.5</v>
      </c>
      <c r="I69" s="51">
        <f t="shared" si="5"/>
        <v>3848.6684118973112</v>
      </c>
      <c r="J69" s="47">
        <v>18.479430765851632</v>
      </c>
      <c r="K69" s="28">
        <f t="shared" si="1"/>
        <v>3122.7678798909119</v>
      </c>
      <c r="L69" s="51">
        <f t="shared" si="6"/>
        <v>5364.9892972862917</v>
      </c>
      <c r="M69" s="47">
        <v>16.400763466713112</v>
      </c>
      <c r="N69" s="28">
        <f t="shared" si="2"/>
        <v>7440.5573989857476</v>
      </c>
      <c r="O69" s="51">
        <f t="shared" si="7"/>
        <v>11345.146376703669</v>
      </c>
      <c r="Q69" s="47">
        <v>18.479430765851632</v>
      </c>
      <c r="R69" s="28">
        <f t="shared" si="3"/>
        <v>301.20465545682623</v>
      </c>
      <c r="S69" s="51">
        <f t="shared" si="8"/>
        <v>517.47674338034005</v>
      </c>
      <c r="T69" s="32">
        <v>0.5</v>
      </c>
      <c r="U69" s="47">
        <v>16.400763466713112</v>
      </c>
      <c r="V69" s="28">
        <f t="shared" si="4"/>
        <v>83.667959849118361</v>
      </c>
      <c r="W69" s="51">
        <f t="shared" si="9"/>
        <v>127.57448140347738</v>
      </c>
    </row>
    <row r="70" spans="1:24">
      <c r="A70">
        <v>2070</v>
      </c>
      <c r="C70" s="25">
        <v>0.03</v>
      </c>
      <c r="D70" s="26">
        <f t="shared" si="11"/>
        <v>0.18052333079583321</v>
      </c>
      <c r="E70" s="27">
        <v>0.89</v>
      </c>
      <c r="F70" s="56">
        <v>75.072332387400351</v>
      </c>
      <c r="G70" s="28">
        <f t="shared" si="0"/>
        <v>568.5552575492095</v>
      </c>
      <c r="H70" s="32">
        <v>0.5</v>
      </c>
      <c r="I70" s="51">
        <f t="shared" si="5"/>
        <v>3852.617838587058</v>
      </c>
      <c r="J70" s="47">
        <v>18.885266932743537</v>
      </c>
      <c r="K70" s="28">
        <f t="shared" si="1"/>
        <v>3150.5605140219409</v>
      </c>
      <c r="L70" s="51">
        <f t="shared" si="6"/>
        <v>5370.4947421969027</v>
      </c>
      <c r="M70" s="47">
        <v>16.76094896505278</v>
      </c>
      <c r="N70" s="28">
        <f t="shared" si="2"/>
        <v>7506.7783598367205</v>
      </c>
      <c r="O70" s="51">
        <f t="shared" si="7"/>
        <v>11356.78853942175</v>
      </c>
      <c r="Q70" s="47">
        <v>18.885266932743537</v>
      </c>
      <c r="R70" s="28">
        <f t="shared" si="3"/>
        <v>303.88537689039197</v>
      </c>
      <c r="S70" s="51">
        <f t="shared" si="8"/>
        <v>518.00776768352807</v>
      </c>
      <c r="T70" s="32">
        <v>0.5</v>
      </c>
      <c r="U70" s="47">
        <v>16.76094896505278</v>
      </c>
      <c r="V70" s="28">
        <f t="shared" si="4"/>
        <v>84.412604691775513</v>
      </c>
      <c r="W70" s="51">
        <f t="shared" si="9"/>
        <v>127.70539578940578</v>
      </c>
    </row>
    <row r="71" spans="1:24">
      <c r="A71">
        <v>2071</v>
      </c>
      <c r="C71" s="25">
        <v>0.03</v>
      </c>
      <c r="D71" s="26">
        <f t="shared" si="11"/>
        <v>0.17526536970469245</v>
      </c>
      <c r="E71" s="27">
        <v>0.89</v>
      </c>
      <c r="F71" s="56">
        <v>76.72103401689202</v>
      </c>
      <c r="G71" s="28">
        <f t="shared" si="0"/>
        <v>573.61539934139739</v>
      </c>
      <c r="H71" s="32">
        <v>0.5</v>
      </c>
      <c r="I71" s="51">
        <f t="shared" si="5"/>
        <v>3856.571318099629</v>
      </c>
      <c r="J71" s="47">
        <v>19.300015873867753</v>
      </c>
      <c r="K71" s="28">
        <f t="shared" si="1"/>
        <v>3178.6005025967361</v>
      </c>
      <c r="L71" s="51">
        <f t="shared" si="6"/>
        <v>5376.0058366851727</v>
      </c>
      <c r="M71" s="47">
        <v>17.129044680101419</v>
      </c>
      <c r="N71" s="28">
        <f t="shared" si="2"/>
        <v>7573.5886872392666</v>
      </c>
      <c r="O71" s="51">
        <f t="shared" si="7"/>
        <v>11368.44264909479</v>
      </c>
      <c r="Q71" s="47">
        <v>19.300015873867753</v>
      </c>
      <c r="R71" s="28">
        <f t="shared" si="3"/>
        <v>306.5899567447164</v>
      </c>
      <c r="S71" s="51">
        <f t="shared" si="8"/>
        <v>518.53933691325483</v>
      </c>
      <c r="T71" s="32">
        <v>0.5</v>
      </c>
      <c r="U71" s="47">
        <v>17.129044680101419</v>
      </c>
      <c r="V71" s="28">
        <f t="shared" si="4"/>
        <v>85.163876873532303</v>
      </c>
      <c r="W71" s="51">
        <f t="shared" si="9"/>
        <v>127.83644451706347</v>
      </c>
    </row>
    <row r="72" spans="1:24">
      <c r="A72">
        <v>2072</v>
      </c>
      <c r="C72" s="25">
        <v>0.03</v>
      </c>
      <c r="D72" s="26">
        <f t="shared" si="11"/>
        <v>0.17016055311135189</v>
      </c>
      <c r="E72" s="27">
        <v>0.89</v>
      </c>
      <c r="F72" s="47">
        <v>78.389427466094318</v>
      </c>
      <c r="G72" s="28">
        <f t="shared" si="0"/>
        <v>578.72057639553577</v>
      </c>
      <c r="H72" s="32">
        <v>0.5</v>
      </c>
      <c r="I72" s="51">
        <f t="shared" si="5"/>
        <v>3859.715637030883</v>
      </c>
      <c r="J72" s="47">
        <v>19.719718507781312</v>
      </c>
      <c r="K72" s="28">
        <f t="shared" si="1"/>
        <v>3206.8900470698468</v>
      </c>
      <c r="L72" s="51">
        <f t="shared" si="6"/>
        <v>5380.388972774861</v>
      </c>
      <c r="M72" s="47">
        <v>17.501536869519548</v>
      </c>
      <c r="N72" s="28">
        <f t="shared" si="2"/>
        <v>7640.9936265556953</v>
      </c>
      <c r="O72" s="51">
        <f t="shared" si="7"/>
        <v>11377.71150645331</v>
      </c>
      <c r="Q72" s="47">
        <v>19.719718507781312</v>
      </c>
      <c r="R72" s="28">
        <f t="shared" si="3"/>
        <v>309.31860735974436</v>
      </c>
      <c r="S72" s="51">
        <f t="shared" si="8"/>
        <v>518.9621096093033</v>
      </c>
      <c r="T72" s="32">
        <v>0.5</v>
      </c>
      <c r="U72" s="47">
        <v>17.501536869519548</v>
      </c>
      <c r="V72" s="28">
        <f t="shared" si="4"/>
        <v>85.921835377706728</v>
      </c>
      <c r="W72" s="51">
        <f t="shared" si="9"/>
        <v>127.9406714376737</v>
      </c>
    </row>
    <row r="73" spans="1:24">
      <c r="A73">
        <v>2073</v>
      </c>
      <c r="C73" s="25">
        <v>0.03</v>
      </c>
      <c r="D73" s="26">
        <f t="shared" si="11"/>
        <v>0.16520442049645814</v>
      </c>
      <c r="E73" s="27">
        <v>0.89</v>
      </c>
      <c r="F73" s="47">
        <v>80.094102187271247</v>
      </c>
      <c r="G73" s="28">
        <f t="shared" si="0"/>
        <v>583.87118952545597</v>
      </c>
      <c r="H73" s="32">
        <v>0.5</v>
      </c>
      <c r="I73" s="51">
        <f t="shared" si="5"/>
        <v>3862.862519571293</v>
      </c>
      <c r="J73" s="47">
        <v>20.148548092784715</v>
      </c>
      <c r="K73" s="28">
        <f t="shared" si="1"/>
        <v>3235.4313684887679</v>
      </c>
      <c r="L73" s="51">
        <f t="shared" si="6"/>
        <v>5384.7756824994312</v>
      </c>
      <c r="M73" s="47">
        <v>17.882129360721503</v>
      </c>
      <c r="N73" s="28">
        <f t="shared" si="2"/>
        <v>7708.9984698320404</v>
      </c>
      <c r="O73" s="51">
        <f t="shared" si="7"/>
        <v>11386.98792084663</v>
      </c>
      <c r="Q73" s="47">
        <v>20.148548092784715</v>
      </c>
      <c r="R73" s="28">
        <f t="shared" si="3"/>
        <v>312.07154296524607</v>
      </c>
      <c r="S73" s="51">
        <f t="shared" si="8"/>
        <v>519.38522699810665</v>
      </c>
      <c r="T73" s="32">
        <v>0.5</v>
      </c>
      <c r="U73" s="47">
        <v>17.882129360721503</v>
      </c>
      <c r="V73" s="28">
        <f t="shared" si="4"/>
        <v>86.686539712568305</v>
      </c>
      <c r="W73" s="51">
        <f t="shared" si="9"/>
        <v>128.04498333601478</v>
      </c>
    </row>
    <row r="74" spans="1:24">
      <c r="A74">
        <v>2074</v>
      </c>
      <c r="C74" s="25">
        <v>0.03</v>
      </c>
      <c r="D74" s="26">
        <f t="shared" si="11"/>
        <v>0.16039264125869723</v>
      </c>
      <c r="E74" s="27">
        <v>0.89</v>
      </c>
      <c r="F74" s="47">
        <v>81.835847161401318</v>
      </c>
      <c r="G74" s="28">
        <f t="shared" si="0"/>
        <v>589.06764311223253</v>
      </c>
      <c r="H74" s="32">
        <v>0.5</v>
      </c>
      <c r="I74" s="51">
        <f t="shared" si="5"/>
        <v>3866.0119678110077</v>
      </c>
      <c r="J74" s="47">
        <v>20.586703105679071</v>
      </c>
      <c r="K74" s="28">
        <f t="shared" si="1"/>
        <v>3264.2267076683179</v>
      </c>
      <c r="L74" s="51">
        <f t="shared" si="6"/>
        <v>5389.1659687725205</v>
      </c>
      <c r="M74" s="47">
        <v>18.270998304753814</v>
      </c>
      <c r="N74" s="28">
        <f t="shared" si="2"/>
        <v>7777.6085562135449</v>
      </c>
      <c r="O74" s="51">
        <f t="shared" si="7"/>
        <v>11396.271898436113</v>
      </c>
      <c r="Q74" s="47">
        <v>20.586703105679071</v>
      </c>
      <c r="R74" s="28">
        <f t="shared" si="3"/>
        <v>314.84897969763671</v>
      </c>
      <c r="S74" s="51">
        <f t="shared" si="8"/>
        <v>519.80868936069783</v>
      </c>
      <c r="T74" s="32">
        <v>0.5</v>
      </c>
      <c r="U74" s="47">
        <v>18.270998304753814</v>
      </c>
      <c r="V74" s="28">
        <f t="shared" si="4"/>
        <v>87.458049916010154</v>
      </c>
      <c r="W74" s="51">
        <f t="shared" si="9"/>
        <v>128.14938028137036</v>
      </c>
    </row>
    <row r="75" spans="1:24">
      <c r="A75">
        <v>2075</v>
      </c>
      <c r="C75" s="25">
        <v>0.03</v>
      </c>
      <c r="D75" s="26">
        <f t="shared" si="11"/>
        <v>0.15572101093077401</v>
      </c>
      <c r="E75" s="27">
        <v>0.89</v>
      </c>
      <c r="F75" s="47">
        <v>83.615468526826874</v>
      </c>
      <c r="G75" s="28">
        <f t="shared" si="0"/>
        <v>594.31034513593136</v>
      </c>
      <c r="H75" s="32">
        <v>0.5</v>
      </c>
      <c r="I75" s="51">
        <f t="shared" si="5"/>
        <v>3869.1639838418773</v>
      </c>
      <c r="J75" s="47">
        <v>21.034386339388167</v>
      </c>
      <c r="K75" s="28">
        <f t="shared" si="1"/>
        <v>3293.2783253665657</v>
      </c>
      <c r="L75" s="51">
        <f t="shared" si="6"/>
        <v>5393.5598345101407</v>
      </c>
      <c r="M75" s="47">
        <v>18.66832368328464</v>
      </c>
      <c r="N75" s="28">
        <f t="shared" si="2"/>
        <v>7846.8292723638451</v>
      </c>
      <c r="O75" s="51">
        <f t="shared" si="7"/>
        <v>11405.563445388147</v>
      </c>
      <c r="Q75" s="47">
        <v>21.034386339388167</v>
      </c>
      <c r="R75" s="28">
        <f t="shared" si="3"/>
        <v>317.65113561694562</v>
      </c>
      <c r="S75" s="51">
        <f t="shared" si="8"/>
        <v>520.2324969783391</v>
      </c>
      <c r="T75" s="32">
        <v>0.5</v>
      </c>
      <c r="U75" s="47">
        <v>18.66832368328464</v>
      </c>
      <c r="V75" s="28">
        <f t="shared" si="4"/>
        <v>88.236426560262643</v>
      </c>
      <c r="W75" s="51">
        <f t="shared" si="9"/>
        <v>128.25386234308053</v>
      </c>
    </row>
    <row r="76" spans="1:24">
      <c r="A76">
        <v>2076</v>
      </c>
      <c r="C76" s="25">
        <v>0.03</v>
      </c>
      <c r="D76" s="26">
        <f t="shared" si="11"/>
        <v>0.15118544750560584</v>
      </c>
      <c r="E76" s="27">
        <v>0.89</v>
      </c>
      <c r="F76" s="47">
        <v>85.433789952362218</v>
      </c>
      <c r="G76" s="28">
        <f t="shared" si="0"/>
        <v>599.59970720764113</v>
      </c>
      <c r="H76" s="32">
        <v>0.5</v>
      </c>
      <c r="I76" s="51">
        <f t="shared" si="5"/>
        <v>3872.3185697574622</v>
      </c>
      <c r="J76" s="47">
        <v>21.491804996817876</v>
      </c>
      <c r="K76" s="28">
        <f t="shared" si="1"/>
        <v>3322.5885024623281</v>
      </c>
      <c r="L76" s="51">
        <f t="shared" si="6"/>
        <v>5397.9572826306803</v>
      </c>
      <c r="M76" s="47">
        <v>19.074289391905339</v>
      </c>
      <c r="N76" s="28">
        <f t="shared" si="2"/>
        <v>7916.6660528878829</v>
      </c>
      <c r="O76" s="51">
        <f t="shared" si="7"/>
        <v>11414.862567874134</v>
      </c>
      <c r="Q76" s="47">
        <v>21.491804996817876</v>
      </c>
      <c r="R76" s="28">
        <f t="shared" si="3"/>
        <v>320.47823072393641</v>
      </c>
      <c r="S76" s="51">
        <f t="shared" si="8"/>
        <v>520.6566501325218</v>
      </c>
      <c r="T76" s="32">
        <v>0.5</v>
      </c>
      <c r="U76" s="47">
        <v>19.074289391905339</v>
      </c>
      <c r="V76" s="28">
        <f t="shared" si="4"/>
        <v>89.021730756648978</v>
      </c>
      <c r="W76" s="51">
        <f t="shared" si="9"/>
        <v>128.35842959054182</v>
      </c>
    </row>
    <row r="77" spans="1:24" ht="15.75" thickBot="1">
      <c r="A77">
        <v>2077</v>
      </c>
      <c r="C77" s="25">
        <v>0.03</v>
      </c>
      <c r="D77" s="26">
        <f t="shared" si="11"/>
        <v>0.14678198786952024</v>
      </c>
      <c r="E77" s="59">
        <v>0.89</v>
      </c>
      <c r="F77" s="53">
        <v>87.284546932482257</v>
      </c>
      <c r="G77" s="28">
        <f t="shared" si="0"/>
        <v>604.93614460178912</v>
      </c>
      <c r="H77" s="32">
        <v>0.5</v>
      </c>
      <c r="I77" s="54">
        <f t="shared" si="5"/>
        <v>3875.1602397113165</v>
      </c>
      <c r="J77" s="53">
        <v>21.957383173033858</v>
      </c>
      <c r="K77" s="28">
        <f t="shared" si="1"/>
        <v>3352.1595401342424</v>
      </c>
      <c r="L77" s="54">
        <f t="shared" si="6"/>
        <v>5401.9185303291633</v>
      </c>
      <c r="M77" s="53">
        <v>19.487496792075497</v>
      </c>
      <c r="N77" s="28">
        <f t="shared" si="2"/>
        <v>7987.1243807585843</v>
      </c>
      <c r="O77" s="54">
        <f t="shared" si="7"/>
        <v>11423.239273303239</v>
      </c>
      <c r="Q77" s="53">
        <v>21.957383173033858</v>
      </c>
      <c r="R77" s="28">
        <f t="shared" si="3"/>
        <v>323.33048697737939</v>
      </c>
      <c r="S77" s="51">
        <f t="shared" si="8"/>
        <v>521.0387298432438</v>
      </c>
      <c r="T77" s="32">
        <v>0.5</v>
      </c>
      <c r="U77" s="53">
        <v>19.487496792075497</v>
      </c>
      <c r="V77" s="28">
        <f t="shared" si="4"/>
        <v>89.814024160383141</v>
      </c>
      <c r="W77" s="51">
        <f t="shared" si="9"/>
        <v>128.45262439557158</v>
      </c>
    </row>
    <row r="78" spans="1:24" ht="15.75">
      <c r="H78" s="17" t="s">
        <v>75</v>
      </c>
      <c r="I78" s="33">
        <f>SUM(I17:I77)</f>
        <v>240507.18748031181</v>
      </c>
      <c r="L78" s="33">
        <f>SUM(L17:L77)</f>
        <v>335263.6155309109</v>
      </c>
      <c r="O78" s="33">
        <f>SUM(O17:O77)</f>
        <v>708969.68888736074</v>
      </c>
      <c r="S78" s="33">
        <f>SUM(S17:S77)</f>
        <v>32337.645860096847</v>
      </c>
      <c r="W78" s="33">
        <f>SUM(W17:W77)</f>
        <v>7972.2585665632414</v>
      </c>
      <c r="X78" s="65">
        <f>SUM(I78:W78)</f>
        <v>1325050.3963252436</v>
      </c>
    </row>
  </sheetData>
  <mergeCells count="5">
    <mergeCell ref="F6:I6"/>
    <mergeCell ref="J6:O6"/>
    <mergeCell ref="Q6:S6"/>
    <mergeCell ref="U6:W6"/>
    <mergeCell ref="C8:C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X78"/>
  <sheetViews>
    <sheetView topLeftCell="I41" workbookViewId="0">
      <selection activeCell="T17" sqref="T17:T77"/>
    </sheetView>
  </sheetViews>
  <sheetFormatPr defaultRowHeight="15"/>
  <cols>
    <col min="3" max="3" width="22.28515625" customWidth="1"/>
    <col min="4" max="4" width="13.5703125" customWidth="1"/>
    <col min="5" max="5" width="22.28515625" customWidth="1"/>
    <col min="6" max="6" width="12.140625" customWidth="1"/>
    <col min="7" max="7" width="12.5703125" customWidth="1"/>
    <col min="8" max="8" width="21.28515625" customWidth="1"/>
    <col min="9" max="9" width="17.28515625" customWidth="1"/>
    <col min="10" max="11" width="12.42578125" customWidth="1"/>
    <col min="12" max="12" width="16" customWidth="1"/>
    <col min="13" max="13" width="13.28515625" customWidth="1"/>
    <col min="14" max="14" width="12.42578125" customWidth="1"/>
    <col min="15" max="15" width="15.7109375" customWidth="1"/>
    <col min="17" max="17" width="12.42578125" customWidth="1"/>
    <col min="18" max="18" width="13.140625" customWidth="1"/>
    <col min="19" max="19" width="17.42578125" customWidth="1"/>
    <col min="20" max="20" width="17.85546875" customWidth="1"/>
    <col min="21" max="21" width="12.140625" customWidth="1"/>
    <col min="22" max="22" width="13" customWidth="1"/>
    <col min="23" max="23" width="15.28515625" customWidth="1"/>
    <col min="24" max="24" width="15.140625" customWidth="1"/>
  </cols>
  <sheetData>
    <row r="1" spans="1:24" ht="18.75">
      <c r="A1" s="69" t="s">
        <v>150</v>
      </c>
      <c r="B1" s="70"/>
      <c r="C1" s="70"/>
      <c r="D1" s="70"/>
    </row>
    <row r="3" spans="1:24">
      <c r="A3" s="68" t="s">
        <v>111</v>
      </c>
      <c r="B3" s="68"/>
      <c r="C3" s="68"/>
      <c r="D3" s="68"/>
      <c r="E3" s="68"/>
      <c r="F3" s="68"/>
      <c r="G3" s="68"/>
      <c r="H3" s="68"/>
      <c r="I3" s="68"/>
      <c r="J3" s="30"/>
      <c r="K3" s="30"/>
      <c r="L3" s="30"/>
      <c r="M3" s="30"/>
      <c r="N3" s="30"/>
      <c r="O3" s="30"/>
      <c r="P3" s="30"/>
    </row>
    <row r="4" spans="1:24">
      <c r="A4" s="68" t="s">
        <v>113</v>
      </c>
      <c r="B4" s="68"/>
      <c r="C4" s="68"/>
      <c r="D4" s="68"/>
      <c r="E4" s="68"/>
      <c r="F4" s="68"/>
      <c r="G4" s="68"/>
      <c r="H4" s="29"/>
      <c r="I4" s="29"/>
      <c r="J4" s="30"/>
      <c r="K4" s="30"/>
      <c r="L4" s="30"/>
      <c r="M4" s="30"/>
      <c r="N4" s="30"/>
      <c r="O4" s="30"/>
    </row>
    <row r="5" spans="1:24">
      <c r="A5" s="29"/>
      <c r="B5" s="29"/>
      <c r="C5" s="29"/>
      <c r="D5" s="29"/>
      <c r="E5" s="29"/>
      <c r="F5" s="29"/>
      <c r="G5" s="29"/>
      <c r="H5" s="29"/>
      <c r="I5" s="29"/>
      <c r="J5" s="30"/>
      <c r="K5" s="30"/>
      <c r="L5" s="30"/>
      <c r="M5" s="30"/>
      <c r="N5" s="30"/>
      <c r="O5" s="30"/>
    </row>
    <row r="6" spans="1:24" ht="15.75" thickBot="1">
      <c r="A6" s="39" t="s">
        <v>76</v>
      </c>
      <c r="B6" s="29"/>
      <c r="C6" s="39"/>
      <c r="D6" s="40"/>
      <c r="E6" s="40"/>
      <c r="F6" s="90" t="s">
        <v>49</v>
      </c>
      <c r="G6" s="90"/>
      <c r="H6" s="90"/>
      <c r="I6" s="90"/>
      <c r="J6" s="93" t="s">
        <v>50</v>
      </c>
      <c r="K6" s="94"/>
      <c r="L6" s="94"/>
      <c r="M6" s="94"/>
      <c r="N6" s="94"/>
      <c r="O6" s="94"/>
      <c r="P6" s="40"/>
      <c r="Q6" s="92" t="s">
        <v>5</v>
      </c>
      <c r="R6" s="92"/>
      <c r="S6" s="92"/>
      <c r="U6" s="89" t="s">
        <v>6</v>
      </c>
      <c r="V6" s="89"/>
      <c r="W6" s="89"/>
    </row>
    <row r="7" spans="1:24">
      <c r="A7" s="86" t="s">
        <v>77</v>
      </c>
      <c r="C7" s="62" t="s">
        <v>112</v>
      </c>
      <c r="D7" s="86"/>
      <c r="E7" s="44" t="s">
        <v>73</v>
      </c>
      <c r="F7" s="62" t="s">
        <v>110</v>
      </c>
      <c r="G7" s="41" t="s">
        <v>64</v>
      </c>
      <c r="H7" s="41" t="s">
        <v>65</v>
      </c>
      <c r="I7" s="42" t="s">
        <v>70</v>
      </c>
      <c r="J7" s="62" t="s">
        <v>110</v>
      </c>
      <c r="K7" s="41" t="s">
        <v>64</v>
      </c>
      <c r="L7" s="42" t="s">
        <v>70</v>
      </c>
      <c r="M7" s="62" t="s">
        <v>110</v>
      </c>
      <c r="N7" s="41" t="s">
        <v>64</v>
      </c>
      <c r="O7" s="42" t="s">
        <v>70</v>
      </c>
      <c r="Q7" s="62" t="s">
        <v>110</v>
      </c>
      <c r="R7" s="41" t="s">
        <v>64</v>
      </c>
      <c r="S7" s="42" t="s">
        <v>70</v>
      </c>
      <c r="T7" s="86" t="s">
        <v>65</v>
      </c>
      <c r="U7" s="62" t="s">
        <v>110</v>
      </c>
      <c r="V7" s="41" t="s">
        <v>64</v>
      </c>
      <c r="W7" s="42" t="s">
        <v>70</v>
      </c>
      <c r="X7" s="30"/>
    </row>
    <row r="8" spans="1:24" ht="15.75">
      <c r="C8" s="91" t="s">
        <v>82</v>
      </c>
      <c r="D8" s="86" t="s">
        <v>83</v>
      </c>
      <c r="E8" s="44" t="s">
        <v>79</v>
      </c>
      <c r="F8" s="55" t="s">
        <v>62</v>
      </c>
      <c r="G8" s="44" t="s">
        <v>68</v>
      </c>
      <c r="H8" s="44" t="s">
        <v>116</v>
      </c>
      <c r="I8" s="45" t="s">
        <v>71</v>
      </c>
      <c r="J8" s="43" t="s">
        <v>1</v>
      </c>
      <c r="K8" s="44" t="s">
        <v>68</v>
      </c>
      <c r="L8" s="45" t="s">
        <v>71</v>
      </c>
      <c r="M8" s="43" t="s">
        <v>61</v>
      </c>
      <c r="N8" s="44" t="s">
        <v>68</v>
      </c>
      <c r="O8" s="45" t="s">
        <v>71</v>
      </c>
      <c r="Q8" s="43" t="s">
        <v>1</v>
      </c>
      <c r="R8" s="44" t="s">
        <v>68</v>
      </c>
      <c r="S8" s="45" t="s">
        <v>71</v>
      </c>
      <c r="T8" s="86" t="s">
        <v>66</v>
      </c>
      <c r="U8" s="43" t="s">
        <v>2</v>
      </c>
      <c r="V8" s="44" t="s">
        <v>68</v>
      </c>
      <c r="W8" s="45" t="s">
        <v>71</v>
      </c>
      <c r="X8" s="30"/>
    </row>
    <row r="9" spans="1:24">
      <c r="C9" s="91"/>
      <c r="D9" s="86" t="s">
        <v>63</v>
      </c>
      <c r="E9" s="44" t="s">
        <v>80</v>
      </c>
      <c r="F9" s="46" t="s">
        <v>74</v>
      </c>
      <c r="G9" s="44" t="s">
        <v>67</v>
      </c>
      <c r="H9" s="44" t="s">
        <v>117</v>
      </c>
      <c r="I9" s="45" t="s">
        <v>72</v>
      </c>
      <c r="J9" s="46" t="s">
        <v>74</v>
      </c>
      <c r="K9" s="44" t="s">
        <v>67</v>
      </c>
      <c r="L9" s="45" t="s">
        <v>72</v>
      </c>
      <c r="M9" s="46" t="s">
        <v>74</v>
      </c>
      <c r="N9" s="44" t="s">
        <v>67</v>
      </c>
      <c r="O9" s="45" t="s">
        <v>72</v>
      </c>
      <c r="Q9" s="46" t="s">
        <v>74</v>
      </c>
      <c r="R9" s="44" t="s">
        <v>67</v>
      </c>
      <c r="S9" s="45" t="s">
        <v>72</v>
      </c>
      <c r="T9" s="86" t="s">
        <v>78</v>
      </c>
      <c r="U9" s="46" t="s">
        <v>74</v>
      </c>
      <c r="V9" s="44" t="s">
        <v>67</v>
      </c>
      <c r="W9" s="45" t="s">
        <v>72</v>
      </c>
    </row>
    <row r="10" spans="1:24">
      <c r="A10">
        <v>2010</v>
      </c>
      <c r="C10" s="24"/>
      <c r="E10" s="27"/>
      <c r="F10" s="56">
        <v>22.750636964980959</v>
      </c>
      <c r="G10" s="61"/>
      <c r="H10" s="31"/>
      <c r="I10" s="57"/>
      <c r="J10" s="47">
        <v>5.7231717506317636</v>
      </c>
      <c r="K10" s="61"/>
      <c r="L10" s="48"/>
      <c r="M10" s="47">
        <v>5.0793981346513721</v>
      </c>
      <c r="N10" s="28"/>
      <c r="O10" s="48"/>
      <c r="Q10" s="47">
        <v>5.7231717506317636</v>
      </c>
      <c r="R10" s="28"/>
      <c r="S10" s="48"/>
      <c r="T10" s="31"/>
      <c r="U10" s="47">
        <v>5.0793981346513721</v>
      </c>
      <c r="V10" s="28"/>
      <c r="W10" s="48"/>
    </row>
    <row r="11" spans="1:24">
      <c r="A11">
        <v>2011</v>
      </c>
      <c r="E11" s="27"/>
      <c r="F11" s="56">
        <v>22.932867919921684</v>
      </c>
      <c r="G11" s="28"/>
      <c r="H11" s="27"/>
      <c r="I11" s="51"/>
      <c r="J11" s="47">
        <v>5.7690139419960209</v>
      </c>
      <c r="K11" s="28"/>
      <c r="L11" s="48"/>
      <c r="M11" s="47">
        <v>5.1200837459609128</v>
      </c>
      <c r="N11" s="28"/>
      <c r="O11" s="48"/>
      <c r="Q11" s="47">
        <v>5.7690139419960209</v>
      </c>
      <c r="R11" s="28"/>
      <c r="S11" s="48"/>
      <c r="T11" s="27"/>
      <c r="U11" s="47">
        <v>5.1200837459609128</v>
      </c>
      <c r="V11" s="28"/>
      <c r="W11" s="48"/>
    </row>
    <row r="12" spans="1:24">
      <c r="A12">
        <v>2012</v>
      </c>
      <c r="E12" s="27"/>
      <c r="F12" s="56">
        <v>22.931848695058275</v>
      </c>
      <c r="G12" s="28"/>
      <c r="H12" s="27"/>
      <c r="I12" s="51"/>
      <c r="J12" s="47">
        <v>5.7687575448254798</v>
      </c>
      <c r="K12" s="28"/>
      <c r="L12" s="48"/>
      <c r="M12" s="47">
        <v>5.1198561897444437</v>
      </c>
      <c r="N12" s="28"/>
      <c r="O12" s="48"/>
      <c r="Q12" s="47">
        <v>5.7687575448254798</v>
      </c>
      <c r="R12" s="28"/>
      <c r="S12" s="48"/>
      <c r="T12" s="27"/>
      <c r="U12" s="47">
        <v>5.1198561897444437</v>
      </c>
      <c r="V12" s="28"/>
      <c r="W12" s="48"/>
    </row>
    <row r="13" spans="1:24">
      <c r="A13">
        <v>2013</v>
      </c>
      <c r="E13" s="27"/>
      <c r="F13" s="56">
        <v>23.182608376264469</v>
      </c>
      <c r="G13" s="28"/>
      <c r="H13" s="27"/>
      <c r="I13" s="51"/>
      <c r="J13" s="47">
        <v>5.8318388873780327</v>
      </c>
      <c r="K13" s="28"/>
      <c r="L13" s="48"/>
      <c r="M13" s="47">
        <v>5.1758417983638889</v>
      </c>
      <c r="N13" s="28"/>
      <c r="O13" s="48"/>
      <c r="Q13" s="47">
        <v>5.8318388873780327</v>
      </c>
      <c r="R13" s="28"/>
      <c r="S13" s="48"/>
      <c r="T13" s="27"/>
      <c r="U13" s="47">
        <v>5.1758417983638889</v>
      </c>
      <c r="V13" s="28"/>
      <c r="W13" s="48"/>
    </row>
    <row r="14" spans="1:24" ht="25.5">
      <c r="A14">
        <v>2014</v>
      </c>
      <c r="E14" s="64" t="s">
        <v>81</v>
      </c>
      <c r="F14" s="56">
        <v>23.658090569026307</v>
      </c>
      <c r="G14" s="28">
        <v>407.726</v>
      </c>
      <c r="H14" s="27"/>
      <c r="I14" s="51"/>
      <c r="J14" s="47">
        <v>5.9514516374619859</v>
      </c>
      <c r="K14" s="28">
        <v>2259.3530000000001</v>
      </c>
      <c r="L14" s="48"/>
      <c r="M14" s="47">
        <v>5.2819998530456989</v>
      </c>
      <c r="N14" s="28">
        <v>5383.3159999999998</v>
      </c>
      <c r="O14" s="48"/>
      <c r="Q14" s="47">
        <v>5.9514516374619859</v>
      </c>
      <c r="R14" s="28">
        <v>180</v>
      </c>
      <c r="S14" s="48"/>
      <c r="T14" s="27"/>
      <c r="U14" s="47">
        <v>5.2819998530456989</v>
      </c>
      <c r="V14" s="28">
        <v>50</v>
      </c>
      <c r="W14" s="48"/>
    </row>
    <row r="15" spans="1:24">
      <c r="A15">
        <v>2015</v>
      </c>
      <c r="E15" s="27">
        <v>1.48</v>
      </c>
      <c r="F15" s="56">
        <v>24.052665742690195</v>
      </c>
      <c r="G15" s="28">
        <f>(E15/100+1)*G14</f>
        <v>413.76034479999998</v>
      </c>
      <c r="H15" s="27"/>
      <c r="I15" s="51"/>
      <c r="J15" s="47">
        <v>6.0507113413063118</v>
      </c>
      <c r="K15" s="28">
        <f>(E15/100+1)*K14</f>
        <v>2292.7914243999999</v>
      </c>
      <c r="L15" s="48"/>
      <c r="M15" s="47">
        <v>5.3700942832883802</v>
      </c>
      <c r="N15" s="28">
        <f>(E15/100+1)*N14</f>
        <v>5462.9890767999996</v>
      </c>
      <c r="O15" s="48"/>
      <c r="Q15" s="47">
        <v>6.0507113413063118</v>
      </c>
      <c r="R15" s="28">
        <f>(E15/100+1)*R14</f>
        <v>182.66399999999999</v>
      </c>
      <c r="S15" s="48"/>
      <c r="T15" s="27"/>
      <c r="U15" s="47">
        <v>5.3700942832883802</v>
      </c>
      <c r="V15" s="28">
        <f>(E15/100+1)*V14</f>
        <v>50.739999999999995</v>
      </c>
      <c r="W15" s="48"/>
    </row>
    <row r="16" spans="1:24">
      <c r="A16">
        <v>2016</v>
      </c>
      <c r="E16" s="27">
        <v>1.48</v>
      </c>
      <c r="F16" s="56">
        <v>24.521954725305466</v>
      </c>
      <c r="G16" s="28">
        <f t="shared" ref="G16:G77" si="0">(E16/100+1)*G15</f>
        <v>419.88399790303993</v>
      </c>
      <c r="H16" s="27"/>
      <c r="I16" s="51"/>
      <c r="J16" s="47">
        <v>6.1687661215887548</v>
      </c>
      <c r="K16" s="28">
        <f t="shared" ref="K16:K77" si="1">(E16/100+1)*K15</f>
        <v>2326.7247374811195</v>
      </c>
      <c r="L16" s="48"/>
      <c r="M16" s="47">
        <v>5.4748696171209046</v>
      </c>
      <c r="N16" s="28">
        <f t="shared" ref="N16:N77" si="2">(E16/100+1)*N15</f>
        <v>5543.8413151366394</v>
      </c>
      <c r="O16" s="48"/>
      <c r="Q16" s="47">
        <v>6.1687661215887548</v>
      </c>
      <c r="R16" s="28">
        <f t="shared" ref="R16:R77" si="3">(E16/100+1)*R15</f>
        <v>185.36742719999998</v>
      </c>
      <c r="S16" s="48"/>
      <c r="T16" s="27"/>
      <c r="U16" s="47">
        <v>5.4748696171209046</v>
      </c>
      <c r="V16" s="28">
        <f t="shared" ref="V16:V77" si="4">(E16/100+1)*V15</f>
        <v>51.490951999999993</v>
      </c>
      <c r="W16" s="48"/>
    </row>
    <row r="17" spans="1:23">
      <c r="A17" s="34">
        <v>2017</v>
      </c>
      <c r="B17" s="34"/>
      <c r="C17" s="35" t="s">
        <v>85</v>
      </c>
      <c r="D17" s="34">
        <v>1</v>
      </c>
      <c r="E17" s="36">
        <v>1.19</v>
      </c>
      <c r="F17" s="58">
        <v>25.00912873207761</v>
      </c>
      <c r="G17" s="37">
        <f t="shared" si="0"/>
        <v>424.88061747808609</v>
      </c>
      <c r="H17" s="38">
        <f>5/60</f>
        <v>8.3333333333333329E-2</v>
      </c>
      <c r="I17" s="50">
        <f t="shared" ref="I17:I77" si="5">D17*F17*G17*H17</f>
        <v>885.49117152283998</v>
      </c>
      <c r="J17" s="49">
        <v>6.2913200754623162</v>
      </c>
      <c r="K17" s="37">
        <f t="shared" si="1"/>
        <v>2354.4127618571447</v>
      </c>
      <c r="L17" s="50">
        <f t="shared" ref="L17:L77" si="6">D17*J17*K17*H17</f>
        <v>1234.3636895497109</v>
      </c>
      <c r="M17" s="49">
        <v>5.5836380329264941</v>
      </c>
      <c r="N17" s="37">
        <f t="shared" si="2"/>
        <v>5609.8130267867655</v>
      </c>
      <c r="O17" s="50">
        <f t="shared" ref="O17:O77" si="7">D17*M17*N17*H17</f>
        <v>2610.2637811644227</v>
      </c>
      <c r="Q17" s="49">
        <v>6.2913200754623162</v>
      </c>
      <c r="R17" s="37">
        <f t="shared" si="3"/>
        <v>187.57329958367998</v>
      </c>
      <c r="S17" s="50">
        <f>D17*Q17*R17*T17</f>
        <v>98.340305440959426</v>
      </c>
      <c r="T17" s="38">
        <f>5/60</f>
        <v>8.3333333333333329E-2</v>
      </c>
      <c r="U17" s="49">
        <v>5.5836380329264941</v>
      </c>
      <c r="V17" s="37">
        <f t="shared" si="4"/>
        <v>52.103694328799996</v>
      </c>
      <c r="W17" s="50">
        <f>D17*U17*V17*T17</f>
        <v>24.244014109188676</v>
      </c>
    </row>
    <row r="18" spans="1:23">
      <c r="A18">
        <v>2018</v>
      </c>
      <c r="C18" s="25">
        <v>3.5000000000000003E-2</v>
      </c>
      <c r="D18" s="26">
        <f>D17/1.035</f>
        <v>0.96618357487922713</v>
      </c>
      <c r="E18" s="27">
        <v>1.19</v>
      </c>
      <c r="F18" s="56">
        <v>25.484612871256417</v>
      </c>
      <c r="G18" s="28">
        <f t="shared" si="0"/>
        <v>429.93669682607532</v>
      </c>
      <c r="H18" s="38">
        <f t="shared" ref="H18:H77" si="8">5/60</f>
        <v>8.3333333333333329E-2</v>
      </c>
      <c r="I18" s="51">
        <f t="shared" si="5"/>
        <v>882.18762300799244</v>
      </c>
      <c r="J18" s="47">
        <v>6.4109333151887604</v>
      </c>
      <c r="K18" s="28">
        <f t="shared" si="1"/>
        <v>2382.4302737232447</v>
      </c>
      <c r="L18" s="51">
        <f t="shared" si="6"/>
        <v>1229.758583971548</v>
      </c>
      <c r="M18" s="47">
        <v>5.6897965221731326</v>
      </c>
      <c r="N18" s="28">
        <f t="shared" si="2"/>
        <v>5676.5698018055282</v>
      </c>
      <c r="O18" s="51">
        <f t="shared" si="7"/>
        <v>2600.5255327041968</v>
      </c>
      <c r="Q18" s="47">
        <v>6.4109333151887604</v>
      </c>
      <c r="R18" s="28">
        <f t="shared" si="3"/>
        <v>189.80542184872579</v>
      </c>
      <c r="S18" s="51">
        <f t="shared" ref="S18:S77" si="9">D18*Q18*R18*T18</f>
        <v>97.973422088039683</v>
      </c>
      <c r="T18" s="38">
        <f t="shared" ref="T18:T77" si="10">5/60</f>
        <v>8.3333333333333329E-2</v>
      </c>
      <c r="U18" s="47">
        <v>5.6897965221731326</v>
      </c>
      <c r="V18" s="28">
        <f t="shared" si="4"/>
        <v>52.723728291312717</v>
      </c>
      <c r="W18" s="51">
        <f t="shared" ref="W18:W77" si="11">D18*U18*V18*T18</f>
        <v>24.153565689848012</v>
      </c>
    </row>
    <row r="19" spans="1:23">
      <c r="A19">
        <v>2019</v>
      </c>
      <c r="C19" s="25">
        <v>3.5000000000000003E-2</v>
      </c>
      <c r="D19" s="26">
        <f>D18/1.035</f>
        <v>0.93351070036640305</v>
      </c>
      <c r="E19" s="27">
        <v>1.19</v>
      </c>
      <c r="F19" s="56">
        <v>25.971738255235024</v>
      </c>
      <c r="G19" s="28">
        <f t="shared" si="0"/>
        <v>435.05294351830565</v>
      </c>
      <c r="H19" s="38">
        <f t="shared" si="8"/>
        <v>8.3333333333333329E-2</v>
      </c>
      <c r="I19" s="51">
        <f t="shared" si="5"/>
        <v>878.98443185970757</v>
      </c>
      <c r="J19" s="47">
        <v>6.5334750374663972</v>
      </c>
      <c r="K19" s="28">
        <f t="shared" si="1"/>
        <v>2410.7811939805515</v>
      </c>
      <c r="L19" s="51">
        <f t="shared" si="6"/>
        <v>1225.2933753152831</v>
      </c>
      <c r="M19" s="47">
        <v>5.7985540822595105</v>
      </c>
      <c r="N19" s="28">
        <f t="shared" si="2"/>
        <v>5744.1209824470143</v>
      </c>
      <c r="O19" s="51">
        <f t="shared" si="7"/>
        <v>2591.0831191518005</v>
      </c>
      <c r="Q19" s="47">
        <v>6.5334750374663972</v>
      </c>
      <c r="R19" s="28">
        <f t="shared" si="3"/>
        <v>192.06410636872562</v>
      </c>
      <c r="S19" s="51">
        <f t="shared" si="9"/>
        <v>97.61768415858478</v>
      </c>
      <c r="T19" s="38">
        <f t="shared" si="10"/>
        <v>8.3333333333333329E-2</v>
      </c>
      <c r="U19" s="47">
        <v>5.7985540822595105</v>
      </c>
      <c r="V19" s="28">
        <f t="shared" si="4"/>
        <v>53.351140657979343</v>
      </c>
      <c r="W19" s="51">
        <f t="shared" si="11"/>
        <v>24.06586497199682</v>
      </c>
    </row>
    <row r="20" spans="1:23">
      <c r="A20">
        <v>2020</v>
      </c>
      <c r="C20" s="25">
        <v>3.5000000000000003E-2</v>
      </c>
      <c r="D20" s="26">
        <f>D19/1.035</f>
        <v>0.90194270566802237</v>
      </c>
      <c r="E20" s="27">
        <v>1.19</v>
      </c>
      <c r="F20" s="56">
        <v>26.464362164171281</v>
      </c>
      <c r="G20" s="28">
        <f t="shared" si="0"/>
        <v>440.23007354617351</v>
      </c>
      <c r="H20" s="38">
        <f t="shared" si="8"/>
        <v>8.3333333333333329E-2</v>
      </c>
      <c r="I20" s="51">
        <f t="shared" si="5"/>
        <v>875.6667171292861</v>
      </c>
      <c r="J20" s="47">
        <v>6.6573999738824412</v>
      </c>
      <c r="K20" s="28">
        <f t="shared" si="1"/>
        <v>2439.4694901889202</v>
      </c>
      <c r="L20" s="51">
        <f t="shared" si="6"/>
        <v>1220.6685222086467</v>
      </c>
      <c r="M20" s="47">
        <v>5.9085392650034949</v>
      </c>
      <c r="N20" s="28">
        <f t="shared" si="2"/>
        <v>5812.4760221381339</v>
      </c>
      <c r="O20" s="51">
        <f t="shared" si="7"/>
        <v>2581.3031113148372</v>
      </c>
      <c r="Q20" s="47">
        <v>6.6573999738824412</v>
      </c>
      <c r="R20" s="28">
        <f t="shared" si="3"/>
        <v>194.34966923451347</v>
      </c>
      <c r="S20" s="51">
        <f t="shared" si="9"/>
        <v>97.249227543264126</v>
      </c>
      <c r="T20" s="38">
        <f t="shared" si="10"/>
        <v>8.3333333333333329E-2</v>
      </c>
      <c r="U20" s="47">
        <v>5.9085392650034949</v>
      </c>
      <c r="V20" s="28">
        <f t="shared" si="4"/>
        <v>53.986019231809301</v>
      </c>
      <c r="W20" s="51">
        <f t="shared" si="11"/>
        <v>23.975028693419048</v>
      </c>
    </row>
    <row r="21" spans="1:23">
      <c r="A21">
        <v>2021</v>
      </c>
      <c r="C21" s="25">
        <v>3.5000000000000003E-2</v>
      </c>
      <c r="D21" s="26">
        <f t="shared" ref="D21:D47" si="12">D20/1.035</f>
        <v>0.87144222769857238</v>
      </c>
      <c r="E21" s="27">
        <v>1.19</v>
      </c>
      <c r="F21" s="56">
        <v>26.962911088215058</v>
      </c>
      <c r="G21" s="28">
        <f t="shared" si="0"/>
        <v>445.468811421373</v>
      </c>
      <c r="H21" s="38">
        <f t="shared" si="8"/>
        <v>8.3333333333333329E-2</v>
      </c>
      <c r="I21" s="51">
        <f t="shared" si="5"/>
        <v>872.25092281269031</v>
      </c>
      <c r="J21" s="47">
        <v>6.7828154127023366</v>
      </c>
      <c r="K21" s="28">
        <f t="shared" si="1"/>
        <v>2468.4991771221685</v>
      </c>
      <c r="L21" s="51">
        <f t="shared" si="6"/>
        <v>1215.9069473776692</v>
      </c>
      <c r="M21" s="47">
        <v>6.0198472903004712</v>
      </c>
      <c r="N21" s="28">
        <f t="shared" si="2"/>
        <v>5881.6444868015778</v>
      </c>
      <c r="O21" s="51">
        <f t="shared" si="7"/>
        <v>2571.2339830442716</v>
      </c>
      <c r="Q21" s="47">
        <v>6.7828154127023366</v>
      </c>
      <c r="R21" s="28">
        <f t="shared" si="3"/>
        <v>196.66243029840419</v>
      </c>
      <c r="S21" s="51">
        <f t="shared" si="9"/>
        <v>96.869878468738833</v>
      </c>
      <c r="T21" s="38">
        <f t="shared" si="10"/>
        <v>8.3333333333333329E-2</v>
      </c>
      <c r="U21" s="47">
        <v>6.0198472903004712</v>
      </c>
      <c r="V21" s="28">
        <f t="shared" si="4"/>
        <v>54.628452860667835</v>
      </c>
      <c r="W21" s="51">
        <f t="shared" si="11"/>
        <v>23.881507077090326</v>
      </c>
    </row>
    <row r="22" spans="1:23">
      <c r="A22">
        <v>2022</v>
      </c>
      <c r="C22" s="25">
        <v>3.5000000000000003E-2</v>
      </c>
      <c r="D22" s="26">
        <f t="shared" si="12"/>
        <v>0.84197316685852408</v>
      </c>
      <c r="E22" s="27">
        <v>0.91</v>
      </c>
      <c r="F22" s="56">
        <v>27.467706381517473</v>
      </c>
      <c r="G22" s="28">
        <f t="shared" si="0"/>
        <v>449.52257760530756</v>
      </c>
      <c r="H22" s="38">
        <f t="shared" si="8"/>
        <v>8.3333333333333329E-2</v>
      </c>
      <c r="I22" s="51">
        <f t="shared" si="5"/>
        <v>866.34507465058925</v>
      </c>
      <c r="J22" s="47">
        <v>6.909802194080247</v>
      </c>
      <c r="K22" s="28">
        <f t="shared" si="1"/>
        <v>2490.9625196339803</v>
      </c>
      <c r="L22" s="51">
        <f t="shared" si="6"/>
        <v>1207.6742684287028</v>
      </c>
      <c r="M22" s="47">
        <v>6.1325499049625485</v>
      </c>
      <c r="N22" s="28">
        <f t="shared" si="2"/>
        <v>5935.1674516314724</v>
      </c>
      <c r="O22" s="51">
        <f t="shared" si="7"/>
        <v>2553.8246377561891</v>
      </c>
      <c r="Q22" s="47">
        <v>6.909802194080247</v>
      </c>
      <c r="R22" s="28">
        <f t="shared" si="3"/>
        <v>198.45205841411968</v>
      </c>
      <c r="S22" s="51">
        <f t="shared" si="9"/>
        <v>96.213990605791366</v>
      </c>
      <c r="T22" s="38">
        <f t="shared" si="10"/>
        <v>8.3333333333333329E-2</v>
      </c>
      <c r="U22" s="47">
        <v>6.1325499049625485</v>
      </c>
      <c r="V22" s="28">
        <f t="shared" si="4"/>
        <v>55.125571781699918</v>
      </c>
      <c r="W22" s="51">
        <f t="shared" si="11"/>
        <v>23.719809850993233</v>
      </c>
    </row>
    <row r="23" spans="1:23">
      <c r="A23">
        <v>2023</v>
      </c>
      <c r="C23" s="25">
        <v>3.5000000000000003E-2</v>
      </c>
      <c r="D23" s="26">
        <f t="shared" si="12"/>
        <v>0.81350064430775282</v>
      </c>
      <c r="E23" s="27">
        <v>0.91</v>
      </c>
      <c r="F23" s="56">
        <v>27.985902842392463</v>
      </c>
      <c r="G23" s="28">
        <f t="shared" si="0"/>
        <v>453.61323306151593</v>
      </c>
      <c r="H23" s="38">
        <f t="shared" si="8"/>
        <v>8.3333333333333329E-2</v>
      </c>
      <c r="I23" s="51">
        <f t="shared" si="5"/>
        <v>860.6006956961271</v>
      </c>
      <c r="J23" s="47">
        <v>7.0401601858464611</v>
      </c>
      <c r="K23" s="28">
        <f t="shared" si="1"/>
        <v>2513.6302785626499</v>
      </c>
      <c r="L23" s="51">
        <f t="shared" si="6"/>
        <v>1199.6666755486888</v>
      </c>
      <c r="M23" s="47">
        <v>6.2482445178563717</v>
      </c>
      <c r="N23" s="28">
        <f t="shared" si="2"/>
        <v>5989.1774754413191</v>
      </c>
      <c r="O23" s="51">
        <f t="shared" si="7"/>
        <v>2536.8912737517476</v>
      </c>
      <c r="Q23" s="47">
        <v>7.0401601858464611</v>
      </c>
      <c r="R23" s="28">
        <f t="shared" si="3"/>
        <v>200.2579721456882</v>
      </c>
      <c r="S23" s="51">
        <f t="shared" si="9"/>
        <v>95.576035085603735</v>
      </c>
      <c r="T23" s="38">
        <f t="shared" si="10"/>
        <v>8.3333333333333329E-2</v>
      </c>
      <c r="U23" s="47">
        <v>6.2482445178563717</v>
      </c>
      <c r="V23" s="28">
        <f t="shared" si="4"/>
        <v>55.627214484913395</v>
      </c>
      <c r="W23" s="51">
        <f t="shared" si="11"/>
        <v>23.562533517926017</v>
      </c>
    </row>
    <row r="24" spans="1:23">
      <c r="A24">
        <v>2024</v>
      </c>
      <c r="C24" s="25">
        <v>3.5000000000000003E-2</v>
      </c>
      <c r="D24" s="26">
        <f t="shared" si="12"/>
        <v>0.78599096068381924</v>
      </c>
      <c r="E24" s="27">
        <v>0.91</v>
      </c>
      <c r="F24" s="56">
        <v>28.518219096018971</v>
      </c>
      <c r="G24" s="28">
        <f t="shared" si="0"/>
        <v>457.74111348237579</v>
      </c>
      <c r="H24" s="38">
        <f t="shared" si="8"/>
        <v>8.3333333333333329E-2</v>
      </c>
      <c r="I24" s="51">
        <f t="shared" si="5"/>
        <v>855.02463607191987</v>
      </c>
      <c r="J24" s="47">
        <v>7.1740701660306101</v>
      </c>
      <c r="K24" s="28">
        <f t="shared" si="1"/>
        <v>2536.5043140975704</v>
      </c>
      <c r="L24" s="51">
        <f t="shared" si="6"/>
        <v>1191.8937177234307</v>
      </c>
      <c r="M24" s="47">
        <v>6.3670915721114678</v>
      </c>
      <c r="N24" s="28">
        <f t="shared" si="2"/>
        <v>6043.6789904678353</v>
      </c>
      <c r="O24" s="51">
        <f t="shared" si="7"/>
        <v>2520.4540839222318</v>
      </c>
      <c r="Q24" s="47">
        <v>7.1740701660306101</v>
      </c>
      <c r="R24" s="28">
        <f t="shared" si="3"/>
        <v>202.08031969221398</v>
      </c>
      <c r="S24" s="51">
        <f t="shared" si="9"/>
        <v>94.956772664659994</v>
      </c>
      <c r="T24" s="38">
        <f t="shared" si="10"/>
        <v>8.3333333333333329E-2</v>
      </c>
      <c r="U24" s="47">
        <v>6.3670915721114678</v>
      </c>
      <c r="V24" s="28">
        <f t="shared" si="4"/>
        <v>56.133422136726111</v>
      </c>
      <c r="W24" s="51">
        <f t="shared" si="11"/>
        <v>23.409865628566411</v>
      </c>
    </row>
    <row r="25" spans="1:23">
      <c r="A25">
        <v>2025</v>
      </c>
      <c r="C25" s="25">
        <v>3.5000000000000003E-2</v>
      </c>
      <c r="D25" s="26">
        <f t="shared" si="12"/>
        <v>0.75941155621625056</v>
      </c>
      <c r="E25" s="27">
        <v>0.91</v>
      </c>
      <c r="F25" s="56">
        <v>29.065343025055924</v>
      </c>
      <c r="G25" s="28">
        <f t="shared" si="0"/>
        <v>461.90655761506548</v>
      </c>
      <c r="H25" s="38">
        <f t="shared" si="8"/>
        <v>8.3333333333333329E-2</v>
      </c>
      <c r="I25" s="51">
        <f t="shared" si="5"/>
        <v>849.62158304316074</v>
      </c>
      <c r="J25" s="47">
        <v>7.3117051790449183</v>
      </c>
      <c r="K25" s="28">
        <f t="shared" si="1"/>
        <v>2559.5865033558584</v>
      </c>
      <c r="L25" s="51">
        <f t="shared" si="6"/>
        <v>1184.3619289423609</v>
      </c>
      <c r="M25" s="47">
        <v>6.4892446471594818</v>
      </c>
      <c r="N25" s="28">
        <f t="shared" si="2"/>
        <v>6098.676469281093</v>
      </c>
      <c r="O25" s="51">
        <f t="shared" si="7"/>
        <v>2504.5268854562928</v>
      </c>
      <c r="Q25" s="47">
        <v>7.3117051790449183</v>
      </c>
      <c r="R25" s="28">
        <f t="shared" si="3"/>
        <v>203.91925060141315</v>
      </c>
      <c r="S25" s="51">
        <f t="shared" si="9"/>
        <v>94.356723898224416</v>
      </c>
      <c r="T25" s="38">
        <f t="shared" si="10"/>
        <v>8.3333333333333329E-2</v>
      </c>
      <c r="U25" s="47">
        <v>6.4892446471594818</v>
      </c>
      <c r="V25" s="28">
        <f t="shared" si="4"/>
        <v>56.644236278170325</v>
      </c>
      <c r="W25" s="51">
        <f t="shared" si="11"/>
        <v>23.261934516349157</v>
      </c>
    </row>
    <row r="26" spans="1:23">
      <c r="A26">
        <v>2026</v>
      </c>
      <c r="C26" s="25">
        <v>3.5000000000000003E-2</v>
      </c>
      <c r="D26" s="26">
        <f t="shared" si="12"/>
        <v>0.73373097218961414</v>
      </c>
      <c r="E26" s="27">
        <v>0.91</v>
      </c>
      <c r="F26" s="56">
        <v>29.62796511634221</v>
      </c>
      <c r="G26" s="28">
        <f t="shared" si="0"/>
        <v>466.10990728936264</v>
      </c>
      <c r="H26" s="38">
        <f t="shared" si="8"/>
        <v>8.3333333333333329E-2</v>
      </c>
      <c r="I26" s="51">
        <f t="shared" si="5"/>
        <v>844.39521683634496</v>
      </c>
      <c r="J26" s="47">
        <v>7.4532389244115818</v>
      </c>
      <c r="K26" s="28">
        <f t="shared" si="1"/>
        <v>2582.8787405363969</v>
      </c>
      <c r="L26" s="51">
        <f t="shared" si="6"/>
        <v>1177.0764393954821</v>
      </c>
      <c r="M26" s="47">
        <v>6.614857903851683</v>
      </c>
      <c r="N26" s="28">
        <f t="shared" si="2"/>
        <v>6154.174425151552</v>
      </c>
      <c r="O26" s="51">
        <f t="shared" si="7"/>
        <v>2489.1205269792331</v>
      </c>
      <c r="Q26" s="47">
        <v>7.4532389244115818</v>
      </c>
      <c r="R26" s="28">
        <f t="shared" si="3"/>
        <v>205.77491578188602</v>
      </c>
      <c r="S26" s="51">
        <f t="shared" si="9"/>
        <v>93.776297502509266</v>
      </c>
      <c r="T26" s="38">
        <f t="shared" si="10"/>
        <v>8.3333333333333329E-2</v>
      </c>
      <c r="U26" s="47">
        <v>6.614857903851683</v>
      </c>
      <c r="V26" s="28">
        <f t="shared" si="4"/>
        <v>57.159698828301678</v>
      </c>
      <c r="W26" s="51">
        <f t="shared" si="11"/>
        <v>23.118840942824399</v>
      </c>
    </row>
    <row r="27" spans="1:23">
      <c r="A27">
        <v>2027</v>
      </c>
      <c r="C27" s="25">
        <v>3.5000000000000003E-2</v>
      </c>
      <c r="D27" s="26">
        <f t="shared" si="12"/>
        <v>0.70891881370977217</v>
      </c>
      <c r="E27" s="27">
        <v>0.89</v>
      </c>
      <c r="F27" s="56">
        <v>30.206691450720747</v>
      </c>
      <c r="G27" s="28">
        <f t="shared" si="0"/>
        <v>470.25828546423793</v>
      </c>
      <c r="H27" s="38">
        <f t="shared" si="8"/>
        <v>8.3333333333333329E-2</v>
      </c>
      <c r="I27" s="51">
        <f t="shared" si="5"/>
        <v>839.1795106042066</v>
      </c>
      <c r="J27" s="47">
        <v>7.59882386840063</v>
      </c>
      <c r="K27" s="28">
        <f t="shared" si="1"/>
        <v>2605.8663613271706</v>
      </c>
      <c r="L27" s="51">
        <f t="shared" si="6"/>
        <v>1169.8058097208375</v>
      </c>
      <c r="M27" s="47">
        <v>6.7440666582193396</v>
      </c>
      <c r="N27" s="28">
        <f t="shared" si="2"/>
        <v>6208.9465775354001</v>
      </c>
      <c r="O27" s="51">
        <f t="shared" si="7"/>
        <v>2473.745592130892</v>
      </c>
      <c r="Q27" s="47">
        <v>7.59882386840063</v>
      </c>
      <c r="R27" s="28">
        <f t="shared" si="3"/>
        <v>207.60631253234479</v>
      </c>
      <c r="S27" s="51">
        <f t="shared" si="9"/>
        <v>93.197054975362761</v>
      </c>
      <c r="T27" s="38">
        <f t="shared" si="10"/>
        <v>8.3333333333333329E-2</v>
      </c>
      <c r="U27" s="47">
        <v>6.7440666582193396</v>
      </c>
      <c r="V27" s="28">
        <f t="shared" si="4"/>
        <v>57.668420147873562</v>
      </c>
      <c r="W27" s="51">
        <f t="shared" si="11"/>
        <v>22.976039230568048</v>
      </c>
    </row>
    <row r="28" spans="1:23">
      <c r="A28">
        <v>2028</v>
      </c>
      <c r="C28" s="25">
        <v>3.5000000000000003E-2</v>
      </c>
      <c r="D28" s="26">
        <f t="shared" si="12"/>
        <v>0.68494571372924851</v>
      </c>
      <c r="E28" s="27">
        <v>0.89</v>
      </c>
      <c r="F28" s="56">
        <v>30.802003134944645</v>
      </c>
      <c r="G28" s="28">
        <f t="shared" si="0"/>
        <v>474.44358420486958</v>
      </c>
      <c r="H28" s="38">
        <f t="shared" si="8"/>
        <v>8.3333333333333329E-2</v>
      </c>
      <c r="I28" s="51">
        <f t="shared" si="5"/>
        <v>834.13903472548395</v>
      </c>
      <c r="J28" s="47">
        <v>7.7485810386818663</v>
      </c>
      <c r="K28" s="28">
        <f t="shared" si="1"/>
        <v>2629.0585719429823</v>
      </c>
      <c r="L28" s="51">
        <f t="shared" si="6"/>
        <v>1162.7794489813555</v>
      </c>
      <c r="M28" s="47">
        <v>6.8769783240789586</v>
      </c>
      <c r="N28" s="28">
        <f t="shared" si="2"/>
        <v>6264.2062020754647</v>
      </c>
      <c r="O28" s="51">
        <f t="shared" si="7"/>
        <v>2458.887203872277</v>
      </c>
      <c r="Q28" s="47">
        <v>7.7485810386818663</v>
      </c>
      <c r="R28" s="28">
        <f t="shared" si="3"/>
        <v>209.45400871388264</v>
      </c>
      <c r="S28" s="51">
        <f t="shared" si="9"/>
        <v>92.637273067397615</v>
      </c>
      <c r="T28" s="38">
        <f t="shared" si="10"/>
        <v>8.3333333333333329E-2</v>
      </c>
      <c r="U28" s="47">
        <v>6.8769783240789586</v>
      </c>
      <c r="V28" s="28">
        <f t="shared" si="4"/>
        <v>58.181669087189633</v>
      </c>
      <c r="W28" s="51">
        <f t="shared" si="11"/>
        <v>22.838035180103468</v>
      </c>
    </row>
    <row r="29" spans="1:23">
      <c r="A29">
        <v>2029</v>
      </c>
      <c r="C29" s="25">
        <v>3.5000000000000003E-2</v>
      </c>
      <c r="D29" s="26">
        <f t="shared" si="12"/>
        <v>0.66178329828912907</v>
      </c>
      <c r="E29" s="27">
        <v>0.89</v>
      </c>
      <c r="F29" s="56">
        <v>31.414399176305807</v>
      </c>
      <c r="G29" s="28">
        <f t="shared" si="0"/>
        <v>478.6661321042929</v>
      </c>
      <c r="H29" s="38">
        <f t="shared" si="8"/>
        <v>8.3333333333333329E-2</v>
      </c>
      <c r="I29" s="51">
        <f t="shared" si="5"/>
        <v>829.27011472957577</v>
      </c>
      <c r="J29" s="47">
        <v>7.9026359660015624</v>
      </c>
      <c r="K29" s="28">
        <f t="shared" si="1"/>
        <v>2652.4571932332747</v>
      </c>
      <c r="L29" s="51">
        <f t="shared" si="6"/>
        <v>1155.9922350106776</v>
      </c>
      <c r="M29" s="47">
        <v>7.0137043117928748</v>
      </c>
      <c r="N29" s="28">
        <f t="shared" si="2"/>
        <v>6319.9576372739357</v>
      </c>
      <c r="O29" s="51">
        <f t="shared" si="7"/>
        <v>2444.5345305453939</v>
      </c>
      <c r="Q29" s="47">
        <v>7.9026359660015624</v>
      </c>
      <c r="R29" s="28">
        <f t="shared" si="3"/>
        <v>211.31814939143618</v>
      </c>
      <c r="S29" s="51">
        <f t="shared" si="9"/>
        <v>92.096543701635824</v>
      </c>
      <c r="T29" s="38">
        <f t="shared" si="10"/>
        <v>8.3333333333333329E-2</v>
      </c>
      <c r="U29" s="47">
        <v>7.0137043117928748</v>
      </c>
      <c r="V29" s="28">
        <f t="shared" si="4"/>
        <v>58.699485942065614</v>
      </c>
      <c r="W29" s="51">
        <f t="shared" si="11"/>
        <v>22.704728187472131</v>
      </c>
    </row>
    <row r="30" spans="1:23">
      <c r="A30">
        <v>2030</v>
      </c>
      <c r="C30" s="25">
        <v>3.5000000000000003E-2</v>
      </c>
      <c r="D30" s="26">
        <f t="shared" si="12"/>
        <v>0.63940415293635666</v>
      </c>
      <c r="E30" s="27">
        <v>0.89</v>
      </c>
      <c r="F30" s="56">
        <v>32.044259300362327</v>
      </c>
      <c r="G30" s="28">
        <f t="shared" si="0"/>
        <v>482.92626068002107</v>
      </c>
      <c r="H30" s="38">
        <f t="shared" si="8"/>
        <v>8.3333333333333329E-2</v>
      </c>
      <c r="I30" s="51">
        <f t="shared" si="5"/>
        <v>824.56570192298818</v>
      </c>
      <c r="J30" s="47">
        <v>8.0610841744802251</v>
      </c>
      <c r="K30" s="28">
        <f t="shared" si="1"/>
        <v>2676.0640622530505</v>
      </c>
      <c r="L30" s="51">
        <f t="shared" si="6"/>
        <v>1149.4343420176644</v>
      </c>
      <c r="M30" s="47">
        <v>7.1543294004068123</v>
      </c>
      <c r="N30" s="28">
        <f t="shared" si="2"/>
        <v>6376.2052602456733</v>
      </c>
      <c r="O30" s="51">
        <f t="shared" si="7"/>
        <v>2430.6667939088288</v>
      </c>
      <c r="Q30" s="47">
        <v>8.0610841744802251</v>
      </c>
      <c r="R30" s="28">
        <f t="shared" si="3"/>
        <v>213.19888092101993</v>
      </c>
      <c r="S30" s="51">
        <f t="shared" si="9"/>
        <v>91.574084068837237</v>
      </c>
      <c r="T30" s="38">
        <f t="shared" si="10"/>
        <v>8.3333333333333329E-2</v>
      </c>
      <c r="U30" s="47">
        <v>7.1543294004068123</v>
      </c>
      <c r="V30" s="28">
        <f t="shared" si="4"/>
        <v>59.221911366949996</v>
      </c>
      <c r="W30" s="51">
        <f t="shared" si="11"/>
        <v>22.575925265290294</v>
      </c>
    </row>
    <row r="31" spans="1:23">
      <c r="A31">
        <v>2031</v>
      </c>
      <c r="C31" s="25">
        <v>3.5000000000000003E-2</v>
      </c>
      <c r="D31" s="26">
        <f t="shared" si="12"/>
        <v>0.61778179027667313</v>
      </c>
      <c r="E31" s="27">
        <v>0.89</v>
      </c>
      <c r="F31" s="56">
        <v>32.691933437571272</v>
      </c>
      <c r="G31" s="28">
        <f t="shared" si="0"/>
        <v>487.22430440007321</v>
      </c>
      <c r="H31" s="38">
        <f t="shared" si="8"/>
        <v>8.3333333333333329E-2</v>
      </c>
      <c r="I31" s="51">
        <f t="shared" si="5"/>
        <v>820.01804064660769</v>
      </c>
      <c r="J31" s="47">
        <v>8.2240136929545731</v>
      </c>
      <c r="K31" s="28">
        <f t="shared" si="1"/>
        <v>2699.8810324071023</v>
      </c>
      <c r="L31" s="51">
        <f t="shared" si="6"/>
        <v>1143.0949587098883</v>
      </c>
      <c r="M31" s="47">
        <v>7.2989317167931578</v>
      </c>
      <c r="N31" s="28">
        <f t="shared" si="2"/>
        <v>6432.9534870618591</v>
      </c>
      <c r="O31" s="51">
        <f t="shared" si="7"/>
        <v>2417.2611317176129</v>
      </c>
      <c r="Q31" s="47">
        <v>8.2240136929545731</v>
      </c>
      <c r="R31" s="28">
        <f t="shared" si="3"/>
        <v>215.09635096121698</v>
      </c>
      <c r="S31" s="51">
        <f t="shared" si="9"/>
        <v>91.069032846031547</v>
      </c>
      <c r="T31" s="38">
        <f t="shared" si="10"/>
        <v>8.3333333333333329E-2</v>
      </c>
      <c r="U31" s="47">
        <v>7.2989317167931578</v>
      </c>
      <c r="V31" s="28">
        <f t="shared" si="4"/>
        <v>59.748986378115845</v>
      </c>
      <c r="W31" s="51">
        <f t="shared" si="11"/>
        <v>22.451414070041714</v>
      </c>
    </row>
    <row r="32" spans="1:23">
      <c r="A32">
        <v>2032</v>
      </c>
      <c r="C32" s="25">
        <v>3.5000000000000003E-2</v>
      </c>
      <c r="D32" s="26">
        <f t="shared" si="12"/>
        <v>0.59689061862480497</v>
      </c>
      <c r="E32" s="27">
        <v>0.89</v>
      </c>
      <c r="F32" s="56">
        <v>33.357691434038379</v>
      </c>
      <c r="G32" s="28">
        <f t="shared" si="0"/>
        <v>491.56060070923382</v>
      </c>
      <c r="H32" s="38">
        <f t="shared" si="8"/>
        <v>8.3333333333333329E-2</v>
      </c>
      <c r="I32" s="51">
        <f t="shared" si="5"/>
        <v>815.6175467562914</v>
      </c>
      <c r="J32" s="47">
        <v>8.3914924041661614</v>
      </c>
      <c r="K32" s="28">
        <f t="shared" si="1"/>
        <v>2723.9099735955251</v>
      </c>
      <c r="L32" s="51">
        <f t="shared" si="6"/>
        <v>1136.96072490951</v>
      </c>
      <c r="M32" s="47">
        <v>7.4475715078719524</v>
      </c>
      <c r="N32" s="28">
        <f t="shared" si="2"/>
        <v>6490.2067730967092</v>
      </c>
      <c r="O32" s="51">
        <f t="shared" si="7"/>
        <v>2404.2892916919532</v>
      </c>
      <c r="Q32" s="47">
        <v>8.3914924041661614</v>
      </c>
      <c r="R32" s="28">
        <f t="shared" si="3"/>
        <v>217.01070848477178</v>
      </c>
      <c r="S32" s="51">
        <f t="shared" si="9"/>
        <v>90.580325643541244</v>
      </c>
      <c r="T32" s="38">
        <f t="shared" si="10"/>
        <v>8.3333333333333329E-2</v>
      </c>
      <c r="U32" s="47">
        <v>7.4475715078719524</v>
      </c>
      <c r="V32" s="28">
        <f t="shared" si="4"/>
        <v>60.280752356881074</v>
      </c>
      <c r="W32" s="51">
        <f t="shared" si="11"/>
        <v>22.330932195806028</v>
      </c>
    </row>
    <row r="33" spans="1:23">
      <c r="A33">
        <v>2033</v>
      </c>
      <c r="C33" s="25">
        <v>3.5000000000000003E-2</v>
      </c>
      <c r="D33" s="26">
        <f t="shared" si="12"/>
        <v>0.57670591171478747</v>
      </c>
      <c r="E33" s="27">
        <v>0.89</v>
      </c>
      <c r="F33" s="56">
        <v>34.041707097224808</v>
      </c>
      <c r="G33" s="28">
        <f t="shared" si="0"/>
        <v>495.93549005554598</v>
      </c>
      <c r="H33" s="38">
        <f t="shared" si="8"/>
        <v>8.3333333333333329E-2</v>
      </c>
      <c r="I33" s="51">
        <f t="shared" si="5"/>
        <v>811.35268219246336</v>
      </c>
      <c r="J33" s="47">
        <v>8.5635640312842938</v>
      </c>
      <c r="K33" s="28">
        <f t="shared" si="1"/>
        <v>2748.152772360525</v>
      </c>
      <c r="L33" s="51">
        <f t="shared" si="6"/>
        <v>1131.0155567048587</v>
      </c>
      <c r="M33" s="47">
        <v>7.6002875785916171</v>
      </c>
      <c r="N33" s="28">
        <f t="shared" si="2"/>
        <v>6547.9696133772695</v>
      </c>
      <c r="O33" s="51">
        <f t="shared" si="7"/>
        <v>2391.7172617716697</v>
      </c>
      <c r="Q33" s="47">
        <v>8.5635640312842938</v>
      </c>
      <c r="R33" s="28">
        <f t="shared" si="3"/>
        <v>218.94210379028624</v>
      </c>
      <c r="S33" s="51">
        <f t="shared" si="9"/>
        <v>90.106681075013341</v>
      </c>
      <c r="T33" s="38">
        <f t="shared" si="10"/>
        <v>8.3333333333333329E-2</v>
      </c>
      <c r="U33" s="47">
        <v>7.6002875785916171</v>
      </c>
      <c r="V33" s="28">
        <f t="shared" si="4"/>
        <v>60.817251052857308</v>
      </c>
      <c r="W33" s="51">
        <f t="shared" si="11"/>
        <v>22.214163740078327</v>
      </c>
    </row>
    <row r="34" spans="1:23">
      <c r="A34">
        <v>2034</v>
      </c>
      <c r="C34" s="25">
        <v>3.5000000000000003E-2</v>
      </c>
      <c r="D34" s="26">
        <f t="shared" si="12"/>
        <v>0.55720377943457733</v>
      </c>
      <c r="E34" s="27">
        <v>0.89</v>
      </c>
      <c r="F34" s="56">
        <v>34.744002928237698</v>
      </c>
      <c r="G34" s="28">
        <f t="shared" si="0"/>
        <v>500.34931591704031</v>
      </c>
      <c r="H34" s="38">
        <f t="shared" si="8"/>
        <v>8.3333333333333329E-2</v>
      </c>
      <c r="I34" s="51">
        <f t="shared" si="5"/>
        <v>807.208954171958</v>
      </c>
      <c r="J34" s="47">
        <v>8.7402342347087636</v>
      </c>
      <c r="K34" s="28">
        <f t="shared" si="1"/>
        <v>2772.6113320345335</v>
      </c>
      <c r="L34" s="51">
        <f t="shared" si="6"/>
        <v>1125.239251336297</v>
      </c>
      <c r="M34" s="47">
        <v>7.7570849526392625</v>
      </c>
      <c r="N34" s="28">
        <f t="shared" si="2"/>
        <v>6606.2465429363265</v>
      </c>
      <c r="O34" s="51">
        <f t="shared" si="7"/>
        <v>2379.5023199193192</v>
      </c>
      <c r="Q34" s="47">
        <v>8.7402342347087636</v>
      </c>
      <c r="R34" s="28">
        <f t="shared" si="3"/>
        <v>220.89068851401976</v>
      </c>
      <c r="S34" s="51">
        <f t="shared" si="9"/>
        <v>89.646489610314759</v>
      </c>
      <c r="T34" s="38">
        <f t="shared" si="10"/>
        <v>8.3333333333333329E-2</v>
      </c>
      <c r="U34" s="47">
        <v>7.7570849526392625</v>
      </c>
      <c r="V34" s="28">
        <f t="shared" si="4"/>
        <v>61.358524587227734</v>
      </c>
      <c r="W34" s="51">
        <f t="shared" si="11"/>
        <v>22.100711902471637</v>
      </c>
    </row>
    <row r="35" spans="1:23">
      <c r="A35">
        <v>2035</v>
      </c>
      <c r="C35" s="25">
        <v>3.5000000000000003E-2</v>
      </c>
      <c r="D35" s="26">
        <f t="shared" si="12"/>
        <v>0.53836113955031628</v>
      </c>
      <c r="E35" s="27">
        <v>0.89</v>
      </c>
      <c r="F35" s="56">
        <v>35.464560139069569</v>
      </c>
      <c r="G35" s="28">
        <f t="shared" si="0"/>
        <v>504.80242482870193</v>
      </c>
      <c r="H35" s="38">
        <f t="shared" si="8"/>
        <v>8.3333333333333329E-2</v>
      </c>
      <c r="I35" s="51">
        <f t="shared" si="5"/>
        <v>803.17182987792376</v>
      </c>
      <c r="J35" s="47">
        <v>8.9214982881106391</v>
      </c>
      <c r="K35" s="28">
        <f t="shared" si="1"/>
        <v>2797.2875728896406</v>
      </c>
      <c r="L35" s="51">
        <f t="shared" si="6"/>
        <v>1119.6115502377252</v>
      </c>
      <c r="M35" s="47">
        <v>7.9179594353292488</v>
      </c>
      <c r="N35" s="28">
        <f t="shared" si="2"/>
        <v>6665.0421371684588</v>
      </c>
      <c r="O35" s="51">
        <f t="shared" si="7"/>
        <v>2367.6016260855749</v>
      </c>
      <c r="Q35" s="47">
        <v>8.9214982881106391</v>
      </c>
      <c r="R35" s="28">
        <f t="shared" si="3"/>
        <v>222.85661564179452</v>
      </c>
      <c r="S35" s="51">
        <f t="shared" si="9"/>
        <v>89.198137273277155</v>
      </c>
      <c r="T35" s="38">
        <f t="shared" si="10"/>
        <v>8.3333333333333329E-2</v>
      </c>
      <c r="U35" s="47">
        <v>7.9179594353292488</v>
      </c>
      <c r="V35" s="28">
        <f t="shared" si="4"/>
        <v>61.904615456054053</v>
      </c>
      <c r="W35" s="51">
        <f t="shared" si="11"/>
        <v>21.990178786509802</v>
      </c>
    </row>
    <row r="36" spans="1:23">
      <c r="A36">
        <v>2036</v>
      </c>
      <c r="C36" s="25">
        <v>3.5000000000000003E-2</v>
      </c>
      <c r="D36" s="26">
        <f t="shared" si="12"/>
        <v>0.520155690386779</v>
      </c>
      <c r="E36" s="27">
        <v>0.89</v>
      </c>
      <c r="F36" s="56">
        <v>36.203335236537853</v>
      </c>
      <c r="G36" s="28">
        <f t="shared" si="0"/>
        <v>509.29516640967734</v>
      </c>
      <c r="H36" s="38">
        <f t="shared" si="8"/>
        <v>8.3333333333333329E-2</v>
      </c>
      <c r="I36" s="51">
        <f t="shared" si="5"/>
        <v>799.22717856329291</v>
      </c>
      <c r="J36" s="47">
        <v>9.1073452503037799</v>
      </c>
      <c r="K36" s="28">
        <f t="shared" si="1"/>
        <v>2822.1834322883583</v>
      </c>
      <c r="L36" s="51">
        <f t="shared" si="6"/>
        <v>1114.1127553233264</v>
      </c>
      <c r="M36" s="47">
        <v>8.0829013161998091</v>
      </c>
      <c r="N36" s="28">
        <f t="shared" si="2"/>
        <v>6724.3610121892571</v>
      </c>
      <c r="O36" s="51">
        <f t="shared" si="7"/>
        <v>2355.9735254482794</v>
      </c>
      <c r="Q36" s="47">
        <v>9.1073452503037799</v>
      </c>
      <c r="R36" s="28">
        <f t="shared" si="3"/>
        <v>224.84003952100647</v>
      </c>
      <c r="S36" s="51">
        <f t="shared" si="9"/>
        <v>88.76005474053801</v>
      </c>
      <c r="T36" s="38">
        <f t="shared" si="10"/>
        <v>8.3333333333333329E-2</v>
      </c>
      <c r="U36" s="47">
        <v>8.0829013161998091</v>
      </c>
      <c r="V36" s="28">
        <f t="shared" si="4"/>
        <v>62.455566533612931</v>
      </c>
      <c r="W36" s="51">
        <f t="shared" si="11"/>
        <v>21.882177504054013</v>
      </c>
    </row>
    <row r="37" spans="1:23">
      <c r="A37">
        <v>2037</v>
      </c>
      <c r="C37" s="25">
        <v>3.5000000000000003E-2</v>
      </c>
      <c r="D37" s="26">
        <f t="shared" si="12"/>
        <v>0.50256588443167061</v>
      </c>
      <c r="E37" s="27">
        <v>0.89</v>
      </c>
      <c r="F37" s="56">
        <v>36.960254934683327</v>
      </c>
      <c r="G37" s="28">
        <f t="shared" si="0"/>
        <v>513.82789339072337</v>
      </c>
      <c r="H37" s="38">
        <f t="shared" si="8"/>
        <v>8.3333333333333329E-2</v>
      </c>
      <c r="I37" s="51">
        <f t="shared" si="5"/>
        <v>795.36118467000142</v>
      </c>
      <c r="J37" s="47">
        <v>9.2977566854029803</v>
      </c>
      <c r="K37" s="28">
        <f t="shared" si="1"/>
        <v>2847.3008648357245</v>
      </c>
      <c r="L37" s="51">
        <f t="shared" si="6"/>
        <v>1108.7236078768387</v>
      </c>
      <c r="M37" s="47">
        <v>8.2518942331347951</v>
      </c>
      <c r="N37" s="28">
        <f t="shared" si="2"/>
        <v>6784.2078251977409</v>
      </c>
      <c r="O37" s="51">
        <f t="shared" si="7"/>
        <v>2344.5772923040163</v>
      </c>
      <c r="Q37" s="47">
        <v>9.2977566854029803</v>
      </c>
      <c r="R37" s="28">
        <f t="shared" si="3"/>
        <v>226.84111587274342</v>
      </c>
      <c r="S37" s="51">
        <f t="shared" si="9"/>
        <v>88.33070769279125</v>
      </c>
      <c r="T37" s="38">
        <f t="shared" si="10"/>
        <v>8.3333333333333329E-2</v>
      </c>
      <c r="U37" s="47">
        <v>8.2518942331347951</v>
      </c>
      <c r="V37" s="28">
        <f t="shared" si="4"/>
        <v>63.01142107576208</v>
      </c>
      <c r="W37" s="51">
        <f t="shared" si="11"/>
        <v>21.776329796579077</v>
      </c>
    </row>
    <row r="38" spans="1:23">
      <c r="A38">
        <v>2038</v>
      </c>
      <c r="C38" s="25">
        <v>3.5000000000000003E-2</v>
      </c>
      <c r="D38" s="26">
        <f t="shared" si="12"/>
        <v>0.48557090283253201</v>
      </c>
      <c r="E38" s="27">
        <v>0.89</v>
      </c>
      <c r="F38" s="56">
        <v>37.737794180112473</v>
      </c>
      <c r="G38" s="28">
        <f t="shared" si="0"/>
        <v>518.40096164190072</v>
      </c>
      <c r="H38" s="38">
        <f t="shared" si="8"/>
        <v>8.3333333333333329E-2</v>
      </c>
      <c r="I38" s="51">
        <f t="shared" si="5"/>
        <v>791.61445942606201</v>
      </c>
      <c r="J38" s="47">
        <v>9.4933551933171678</v>
      </c>
      <c r="K38" s="28">
        <f t="shared" si="1"/>
        <v>2872.641842532762</v>
      </c>
      <c r="L38" s="51">
        <f t="shared" si="6"/>
        <v>1103.5007194454561</v>
      </c>
      <c r="M38" s="47">
        <v>8.4254907526050076</v>
      </c>
      <c r="N38" s="28">
        <f t="shared" si="2"/>
        <v>6844.5872748420006</v>
      </c>
      <c r="O38" s="51">
        <f t="shared" si="7"/>
        <v>2333.5326410226153</v>
      </c>
      <c r="Q38" s="47">
        <v>9.4933551933171678</v>
      </c>
      <c r="R38" s="28">
        <f t="shared" si="3"/>
        <v>228.86000180401081</v>
      </c>
      <c r="S38" s="51">
        <f t="shared" si="9"/>
        <v>87.91460630551407</v>
      </c>
      <c r="T38" s="38">
        <f t="shared" si="10"/>
        <v>8.3333333333333329E-2</v>
      </c>
      <c r="U38" s="47">
        <v>8.4254907526050076</v>
      </c>
      <c r="V38" s="28">
        <f t="shared" si="4"/>
        <v>63.57222272333636</v>
      </c>
      <c r="W38" s="51">
        <f t="shared" si="11"/>
        <v>21.673747565836898</v>
      </c>
    </row>
    <row r="39" spans="1:23">
      <c r="A39">
        <v>2039</v>
      </c>
      <c r="C39" s="25">
        <v>3.5000000000000003E-2</v>
      </c>
      <c r="D39" s="26">
        <f t="shared" si="12"/>
        <v>0.46915063075606961</v>
      </c>
      <c r="E39" s="27">
        <v>0.89</v>
      </c>
      <c r="F39" s="56">
        <v>38.531690652493957</v>
      </c>
      <c r="G39" s="28">
        <f t="shared" si="0"/>
        <v>523.01473020051355</v>
      </c>
      <c r="H39" s="38">
        <f t="shared" si="8"/>
        <v>8.3333333333333329E-2</v>
      </c>
      <c r="I39" s="51">
        <f t="shared" si="5"/>
        <v>787.88538396227807</v>
      </c>
      <c r="J39" s="47">
        <v>9.6930685407128312</v>
      </c>
      <c r="K39" s="28">
        <f t="shared" si="1"/>
        <v>2898.2083549313033</v>
      </c>
      <c r="L39" s="51">
        <f t="shared" si="6"/>
        <v>1098.302434588285</v>
      </c>
      <c r="M39" s="47">
        <v>8.6027392519383596</v>
      </c>
      <c r="N39" s="28">
        <f t="shared" si="2"/>
        <v>6905.5041015880934</v>
      </c>
      <c r="O39" s="51">
        <f t="shared" si="7"/>
        <v>2322.5400180203956</v>
      </c>
      <c r="Q39" s="47">
        <v>9.6930685407128312</v>
      </c>
      <c r="R39" s="28">
        <f t="shared" si="3"/>
        <v>230.89685582006649</v>
      </c>
      <c r="S39" s="51">
        <f t="shared" si="9"/>
        <v>87.50046505609852</v>
      </c>
      <c r="T39" s="38">
        <f t="shared" si="10"/>
        <v>8.3333333333333329E-2</v>
      </c>
      <c r="U39" s="47">
        <v>8.6027392519383596</v>
      </c>
      <c r="V39" s="28">
        <f t="shared" si="4"/>
        <v>64.138015505574046</v>
      </c>
      <c r="W39" s="51">
        <f t="shared" si="11"/>
        <v>21.571648571441813</v>
      </c>
    </row>
    <row r="40" spans="1:23">
      <c r="A40">
        <v>2040</v>
      </c>
      <c r="C40" s="25">
        <v>3.5000000000000003E-2</v>
      </c>
      <c r="D40" s="26">
        <f t="shared" si="12"/>
        <v>0.45328563358074364</v>
      </c>
      <c r="E40" s="27">
        <v>0.89</v>
      </c>
      <c r="F40" s="56">
        <v>39.3422884616269</v>
      </c>
      <c r="G40" s="28">
        <f t="shared" si="0"/>
        <v>527.66956129929804</v>
      </c>
      <c r="H40" s="38">
        <f t="shared" si="8"/>
        <v>8.3333333333333329E-2</v>
      </c>
      <c r="I40" s="51">
        <f t="shared" si="5"/>
        <v>784.17387513544577</v>
      </c>
      <c r="J40" s="47">
        <v>9.8969832921764755</v>
      </c>
      <c r="K40" s="28">
        <f t="shared" si="1"/>
        <v>2924.0024092901917</v>
      </c>
      <c r="L40" s="51">
        <f t="shared" si="6"/>
        <v>1093.1286374047336</v>
      </c>
      <c r="M40" s="47">
        <v>8.7837165584638885</v>
      </c>
      <c r="N40" s="28">
        <f t="shared" si="2"/>
        <v>6966.9630880922268</v>
      </c>
      <c r="O40" s="51">
        <f t="shared" si="7"/>
        <v>2311.5991782066112</v>
      </c>
      <c r="Q40" s="47">
        <v>9.8969832921764755</v>
      </c>
      <c r="R40" s="28">
        <f t="shared" si="3"/>
        <v>232.95183783686505</v>
      </c>
      <c r="S40" s="51">
        <f t="shared" si="9"/>
        <v>87.088274710880526</v>
      </c>
      <c r="T40" s="38">
        <f t="shared" si="10"/>
        <v>8.3333333333333329E-2</v>
      </c>
      <c r="U40" s="47">
        <v>8.7837165584638885</v>
      </c>
      <c r="V40" s="28">
        <f t="shared" si="4"/>
        <v>64.708843843573646</v>
      </c>
      <c r="W40" s="51">
        <f t="shared" si="11"/>
        <v>21.47003053700184</v>
      </c>
    </row>
    <row r="41" spans="1:23">
      <c r="A41">
        <v>2041</v>
      </c>
      <c r="C41" s="25">
        <v>3.5000000000000003E-2</v>
      </c>
      <c r="D41" s="26">
        <f t="shared" si="12"/>
        <v>0.43795713389443836</v>
      </c>
      <c r="E41" s="27">
        <v>0.89</v>
      </c>
      <c r="F41" s="56">
        <v>40.169938956407542</v>
      </c>
      <c r="G41" s="28">
        <f t="shared" si="0"/>
        <v>532.36582039486177</v>
      </c>
      <c r="H41" s="38">
        <f t="shared" si="8"/>
        <v>8.3333333333333329E-2</v>
      </c>
      <c r="I41" s="51">
        <f t="shared" si="5"/>
        <v>780.47985019402688</v>
      </c>
      <c r="J41" s="47">
        <v>10.105187833368712</v>
      </c>
      <c r="K41" s="28">
        <f t="shared" si="1"/>
        <v>2950.026030732874</v>
      </c>
      <c r="L41" s="51">
        <f t="shared" si="6"/>
        <v>1087.9792125401841</v>
      </c>
      <c r="M41" s="47">
        <v>8.9685011157403753</v>
      </c>
      <c r="N41" s="28">
        <f t="shared" si="2"/>
        <v>7028.9690595762468</v>
      </c>
      <c r="O41" s="51">
        <f t="shared" si="7"/>
        <v>2300.7098776450689</v>
      </c>
      <c r="Q41" s="47">
        <v>10.105187833368712</v>
      </c>
      <c r="R41" s="28">
        <f t="shared" si="3"/>
        <v>235.02510919361313</v>
      </c>
      <c r="S41" s="51">
        <f t="shared" si="9"/>
        <v>86.67802607969324</v>
      </c>
      <c r="T41" s="38">
        <f t="shared" si="10"/>
        <v>8.3333333333333329E-2</v>
      </c>
      <c r="U41" s="47">
        <v>8.9685011157403753</v>
      </c>
      <c r="V41" s="28">
        <f t="shared" si="4"/>
        <v>65.284752553781445</v>
      </c>
      <c r="W41" s="51">
        <f t="shared" si="11"/>
        <v>21.368891196848466</v>
      </c>
    </row>
    <row r="42" spans="1:23">
      <c r="A42">
        <v>2042</v>
      </c>
      <c r="C42" s="25">
        <v>3.5000000000000003E-2</v>
      </c>
      <c r="D42" s="26">
        <f t="shared" si="12"/>
        <v>0.42314698926998878</v>
      </c>
      <c r="E42" s="27">
        <v>0.89</v>
      </c>
      <c r="F42" s="56">
        <v>41.022260631713401</v>
      </c>
      <c r="G42" s="28">
        <f t="shared" si="0"/>
        <v>537.10387619637595</v>
      </c>
      <c r="H42" s="38">
        <f t="shared" si="8"/>
        <v>8.3333333333333329E-2</v>
      </c>
      <c r="I42" s="51">
        <f t="shared" si="5"/>
        <v>776.94072283076116</v>
      </c>
      <c r="J42" s="47">
        <v>10.319598680065885</v>
      </c>
      <c r="K42" s="28">
        <f t="shared" si="1"/>
        <v>2976.2812624063963</v>
      </c>
      <c r="L42" s="51">
        <f t="shared" si="6"/>
        <v>1083.0457129747463</v>
      </c>
      <c r="M42" s="47">
        <v>9.158793859382472</v>
      </c>
      <c r="N42" s="28">
        <f t="shared" si="2"/>
        <v>7091.5268842064743</v>
      </c>
      <c r="O42" s="51">
        <f t="shared" si="7"/>
        <v>2290.2771864219903</v>
      </c>
      <c r="Q42" s="47">
        <v>10.319598680065885</v>
      </c>
      <c r="R42" s="28">
        <f t="shared" si="3"/>
        <v>237.11683266543628</v>
      </c>
      <c r="S42" s="51">
        <f t="shared" si="9"/>
        <v>86.28497996349148</v>
      </c>
      <c r="T42" s="38">
        <f t="shared" si="10"/>
        <v>8.3333333333333329E-2</v>
      </c>
      <c r="U42" s="47">
        <v>9.158793859382472</v>
      </c>
      <c r="V42" s="28">
        <f t="shared" si="4"/>
        <v>65.865786851510094</v>
      </c>
      <c r="W42" s="51">
        <f t="shared" si="11"/>
        <v>21.271992823958239</v>
      </c>
    </row>
    <row r="43" spans="1:23">
      <c r="A43">
        <v>2043</v>
      </c>
      <c r="C43" s="25">
        <v>3.5000000000000003E-2</v>
      </c>
      <c r="D43" s="26">
        <f t="shared" si="12"/>
        <v>0.40883767079225974</v>
      </c>
      <c r="E43" s="27">
        <v>0.89</v>
      </c>
      <c r="F43" s="56">
        <v>41.892666781555924</v>
      </c>
      <c r="G43" s="28">
        <f t="shared" si="0"/>
        <v>541.88410069452368</v>
      </c>
      <c r="H43" s="38">
        <f t="shared" si="8"/>
        <v>8.3333333333333329E-2</v>
      </c>
      <c r="I43" s="51">
        <f t="shared" si="5"/>
        <v>773.41764382862959</v>
      </c>
      <c r="J43" s="47">
        <v>10.538558874280346</v>
      </c>
      <c r="K43" s="28">
        <f t="shared" si="1"/>
        <v>3002.770165641813</v>
      </c>
      <c r="L43" s="51">
        <f t="shared" si="6"/>
        <v>1078.1345846253043</v>
      </c>
      <c r="M43" s="47">
        <v>9.3531242150865541</v>
      </c>
      <c r="N43" s="28">
        <f t="shared" si="2"/>
        <v>7154.641473475911</v>
      </c>
      <c r="O43" s="51">
        <f t="shared" si="7"/>
        <v>2279.8918027917616</v>
      </c>
      <c r="Q43" s="47">
        <v>10.538558874280346</v>
      </c>
      <c r="R43" s="28">
        <f t="shared" si="3"/>
        <v>239.22717247615864</v>
      </c>
      <c r="S43" s="51">
        <f t="shared" si="9"/>
        <v>85.893716135794108</v>
      </c>
      <c r="T43" s="38">
        <f t="shared" si="10"/>
        <v>8.3333333333333329E-2</v>
      </c>
      <c r="U43" s="47">
        <v>9.3531242150865541</v>
      </c>
      <c r="V43" s="28">
        <f t="shared" si="4"/>
        <v>66.451992354488524</v>
      </c>
      <c r="W43" s="51">
        <f t="shared" si="11"/>
        <v>21.175533841890044</v>
      </c>
    </row>
    <row r="44" spans="1:23">
      <c r="A44">
        <v>2044</v>
      </c>
      <c r="C44" s="25">
        <v>3.5000000000000003E-2</v>
      </c>
      <c r="D44" s="26">
        <f t="shared" si="12"/>
        <v>0.39501224231136212</v>
      </c>
      <c r="E44" s="27">
        <v>0.89</v>
      </c>
      <c r="F44" s="56">
        <v>42.781541120474728</v>
      </c>
      <c r="G44" s="28">
        <f t="shared" si="0"/>
        <v>546.70686919070488</v>
      </c>
      <c r="H44" s="38">
        <f t="shared" si="8"/>
        <v>8.3333333333333329E-2</v>
      </c>
      <c r="I44" s="51">
        <f t="shared" si="5"/>
        <v>769.91054041548455</v>
      </c>
      <c r="J44" s="47">
        <v>10.762164943604562</v>
      </c>
      <c r="K44" s="28">
        <f t="shared" si="1"/>
        <v>3029.494820116025</v>
      </c>
      <c r="L44" s="51">
        <f t="shared" si="6"/>
        <v>1073.2457260483895</v>
      </c>
      <c r="M44" s="47">
        <v>9.5515778524943027</v>
      </c>
      <c r="N44" s="28">
        <f t="shared" si="2"/>
        <v>7218.3177825898456</v>
      </c>
      <c r="O44" s="51">
        <f t="shared" si="7"/>
        <v>2269.5535122355868</v>
      </c>
      <c r="Q44" s="47">
        <v>10.762164943604562</v>
      </c>
      <c r="R44" s="28">
        <f t="shared" si="3"/>
        <v>241.35629431119642</v>
      </c>
      <c r="S44" s="51">
        <f t="shared" si="9"/>
        <v>85.504226514719107</v>
      </c>
      <c r="T44" s="38">
        <f t="shared" si="10"/>
        <v>8.3333333333333329E-2</v>
      </c>
      <c r="U44" s="47">
        <v>9.5515778524943027</v>
      </c>
      <c r="V44" s="28">
        <f t="shared" si="4"/>
        <v>67.04341508644346</v>
      </c>
      <c r="W44" s="51">
        <f t="shared" si="11"/>
        <v>21.079512258202826</v>
      </c>
    </row>
    <row r="45" spans="1:23">
      <c r="A45">
        <v>2045</v>
      </c>
      <c r="C45" s="25">
        <v>3.5000000000000003E-2</v>
      </c>
      <c r="D45" s="26">
        <f t="shared" si="12"/>
        <v>0.38165434039745133</v>
      </c>
      <c r="E45" s="27">
        <v>0.89</v>
      </c>
      <c r="F45" s="56">
        <v>43.689275504625542</v>
      </c>
      <c r="G45" s="28">
        <f t="shared" si="0"/>
        <v>551.57256032650207</v>
      </c>
      <c r="H45" s="38">
        <f t="shared" si="8"/>
        <v>8.3333333333333329E-2</v>
      </c>
      <c r="I45" s="51">
        <f t="shared" si="5"/>
        <v>766.41934014916978</v>
      </c>
      <c r="J45" s="47">
        <v>10.990515463743648</v>
      </c>
      <c r="K45" s="28">
        <f t="shared" si="1"/>
        <v>3056.4573240150576</v>
      </c>
      <c r="L45" s="51">
        <f t="shared" si="6"/>
        <v>1068.3790362605348</v>
      </c>
      <c r="M45" s="47">
        <v>9.7542422589771434</v>
      </c>
      <c r="N45" s="28">
        <f t="shared" si="2"/>
        <v>7282.560810854895</v>
      </c>
      <c r="O45" s="51">
        <f t="shared" si="7"/>
        <v>2259.262101207421</v>
      </c>
      <c r="Q45" s="47">
        <v>10.990515463743648</v>
      </c>
      <c r="R45" s="28">
        <f t="shared" si="3"/>
        <v>243.50436533056606</v>
      </c>
      <c r="S45" s="51">
        <f t="shared" si="9"/>
        <v>85.11650305503224</v>
      </c>
      <c r="T45" s="38">
        <f t="shared" si="10"/>
        <v>8.3333333333333329E-2</v>
      </c>
      <c r="U45" s="47">
        <v>9.7542422589771434</v>
      </c>
      <c r="V45" s="28">
        <f t="shared" si="4"/>
        <v>67.640101480712801</v>
      </c>
      <c r="W45" s="51">
        <f t="shared" si="11"/>
        <v>20.983926089490399</v>
      </c>
    </row>
    <row r="46" spans="1:23">
      <c r="A46">
        <v>2046</v>
      </c>
      <c r="C46" s="25">
        <v>3.5000000000000003E-2</v>
      </c>
      <c r="D46" s="26">
        <f t="shared" si="12"/>
        <v>0.36874815497338298</v>
      </c>
      <c r="E46" s="27">
        <v>0.89</v>
      </c>
      <c r="F46" s="56">
        <v>44.616270104528006</v>
      </c>
      <c r="G46" s="28">
        <f t="shared" si="0"/>
        <v>556.48155611340792</v>
      </c>
      <c r="H46" s="38">
        <f t="shared" si="8"/>
        <v>8.3333333333333329E-2</v>
      </c>
      <c r="I46" s="51">
        <f t="shared" si="5"/>
        <v>762.94397091601979</v>
      </c>
      <c r="J46" s="47">
        <v>11.223711101971992</v>
      </c>
      <c r="K46" s="28">
        <f t="shared" si="1"/>
        <v>3083.6597941987911</v>
      </c>
      <c r="L46" s="51">
        <f t="shared" si="6"/>
        <v>1063.5344147361884</v>
      </c>
      <c r="M46" s="47">
        <v>9.9612067782046374</v>
      </c>
      <c r="N46" s="28">
        <f t="shared" si="2"/>
        <v>7347.3756020715027</v>
      </c>
      <c r="O46" s="51">
        <f t="shared" si="7"/>
        <v>2249.0173571295518</v>
      </c>
      <c r="Q46" s="47">
        <v>11.223711101971992</v>
      </c>
      <c r="R46" s="28">
        <f t="shared" si="3"/>
        <v>245.67155418200807</v>
      </c>
      <c r="S46" s="51">
        <f t="shared" si="9"/>
        <v>84.730537747980918</v>
      </c>
      <c r="T46" s="38">
        <f t="shared" si="10"/>
        <v>8.3333333333333329E-2</v>
      </c>
      <c r="U46" s="47">
        <v>9.9612067782046374</v>
      </c>
      <c r="V46" s="28">
        <f t="shared" si="4"/>
        <v>68.242098383891133</v>
      </c>
      <c r="W46" s="51">
        <f t="shared" si="11"/>
        <v>20.888773361340412</v>
      </c>
    </row>
    <row r="47" spans="1:23">
      <c r="A47" s="30">
        <v>2047</v>
      </c>
      <c r="B47" s="30"/>
      <c r="C47" s="25">
        <v>3.5000000000000003E-2</v>
      </c>
      <c r="D47" s="26">
        <f t="shared" si="12"/>
        <v>0.35627841060230242</v>
      </c>
      <c r="E47" s="27">
        <v>0.89</v>
      </c>
      <c r="F47" s="56">
        <v>45.575725523018882</v>
      </c>
      <c r="G47" s="28">
        <f t="shared" si="0"/>
        <v>561.43424196281717</v>
      </c>
      <c r="H47" s="38">
        <f t="shared" si="8"/>
        <v>8.3333333333333329E-2</v>
      </c>
      <c r="I47" s="51">
        <f t="shared" si="5"/>
        <v>759.6975886296475</v>
      </c>
      <c r="J47" s="52">
        <v>11.465072614423258</v>
      </c>
      <c r="K47" s="28">
        <f t="shared" si="1"/>
        <v>3111.1043663671603</v>
      </c>
      <c r="L47" s="51">
        <f t="shared" si="6"/>
        <v>1059.0089981701442</v>
      </c>
      <c r="M47" s="52">
        <v>10.175418629524019</v>
      </c>
      <c r="N47" s="28">
        <f t="shared" si="2"/>
        <v>7412.767244929938</v>
      </c>
      <c r="O47" s="51">
        <f t="shared" si="7"/>
        <v>2239.4476241108046</v>
      </c>
      <c r="Q47" s="52">
        <v>11.465072614423258</v>
      </c>
      <c r="R47" s="28">
        <f t="shared" si="3"/>
        <v>247.85803101422792</v>
      </c>
      <c r="S47" s="51">
        <f t="shared" si="9"/>
        <v>84.370003125065438</v>
      </c>
      <c r="T47" s="38">
        <f t="shared" si="10"/>
        <v>8.3333333333333329E-2</v>
      </c>
      <c r="U47" s="52">
        <v>10.175418629524019</v>
      </c>
      <c r="V47" s="28">
        <f t="shared" si="4"/>
        <v>68.849453059507752</v>
      </c>
      <c r="W47" s="51">
        <f t="shared" si="11"/>
        <v>20.79989010593847</v>
      </c>
    </row>
    <row r="48" spans="1:23">
      <c r="A48">
        <v>2048</v>
      </c>
      <c r="C48" s="25">
        <v>0.03</v>
      </c>
      <c r="D48" s="26">
        <f>D47/1.03</f>
        <v>0.34590136951679845</v>
      </c>
      <c r="E48" s="27">
        <v>0.89</v>
      </c>
      <c r="F48" s="56">
        <v>46.555813654596584</v>
      </c>
      <c r="G48" s="28">
        <f t="shared" si="0"/>
        <v>566.43100671628622</v>
      </c>
      <c r="H48" s="38">
        <f t="shared" si="8"/>
        <v>8.3333333333333329E-2</v>
      </c>
      <c r="I48" s="51">
        <f t="shared" si="5"/>
        <v>760.13718022782473</v>
      </c>
      <c r="J48" s="47">
        <v>11.711624511691413</v>
      </c>
      <c r="K48" s="28">
        <f t="shared" si="1"/>
        <v>3138.7931952278277</v>
      </c>
      <c r="L48" s="51">
        <f t="shared" si="6"/>
        <v>1059.6217833954199</v>
      </c>
      <c r="M48" s="47">
        <v>10.394237022828458</v>
      </c>
      <c r="N48" s="28">
        <f t="shared" si="2"/>
        <v>7478.7408734098135</v>
      </c>
      <c r="O48" s="51">
        <f t="shared" si="7"/>
        <v>2240.7434586308173</v>
      </c>
      <c r="Q48" s="47">
        <v>11.711624511691413</v>
      </c>
      <c r="R48" s="28">
        <f t="shared" si="3"/>
        <v>250.06396749025453</v>
      </c>
      <c r="S48" s="51">
        <f t="shared" si="9"/>
        <v>84.41882300427406</v>
      </c>
      <c r="T48" s="38">
        <f t="shared" si="10"/>
        <v>8.3333333333333329E-2</v>
      </c>
      <c r="U48" s="47">
        <v>10.394237022828458</v>
      </c>
      <c r="V48" s="28">
        <f t="shared" si="4"/>
        <v>69.462213191737362</v>
      </c>
      <c r="W48" s="51">
        <f t="shared" si="11"/>
        <v>20.811925759428</v>
      </c>
    </row>
    <row r="49" spans="1:23">
      <c r="A49">
        <v>2049</v>
      </c>
      <c r="C49" s="25">
        <v>0.03</v>
      </c>
      <c r="D49" s="26">
        <f t="shared" ref="D49:D77" si="13">D48/1.03</f>
        <v>0.33582657234640628</v>
      </c>
      <c r="E49" s="27">
        <v>0.89</v>
      </c>
      <c r="F49" s="56">
        <v>47.556978197677047</v>
      </c>
      <c r="G49" s="28">
        <f t="shared" si="0"/>
        <v>571.47224267606111</v>
      </c>
      <c r="H49" s="38">
        <f t="shared" si="8"/>
        <v>8.3333333333333329E-2</v>
      </c>
      <c r="I49" s="51">
        <f t="shared" si="5"/>
        <v>760.57702619139195</v>
      </c>
      <c r="J49" s="47">
        <v>11.963478410969572</v>
      </c>
      <c r="K49" s="28">
        <f t="shared" si="1"/>
        <v>3166.728454665355</v>
      </c>
      <c r="L49" s="51">
        <f t="shared" si="6"/>
        <v>1060.2349232028882</v>
      </c>
      <c r="M49" s="47">
        <v>10.617761019999598</v>
      </c>
      <c r="N49" s="28">
        <f t="shared" si="2"/>
        <v>7545.3016671831601</v>
      </c>
      <c r="O49" s="51">
        <f t="shared" si="7"/>
        <v>2242.0400429728347</v>
      </c>
      <c r="Q49" s="47">
        <v>11.963478410969572</v>
      </c>
      <c r="R49" s="28">
        <f t="shared" si="3"/>
        <v>252.28953680091777</v>
      </c>
      <c r="S49" s="51">
        <f t="shared" si="9"/>
        <v>84.467671132629519</v>
      </c>
      <c r="T49" s="38">
        <f t="shared" si="10"/>
        <v>8.3333333333333329E-2</v>
      </c>
      <c r="U49" s="47">
        <v>10.617761019999598</v>
      </c>
      <c r="V49" s="28">
        <f t="shared" si="4"/>
        <v>70.080426889143823</v>
      </c>
      <c r="W49" s="51">
        <f t="shared" si="11"/>
        <v>20.823968377231019</v>
      </c>
    </row>
    <row r="50" spans="1:23">
      <c r="A50">
        <v>2050</v>
      </c>
      <c r="C50" s="25">
        <v>0.03</v>
      </c>
      <c r="D50" s="26">
        <f t="shared" si="13"/>
        <v>0.32604521587029733</v>
      </c>
      <c r="E50" s="27">
        <v>0.89</v>
      </c>
      <c r="F50" s="56">
        <v>48.579672392236859</v>
      </c>
      <c r="G50" s="28">
        <f t="shared" si="0"/>
        <v>576.55834563587803</v>
      </c>
      <c r="H50" s="38">
        <f t="shared" si="8"/>
        <v>8.3333333333333329E-2</v>
      </c>
      <c r="I50" s="51">
        <f t="shared" si="5"/>
        <v>761.01712666753474</v>
      </c>
      <c r="J50" s="47">
        <v>12.220748329734885</v>
      </c>
      <c r="K50" s="28">
        <f t="shared" si="1"/>
        <v>3194.9123379118764</v>
      </c>
      <c r="L50" s="51">
        <f t="shared" si="6"/>
        <v>1060.8484177977239</v>
      </c>
      <c r="M50" s="47">
        <v>10.846091813206039</v>
      </c>
      <c r="N50" s="28">
        <f t="shared" si="2"/>
        <v>7612.4548520210892</v>
      </c>
      <c r="O50" s="51">
        <f t="shared" si="7"/>
        <v>2243.337377570731</v>
      </c>
      <c r="Q50" s="47">
        <v>12.220748329734885</v>
      </c>
      <c r="R50" s="28">
        <f t="shared" si="3"/>
        <v>254.53491367844592</v>
      </c>
      <c r="S50" s="51">
        <f t="shared" si="9"/>
        <v>84.516547526477865</v>
      </c>
      <c r="T50" s="38">
        <f t="shared" si="10"/>
        <v>8.3333333333333329E-2</v>
      </c>
      <c r="U50" s="47">
        <v>10.846091813206039</v>
      </c>
      <c r="V50" s="28">
        <f t="shared" si="4"/>
        <v>70.704142688457196</v>
      </c>
      <c r="W50" s="51">
        <f t="shared" si="11"/>
        <v>20.83601796337733</v>
      </c>
    </row>
    <row r="51" spans="1:23">
      <c r="A51">
        <v>2051</v>
      </c>
      <c r="C51" s="25">
        <v>0.03</v>
      </c>
      <c r="D51" s="26">
        <f t="shared" si="13"/>
        <v>0.31654875327213333</v>
      </c>
      <c r="E51" s="27">
        <v>0.89</v>
      </c>
      <c r="F51" s="56">
        <v>49.624359225000887</v>
      </c>
      <c r="G51" s="28">
        <f t="shared" si="0"/>
        <v>581.68971491203729</v>
      </c>
      <c r="H51" s="38">
        <f t="shared" si="8"/>
        <v>8.3333333333333329E-2</v>
      </c>
      <c r="I51" s="51">
        <f t="shared" si="5"/>
        <v>761.45748180352462</v>
      </c>
      <c r="J51" s="47">
        <v>12.48355073736572</v>
      </c>
      <c r="K51" s="28">
        <f t="shared" si="1"/>
        <v>3223.347057719292</v>
      </c>
      <c r="L51" s="51">
        <f t="shared" si="6"/>
        <v>1061.4622673852225</v>
      </c>
      <c r="M51" s="47">
        <v>11.079332770714364</v>
      </c>
      <c r="N51" s="28">
        <f t="shared" si="2"/>
        <v>7680.2057002040765</v>
      </c>
      <c r="O51" s="51">
        <f t="shared" si="7"/>
        <v>2244.6354628586369</v>
      </c>
      <c r="Q51" s="47">
        <v>12.48355073736572</v>
      </c>
      <c r="R51" s="28">
        <f t="shared" si="3"/>
        <v>256.80027441018404</v>
      </c>
      <c r="S51" s="51">
        <f t="shared" si="9"/>
        <v>84.565452202174711</v>
      </c>
      <c r="T51" s="38">
        <f t="shared" si="10"/>
        <v>8.3333333333333329E-2</v>
      </c>
      <c r="U51" s="47">
        <v>11.079332770714364</v>
      </c>
      <c r="V51" s="28">
        <f t="shared" si="4"/>
        <v>71.33340955838446</v>
      </c>
      <c r="W51" s="51">
        <f t="shared" si="11"/>
        <v>20.848074521899125</v>
      </c>
    </row>
    <row r="52" spans="1:23">
      <c r="A52">
        <v>2052</v>
      </c>
      <c r="C52" s="25">
        <v>0.03</v>
      </c>
      <c r="D52" s="26">
        <f t="shared" si="13"/>
        <v>0.30732888667197411</v>
      </c>
      <c r="E52" s="27">
        <v>0.89</v>
      </c>
      <c r="F52" s="56">
        <v>50.709223936427989</v>
      </c>
      <c r="G52" s="28">
        <f t="shared" si="0"/>
        <v>586.86675337475435</v>
      </c>
      <c r="H52" s="38">
        <f t="shared" si="8"/>
        <v>8.3333333333333329E-2</v>
      </c>
      <c r="I52" s="51">
        <f t="shared" si="5"/>
        <v>762.1643092088209</v>
      </c>
      <c r="J52" s="47">
        <v>12.756460330150039</v>
      </c>
      <c r="K52" s="28">
        <f t="shared" si="1"/>
        <v>3252.0348465329935</v>
      </c>
      <c r="L52" s="51">
        <f t="shared" si="6"/>
        <v>1062.4475760048169</v>
      </c>
      <c r="M52" s="47">
        <v>11.321544001989071</v>
      </c>
      <c r="N52" s="28">
        <f t="shared" si="2"/>
        <v>7748.5595309358923</v>
      </c>
      <c r="O52" s="51">
        <f t="shared" si="7"/>
        <v>2246.7190589857519</v>
      </c>
      <c r="Q52" s="47">
        <v>12.756460330150039</v>
      </c>
      <c r="R52" s="28">
        <f t="shared" si="3"/>
        <v>259.08579685243467</v>
      </c>
      <c r="S52" s="51">
        <f t="shared" si="9"/>
        <v>84.643950582696476</v>
      </c>
      <c r="T52" s="38">
        <f t="shared" si="10"/>
        <v>8.3333333333333329E-2</v>
      </c>
      <c r="U52" s="47">
        <v>11.321544001989071</v>
      </c>
      <c r="V52" s="28">
        <f t="shared" si="4"/>
        <v>71.968276903454068</v>
      </c>
      <c r="W52" s="51">
        <f t="shared" si="11"/>
        <v>20.867426870220442</v>
      </c>
    </row>
    <row r="53" spans="1:23">
      <c r="A53">
        <v>2053</v>
      </c>
      <c r="C53" s="25">
        <v>0.03</v>
      </c>
      <c r="D53" s="26">
        <f t="shared" si="13"/>
        <v>0.29837755987570302</v>
      </c>
      <c r="E53" s="27">
        <v>0.89</v>
      </c>
      <c r="F53" s="56">
        <v>51.817805456706225</v>
      </c>
      <c r="G53" s="28">
        <f t="shared" si="0"/>
        <v>592.08986747978963</v>
      </c>
      <c r="H53" s="38">
        <f t="shared" si="8"/>
        <v>8.3333333333333329E-2</v>
      </c>
      <c r="I53" s="51">
        <f t="shared" si="5"/>
        <v>762.8717927308312</v>
      </c>
      <c r="J53" s="47">
        <v>13.035336145798402</v>
      </c>
      <c r="K53" s="28">
        <f t="shared" si="1"/>
        <v>3280.9779566671368</v>
      </c>
      <c r="L53" s="51">
        <f t="shared" si="6"/>
        <v>1063.4337992429578</v>
      </c>
      <c r="M53" s="47">
        <v>11.569050342795165</v>
      </c>
      <c r="N53" s="28">
        <f t="shared" si="2"/>
        <v>7817.5217107612207</v>
      </c>
      <c r="O53" s="51">
        <f t="shared" si="7"/>
        <v>2248.804589223279</v>
      </c>
      <c r="Q53" s="47">
        <v>13.035336145798402</v>
      </c>
      <c r="R53" s="28">
        <f t="shared" si="3"/>
        <v>261.39166044442129</v>
      </c>
      <c r="S53" s="51">
        <f t="shared" si="9"/>
        <v>84.72252182980364</v>
      </c>
      <c r="T53" s="38">
        <f t="shared" si="10"/>
        <v>8.3333333333333329E-2</v>
      </c>
      <c r="U53" s="47">
        <v>11.569050342795165</v>
      </c>
      <c r="V53" s="28">
        <f t="shared" si="4"/>
        <v>72.608794567894805</v>
      </c>
      <c r="W53" s="51">
        <f t="shared" si="11"/>
        <v>20.886797182473401</v>
      </c>
    </row>
    <row r="54" spans="1:23">
      <c r="A54">
        <v>2054</v>
      </c>
      <c r="C54" s="25">
        <v>0.03</v>
      </c>
      <c r="D54" s="26">
        <f t="shared" si="13"/>
        <v>0.28968695133563399</v>
      </c>
      <c r="E54" s="27">
        <v>0.89</v>
      </c>
      <c r="F54" s="56">
        <v>52.950622271704084</v>
      </c>
      <c r="G54" s="28">
        <f t="shared" si="0"/>
        <v>597.35946730035971</v>
      </c>
      <c r="H54" s="38">
        <f t="shared" si="8"/>
        <v>8.3333333333333329E-2</v>
      </c>
      <c r="I54" s="51">
        <f t="shared" si="5"/>
        <v>763.57993297859969</v>
      </c>
      <c r="J54" s="47">
        <v>13.320308615106221</v>
      </c>
      <c r="K54" s="28">
        <f t="shared" si="1"/>
        <v>3310.1786604814743</v>
      </c>
      <c r="L54" s="51">
        <f t="shared" si="6"/>
        <v>1064.4209379486445</v>
      </c>
      <c r="M54" s="47">
        <v>11.821967552359835</v>
      </c>
      <c r="N54" s="28">
        <f t="shared" si="2"/>
        <v>7887.0976539869944</v>
      </c>
      <c r="O54" s="51">
        <f t="shared" si="7"/>
        <v>2250.8920553665675</v>
      </c>
      <c r="Q54" s="47">
        <v>13.320308615106221</v>
      </c>
      <c r="R54" s="28">
        <f t="shared" si="3"/>
        <v>263.71804622237664</v>
      </c>
      <c r="S54" s="51">
        <f t="shared" si="9"/>
        <v>84.801166011135052</v>
      </c>
      <c r="T54" s="38">
        <f t="shared" si="10"/>
        <v>8.3333333333333329E-2</v>
      </c>
      <c r="U54" s="47">
        <v>11.821967552359835</v>
      </c>
      <c r="V54" s="28">
        <f t="shared" si="4"/>
        <v>73.255012839549067</v>
      </c>
      <c r="W54" s="51">
        <f t="shared" si="11"/>
        <v>20.906185475333128</v>
      </c>
    </row>
    <row r="55" spans="1:23">
      <c r="A55">
        <v>2055</v>
      </c>
      <c r="C55" s="25">
        <v>0.03</v>
      </c>
      <c r="D55" s="26">
        <f t="shared" si="13"/>
        <v>0.28124946731614953</v>
      </c>
      <c r="E55" s="27">
        <v>0.89</v>
      </c>
      <c r="F55" s="56">
        <v>54.108204202187473</v>
      </c>
      <c r="G55" s="28">
        <f t="shared" si="0"/>
        <v>602.67596655933289</v>
      </c>
      <c r="H55" s="38">
        <f t="shared" si="8"/>
        <v>8.3333333333333329E-2</v>
      </c>
      <c r="I55" s="51">
        <f t="shared" si="5"/>
        <v>764.28873056173643</v>
      </c>
      <c r="J55" s="47">
        <v>13.611511020286434</v>
      </c>
      <c r="K55" s="28">
        <f t="shared" si="1"/>
        <v>3339.6392505597591</v>
      </c>
      <c r="L55" s="51">
        <f t="shared" si="6"/>
        <v>1065.4089929716661</v>
      </c>
      <c r="M55" s="47">
        <v>12.080413920584778</v>
      </c>
      <c r="N55" s="28">
        <f t="shared" si="2"/>
        <v>7957.2928231074775</v>
      </c>
      <c r="O55" s="51">
        <f t="shared" si="7"/>
        <v>2252.9814592126345</v>
      </c>
      <c r="Q55" s="47">
        <v>13.611511020286434</v>
      </c>
      <c r="R55" s="28">
        <f t="shared" si="3"/>
        <v>266.06513683375579</v>
      </c>
      <c r="S55" s="51">
        <f t="shared" si="9"/>
        <v>84.879883194392335</v>
      </c>
      <c r="T55" s="38">
        <f t="shared" si="10"/>
        <v>8.3333333333333329E-2</v>
      </c>
      <c r="U55" s="47">
        <v>12.080413920584778</v>
      </c>
      <c r="V55" s="28">
        <f t="shared" si="4"/>
        <v>73.906982453821044</v>
      </c>
      <c r="W55" s="51">
        <f t="shared" si="11"/>
        <v>20.925591765490225</v>
      </c>
    </row>
    <row r="56" spans="1:23">
      <c r="A56">
        <v>2056</v>
      </c>
      <c r="C56" s="25">
        <v>0.03</v>
      </c>
      <c r="D56" s="26">
        <f t="shared" si="13"/>
        <v>0.2730577352583976</v>
      </c>
      <c r="E56" s="27">
        <v>0.89</v>
      </c>
      <c r="F56" s="56">
        <v>55.291092651617994</v>
      </c>
      <c r="G56" s="28">
        <f t="shared" si="0"/>
        <v>608.03978266171089</v>
      </c>
      <c r="H56" s="38">
        <f t="shared" si="8"/>
        <v>8.3333333333333329E-2</v>
      </c>
      <c r="I56" s="51">
        <f t="shared" si="5"/>
        <v>764.99818609041608</v>
      </c>
      <c r="J56" s="47">
        <v>13.909079557305857</v>
      </c>
      <c r="K56" s="28">
        <f t="shared" si="1"/>
        <v>3369.3620398897406</v>
      </c>
      <c r="L56" s="51">
        <f t="shared" si="6"/>
        <v>1066.3979651625989</v>
      </c>
      <c r="M56" s="47">
        <v>12.344510323370619</v>
      </c>
      <c r="N56" s="28">
        <f t="shared" si="2"/>
        <v>8028.112729233133</v>
      </c>
      <c r="O56" s="51">
        <f t="shared" si="7"/>
        <v>2255.0728025601629</v>
      </c>
      <c r="Q56" s="47">
        <v>13.909079557305857</v>
      </c>
      <c r="R56" s="28">
        <f t="shared" si="3"/>
        <v>268.43311655157618</v>
      </c>
      <c r="S56" s="51">
        <f t="shared" si="9"/>
        <v>84.958673447339919</v>
      </c>
      <c r="T56" s="38">
        <f t="shared" si="10"/>
        <v>8.3333333333333329E-2</v>
      </c>
      <c r="U56" s="47">
        <v>12.344510323370619</v>
      </c>
      <c r="V56" s="28">
        <f t="shared" si="4"/>
        <v>74.564754597660041</v>
      </c>
      <c r="W56" s="51">
        <f t="shared" si="11"/>
        <v>20.945016069650791</v>
      </c>
    </row>
    <row r="57" spans="1:23">
      <c r="A57">
        <v>2057</v>
      </c>
      <c r="C57" s="25">
        <v>0.03</v>
      </c>
      <c r="D57" s="26">
        <f t="shared" si="13"/>
        <v>0.26510459733825009</v>
      </c>
      <c r="E57" s="27">
        <v>0.89</v>
      </c>
      <c r="F57" s="56">
        <v>56.514292580479768</v>
      </c>
      <c r="G57" s="28">
        <f t="shared" si="0"/>
        <v>613.45133672740008</v>
      </c>
      <c r="H57" s="38">
        <f t="shared" si="8"/>
        <v>8.3333333333333329E-2</v>
      </c>
      <c r="I57" s="51">
        <f t="shared" si="5"/>
        <v>765.90415564397017</v>
      </c>
      <c r="J57" s="47">
        <v>14.216788888214355</v>
      </c>
      <c r="K57" s="28">
        <f t="shared" si="1"/>
        <v>3399.3493620447589</v>
      </c>
      <c r="L57" s="51">
        <f t="shared" si="6"/>
        <v>1067.6608754622252</v>
      </c>
      <c r="M57" s="47">
        <v>12.617606828164298</v>
      </c>
      <c r="N57" s="28">
        <f t="shared" si="2"/>
        <v>8099.5629325233067</v>
      </c>
      <c r="O57" s="51">
        <f t="shared" si="7"/>
        <v>2257.7434328143445</v>
      </c>
      <c r="Q57" s="47">
        <v>14.216788888214355</v>
      </c>
      <c r="R57" s="28">
        <f t="shared" si="3"/>
        <v>270.82217128888516</v>
      </c>
      <c r="S57" s="51">
        <f t="shared" si="9"/>
        <v>85.059288027678974</v>
      </c>
      <c r="T57" s="38">
        <f t="shared" si="10"/>
        <v>8.3333333333333329E-2</v>
      </c>
      <c r="U57" s="47">
        <v>12.617606828164298</v>
      </c>
      <c r="V57" s="28">
        <f t="shared" si="4"/>
        <v>75.228380913579215</v>
      </c>
      <c r="W57" s="51">
        <f t="shared" si="11"/>
        <v>20.96982076488122</v>
      </c>
    </row>
    <row r="58" spans="1:23">
      <c r="A58">
        <v>2058</v>
      </c>
      <c r="C58" s="25">
        <v>0.03</v>
      </c>
      <c r="D58" s="26">
        <f t="shared" si="13"/>
        <v>0.25738310421189331</v>
      </c>
      <c r="E58" s="27">
        <v>0.89</v>
      </c>
      <c r="F58" s="56">
        <v>57.764553252658622</v>
      </c>
      <c r="G58" s="28">
        <f t="shared" si="0"/>
        <v>618.9110536242739</v>
      </c>
      <c r="H58" s="38">
        <f t="shared" si="8"/>
        <v>8.3333333333333329E-2</v>
      </c>
      <c r="I58" s="51">
        <f t="shared" si="5"/>
        <v>766.81119811618839</v>
      </c>
      <c r="J58" s="47">
        <v>14.531305645303576</v>
      </c>
      <c r="K58" s="28">
        <f t="shared" si="1"/>
        <v>3429.6035713669571</v>
      </c>
      <c r="L58" s="51">
        <f t="shared" si="6"/>
        <v>1068.9252813971375</v>
      </c>
      <c r="M58" s="47">
        <v>12.896745022662694</v>
      </c>
      <c r="N58" s="28">
        <f t="shared" si="2"/>
        <v>8171.6490426227638</v>
      </c>
      <c r="O58" s="51">
        <f t="shared" si="7"/>
        <v>2260.4172258338021</v>
      </c>
      <c r="Q58" s="47">
        <v>14.531305645303576</v>
      </c>
      <c r="R58" s="28">
        <f t="shared" si="3"/>
        <v>273.23248861335622</v>
      </c>
      <c r="S58" s="51">
        <f t="shared" si="9"/>
        <v>85.160021763524654</v>
      </c>
      <c r="T58" s="38">
        <f t="shared" si="10"/>
        <v>8.3333333333333329E-2</v>
      </c>
      <c r="U58" s="47">
        <v>12.896745022662694</v>
      </c>
      <c r="V58" s="28">
        <f t="shared" si="4"/>
        <v>75.897913503710058</v>
      </c>
      <c r="W58" s="51">
        <f t="shared" si="11"/>
        <v>20.994654835735105</v>
      </c>
    </row>
    <row r="59" spans="1:23">
      <c r="A59">
        <v>2059</v>
      </c>
      <c r="C59" s="25">
        <v>0.03</v>
      </c>
      <c r="D59" s="26">
        <f t="shared" si="13"/>
        <v>0.24988650894358574</v>
      </c>
      <c r="E59" s="27">
        <v>0.89</v>
      </c>
      <c r="F59" s="56">
        <v>59.04247333057404</v>
      </c>
      <c r="G59" s="28">
        <f t="shared" si="0"/>
        <v>624.41936200152986</v>
      </c>
      <c r="H59" s="38">
        <f t="shared" si="8"/>
        <v>8.3333333333333329E-2</v>
      </c>
      <c r="I59" s="51">
        <f t="shared" si="5"/>
        <v>767.71931477770352</v>
      </c>
      <c r="J59" s="47">
        <v>14.852780428657921</v>
      </c>
      <c r="K59" s="28">
        <f t="shared" si="1"/>
        <v>3460.1270431521225</v>
      </c>
      <c r="L59" s="51">
        <f t="shared" si="6"/>
        <v>1070.1911847385807</v>
      </c>
      <c r="M59" s="47">
        <v>13.182058566630211</v>
      </c>
      <c r="N59" s="28">
        <f t="shared" si="2"/>
        <v>8244.3767191021052</v>
      </c>
      <c r="O59" s="51">
        <f t="shared" si="7"/>
        <v>2263.0941853641252</v>
      </c>
      <c r="Q59" s="47">
        <v>14.852780428657921</v>
      </c>
      <c r="R59" s="28">
        <f t="shared" si="3"/>
        <v>275.6642577620151</v>
      </c>
      <c r="S59" s="51">
        <f t="shared" si="9"/>
        <v>85.260874795990063</v>
      </c>
      <c r="T59" s="38">
        <f t="shared" si="10"/>
        <v>8.3333333333333329E-2</v>
      </c>
      <c r="U59" s="47">
        <v>13.182058566630211</v>
      </c>
      <c r="V59" s="28">
        <f t="shared" si="4"/>
        <v>76.573404933893073</v>
      </c>
      <c r="W59" s="51">
        <f t="shared" si="11"/>
        <v>21.019518317001332</v>
      </c>
    </row>
    <row r="60" spans="1:23">
      <c r="A60">
        <v>2060</v>
      </c>
      <c r="C60" s="25">
        <v>0.03</v>
      </c>
      <c r="D60" s="26">
        <f t="shared" si="13"/>
        <v>0.24260826111027742</v>
      </c>
      <c r="E60" s="27">
        <v>0.89</v>
      </c>
      <c r="F60" s="56">
        <v>60.348664720800933</v>
      </c>
      <c r="G60" s="28">
        <f t="shared" si="0"/>
        <v>629.97669432334339</v>
      </c>
      <c r="H60" s="38">
        <f t="shared" si="8"/>
        <v>8.3333333333333329E-2</v>
      </c>
      <c r="I60" s="51">
        <f t="shared" si="5"/>
        <v>768.62850690065272</v>
      </c>
      <c r="J60" s="47">
        <v>15.181367170074076</v>
      </c>
      <c r="K60" s="28">
        <f t="shared" si="1"/>
        <v>3490.9221738361762</v>
      </c>
      <c r="L60" s="51">
        <f t="shared" si="6"/>
        <v>1071.4585872598993</v>
      </c>
      <c r="M60" s="47">
        <v>13.473684076774326</v>
      </c>
      <c r="N60" s="28">
        <f t="shared" si="2"/>
        <v>8317.7516719021132</v>
      </c>
      <c r="O60" s="51">
        <f t="shared" si="7"/>
        <v>2265.7743151553382</v>
      </c>
      <c r="Q60" s="47">
        <v>15.181367170074076</v>
      </c>
      <c r="R60" s="28">
        <f t="shared" si="3"/>
        <v>278.11766965609701</v>
      </c>
      <c r="S60" s="51">
        <f t="shared" si="9"/>
        <v>85.361847266355397</v>
      </c>
      <c r="T60" s="38">
        <f t="shared" si="10"/>
        <v>8.3333333333333329E-2</v>
      </c>
      <c r="U60" s="47">
        <v>13.473684076774326</v>
      </c>
      <c r="V60" s="28">
        <f t="shared" si="4"/>
        <v>77.254908237804713</v>
      </c>
      <c r="W60" s="51">
        <f t="shared" si="11"/>
        <v>21.044411243509945</v>
      </c>
    </row>
    <row r="61" spans="1:23">
      <c r="A61">
        <v>2061</v>
      </c>
      <c r="C61" s="25">
        <v>0.03</v>
      </c>
      <c r="D61" s="26">
        <f t="shared" si="13"/>
        <v>0.23554200107793924</v>
      </c>
      <c r="E61" s="27">
        <v>0.89</v>
      </c>
      <c r="F61" s="56">
        <v>61.683752867069032</v>
      </c>
      <c r="G61" s="28">
        <f t="shared" si="0"/>
        <v>635.58348690282105</v>
      </c>
      <c r="H61" s="38">
        <f t="shared" si="8"/>
        <v>8.3333333333333329E-2</v>
      </c>
      <c r="I61" s="51">
        <f t="shared" si="5"/>
        <v>769.53877575868023</v>
      </c>
      <c r="J61" s="47">
        <v>15.517223206768179</v>
      </c>
      <c r="K61" s="28">
        <f t="shared" si="1"/>
        <v>3521.991381183318</v>
      </c>
      <c r="L61" s="51">
        <f t="shared" si="6"/>
        <v>1072.7274907365365</v>
      </c>
      <c r="M61" s="47">
        <v>13.771761192161808</v>
      </c>
      <c r="N61" s="28">
        <f t="shared" si="2"/>
        <v>8391.7796617820404</v>
      </c>
      <c r="O61" s="51">
        <f t="shared" si="7"/>
        <v>2268.4576189619074</v>
      </c>
      <c r="Q61" s="47">
        <v>15.517223206768179</v>
      </c>
      <c r="R61" s="28">
        <f t="shared" si="3"/>
        <v>280.59291691603624</v>
      </c>
      <c r="S61" s="51">
        <f t="shared" si="9"/>
        <v>85.462939316068173</v>
      </c>
      <c r="T61" s="38">
        <f t="shared" si="10"/>
        <v>8.3333333333333329E-2</v>
      </c>
      <c r="U61" s="47">
        <v>13.771761192161808</v>
      </c>
      <c r="V61" s="28">
        <f t="shared" si="4"/>
        <v>77.94247692112117</v>
      </c>
      <c r="W61" s="51">
        <f t="shared" si="11"/>
        <v>21.069333650132272</v>
      </c>
    </row>
    <row r="62" spans="1:23">
      <c r="A62">
        <v>2062</v>
      </c>
      <c r="C62" s="25">
        <v>0.03</v>
      </c>
      <c r="D62" s="26">
        <f t="shared" si="13"/>
        <v>0.2286815544446012</v>
      </c>
      <c r="E62" s="27">
        <v>0.89</v>
      </c>
      <c r="F62" s="56">
        <v>63.051977961375279</v>
      </c>
      <c r="G62" s="28">
        <f t="shared" si="0"/>
        <v>641.24017993625614</v>
      </c>
      <c r="H62" s="38">
        <f t="shared" si="8"/>
        <v>8.3333333333333329E-2</v>
      </c>
      <c r="I62" s="51">
        <f t="shared" si="5"/>
        <v>770.49412570739241</v>
      </c>
      <c r="J62" s="47">
        <v>15.861415205449021</v>
      </c>
      <c r="K62" s="28">
        <f t="shared" si="1"/>
        <v>3553.3371044758492</v>
      </c>
      <c r="L62" s="51">
        <f t="shared" si="6"/>
        <v>1074.0592366933881</v>
      </c>
      <c r="M62" s="47">
        <v>14.077236595004367</v>
      </c>
      <c r="N62" s="28">
        <f t="shared" si="2"/>
        <v>8466.4665007718995</v>
      </c>
      <c r="O62" s="51">
        <f t="shared" si="7"/>
        <v>2271.2738134646397</v>
      </c>
      <c r="Q62" s="47">
        <v>15.861415205449021</v>
      </c>
      <c r="R62" s="28">
        <f t="shared" si="3"/>
        <v>283.09019387658896</v>
      </c>
      <c r="S62" s="51">
        <f t="shared" si="9"/>
        <v>85.569037952373918</v>
      </c>
      <c r="T62" s="38">
        <f t="shared" si="10"/>
        <v>8.3333333333333329E-2</v>
      </c>
      <c r="U62" s="47">
        <v>14.077236595004367</v>
      </c>
      <c r="V62" s="28">
        <f t="shared" si="4"/>
        <v>78.636164965719146</v>
      </c>
      <c r="W62" s="51">
        <f t="shared" si="11"/>
        <v>21.095490339640488</v>
      </c>
    </row>
    <row r="63" spans="1:23">
      <c r="A63">
        <v>2063</v>
      </c>
      <c r="C63" s="25">
        <v>0.03</v>
      </c>
      <c r="D63" s="26">
        <f t="shared" si="13"/>
        <v>0.22202092664524387</v>
      </c>
      <c r="E63" s="27">
        <v>0.89</v>
      </c>
      <c r="F63" s="56">
        <v>64.448004530497684</v>
      </c>
      <c r="G63" s="28">
        <f t="shared" si="0"/>
        <v>646.94721753768874</v>
      </c>
      <c r="H63" s="38">
        <f t="shared" si="8"/>
        <v>8.3333333333333329E-2</v>
      </c>
      <c r="I63" s="51">
        <f t="shared" si="5"/>
        <v>771.42016875316085</v>
      </c>
      <c r="J63" s="47">
        <v>16.212600969427012</v>
      </c>
      <c r="K63" s="28">
        <f t="shared" si="1"/>
        <v>3584.9618047056838</v>
      </c>
      <c r="L63" s="51">
        <f t="shared" si="6"/>
        <v>1075.3501291917189</v>
      </c>
      <c r="M63" s="47">
        <v>14.388919066226554</v>
      </c>
      <c r="N63" s="28">
        <f t="shared" si="2"/>
        <v>8541.8180526287688</v>
      </c>
      <c r="O63" s="51">
        <f t="shared" si="7"/>
        <v>2274.0036166517366</v>
      </c>
      <c r="Q63" s="47">
        <v>16.212600969427012</v>
      </c>
      <c r="R63" s="28">
        <f t="shared" si="3"/>
        <v>285.60969660209059</v>
      </c>
      <c r="S63" s="51">
        <f t="shared" si="9"/>
        <v>85.671881841619893</v>
      </c>
      <c r="T63" s="38">
        <f t="shared" si="10"/>
        <v>8.3333333333333329E-2</v>
      </c>
      <c r="U63" s="47">
        <v>14.388919066226554</v>
      </c>
      <c r="V63" s="28">
        <f t="shared" si="4"/>
        <v>79.336026833914033</v>
      </c>
      <c r="W63" s="51">
        <f t="shared" si="11"/>
        <v>21.120844630444676</v>
      </c>
    </row>
    <row r="64" spans="1:23">
      <c r="A64">
        <v>2064</v>
      </c>
      <c r="C64" s="25">
        <v>0.03</v>
      </c>
      <c r="D64" s="26">
        <f t="shared" si="13"/>
        <v>0.215554297713829</v>
      </c>
      <c r="E64" s="27">
        <v>0.89</v>
      </c>
      <c r="F64" s="56">
        <v>65.874940362813859</v>
      </c>
      <c r="G64" s="28">
        <f t="shared" si="0"/>
        <v>652.70504777377414</v>
      </c>
      <c r="H64" s="38">
        <f t="shared" si="8"/>
        <v>8.3333333333333329E-2</v>
      </c>
      <c r="I64" s="51">
        <f t="shared" si="5"/>
        <v>772.34732479342756</v>
      </c>
      <c r="J64" s="47">
        <v>16.571562296885517</v>
      </c>
      <c r="K64" s="28">
        <f t="shared" si="1"/>
        <v>3616.867964767564</v>
      </c>
      <c r="L64" s="51">
        <f t="shared" si="6"/>
        <v>1076.6425731905488</v>
      </c>
      <c r="M64" s="47">
        <v>14.707502463082232</v>
      </c>
      <c r="N64" s="28">
        <f t="shared" si="2"/>
        <v>8617.8402332971636</v>
      </c>
      <c r="O64" s="51">
        <f t="shared" si="7"/>
        <v>2276.7367007402354</v>
      </c>
      <c r="Q64" s="47">
        <v>16.571562296885517</v>
      </c>
      <c r="R64" s="28">
        <f t="shared" si="3"/>
        <v>288.15162290184918</v>
      </c>
      <c r="S64" s="51">
        <f t="shared" si="9"/>
        <v>85.774849337088455</v>
      </c>
      <c r="T64" s="38">
        <f t="shared" si="10"/>
        <v>8.3333333333333329E-2</v>
      </c>
      <c r="U64" s="47">
        <v>14.707502463082232</v>
      </c>
      <c r="V64" s="28">
        <f t="shared" si="4"/>
        <v>80.042117472735868</v>
      </c>
      <c r="W64" s="51">
        <f t="shared" si="11"/>
        <v>21.146229394115426</v>
      </c>
    </row>
    <row r="65" spans="1:24">
      <c r="A65">
        <v>2065</v>
      </c>
      <c r="C65" s="25">
        <v>0.03</v>
      </c>
      <c r="D65" s="26">
        <f t="shared" si="13"/>
        <v>0.20927601719789224</v>
      </c>
      <c r="E65" s="27">
        <v>0.89</v>
      </c>
      <c r="F65" s="56">
        <v>67.333469816753876</v>
      </c>
      <c r="G65" s="28">
        <f t="shared" si="0"/>
        <v>658.5141226989607</v>
      </c>
      <c r="H65" s="38">
        <f t="shared" si="8"/>
        <v>8.3333333333333329E-2</v>
      </c>
      <c r="I65" s="51">
        <f t="shared" si="5"/>
        <v>773.2755951658803</v>
      </c>
      <c r="J65" s="47">
        <v>16.938471345678423</v>
      </c>
      <c r="K65" s="28">
        <f t="shared" si="1"/>
        <v>3649.058089653995</v>
      </c>
      <c r="L65" s="51">
        <f t="shared" si="6"/>
        <v>1077.9365705545993</v>
      </c>
      <c r="M65" s="47">
        <v>15.033139578169623</v>
      </c>
      <c r="N65" s="28">
        <f t="shared" si="2"/>
        <v>8694.5390113735084</v>
      </c>
      <c r="O65" s="51">
        <f t="shared" si="7"/>
        <v>2279.4730696733941</v>
      </c>
      <c r="Q65" s="47">
        <v>16.938471345678423</v>
      </c>
      <c r="R65" s="28">
        <f t="shared" si="3"/>
        <v>290.7161723456756</v>
      </c>
      <c r="S65" s="51">
        <f t="shared" si="9"/>
        <v>85.877940587339779</v>
      </c>
      <c r="T65" s="38">
        <f t="shared" si="10"/>
        <v>8.3333333333333329E-2</v>
      </c>
      <c r="U65" s="47">
        <v>15.033139578169623</v>
      </c>
      <c r="V65" s="28">
        <f t="shared" si="4"/>
        <v>80.754492318243209</v>
      </c>
      <c r="W65" s="51">
        <f t="shared" si="11"/>
        <v>21.17164466727753</v>
      </c>
    </row>
    <row r="66" spans="1:24">
      <c r="A66">
        <v>2066</v>
      </c>
      <c r="C66" s="25">
        <v>0.03</v>
      </c>
      <c r="D66" s="26">
        <f t="shared" si="13"/>
        <v>0.20318059922125459</v>
      </c>
      <c r="E66" s="27">
        <v>0.89</v>
      </c>
      <c r="F66" s="56">
        <v>68.82429240304883</v>
      </c>
      <c r="G66" s="28">
        <f t="shared" si="0"/>
        <v>664.37489839098134</v>
      </c>
      <c r="H66" s="38">
        <f t="shared" si="8"/>
        <v>8.3333333333333329E-2</v>
      </c>
      <c r="I66" s="51">
        <f t="shared" si="5"/>
        <v>774.20498120981483</v>
      </c>
      <c r="J66" s="47">
        <v>17.313504085386782</v>
      </c>
      <c r="K66" s="28">
        <f t="shared" si="1"/>
        <v>3681.5347066519153</v>
      </c>
      <c r="L66" s="51">
        <f t="shared" si="6"/>
        <v>1079.2321231508313</v>
      </c>
      <c r="M66" s="47">
        <v>15.365986587050241</v>
      </c>
      <c r="N66" s="28">
        <f t="shared" si="2"/>
        <v>8771.9204085747315</v>
      </c>
      <c r="O66" s="51">
        <f t="shared" si="7"/>
        <v>2282.2127273992073</v>
      </c>
      <c r="Q66" s="47">
        <v>17.313504085386782</v>
      </c>
      <c r="R66" s="28">
        <f t="shared" si="3"/>
        <v>293.30354627955211</v>
      </c>
      <c r="S66" s="51">
        <f t="shared" si="9"/>
        <v>85.981155741112474</v>
      </c>
      <c r="T66" s="38">
        <f t="shared" si="10"/>
        <v>8.3333333333333329E-2</v>
      </c>
      <c r="U66" s="47">
        <v>15.365986587050241</v>
      </c>
      <c r="V66" s="28">
        <f t="shared" si="4"/>
        <v>81.473207299875568</v>
      </c>
      <c r="W66" s="51">
        <f t="shared" si="11"/>
        <v>21.197090486599794</v>
      </c>
    </row>
    <row r="67" spans="1:24">
      <c r="A67">
        <v>2067</v>
      </c>
      <c r="C67" s="25">
        <v>0.03</v>
      </c>
      <c r="D67" s="26">
        <f t="shared" si="13"/>
        <v>0.19726271769053844</v>
      </c>
      <c r="E67" s="27">
        <v>0.89</v>
      </c>
      <c r="F67" s="56">
        <v>70.335777652341037</v>
      </c>
      <c r="G67" s="28">
        <f t="shared" si="0"/>
        <v>670.28783498666098</v>
      </c>
      <c r="H67" s="38">
        <f t="shared" si="8"/>
        <v>8.3333333333333329E-2</v>
      </c>
      <c r="I67" s="51">
        <f t="shared" si="5"/>
        <v>774.99945490535924</v>
      </c>
      <c r="J67" s="47">
        <v>17.69373474413981</v>
      </c>
      <c r="K67" s="28">
        <f t="shared" si="1"/>
        <v>3714.3003655411171</v>
      </c>
      <c r="L67" s="51">
        <f t="shared" si="6"/>
        <v>1080.3396096098954</v>
      </c>
      <c r="M67" s="47">
        <v>15.703446824652618</v>
      </c>
      <c r="N67" s="28">
        <f t="shared" si="2"/>
        <v>8849.9905002110463</v>
      </c>
      <c r="O67" s="51">
        <f t="shared" si="7"/>
        <v>2284.5546885381323</v>
      </c>
      <c r="Q67" s="47">
        <v>17.69373474413981</v>
      </c>
      <c r="R67" s="28">
        <f t="shared" si="3"/>
        <v>295.91394784144012</v>
      </c>
      <c r="S67" s="51">
        <f t="shared" si="9"/>
        <v>86.069387886612333</v>
      </c>
      <c r="T67" s="38">
        <f t="shared" si="10"/>
        <v>8.3333333333333329E-2</v>
      </c>
      <c r="U67" s="47">
        <v>15.703446824652618</v>
      </c>
      <c r="V67" s="28">
        <f t="shared" si="4"/>
        <v>82.198318844844451</v>
      </c>
      <c r="W67" s="51">
        <f t="shared" si="11"/>
        <v>21.218842517679938</v>
      </c>
    </row>
    <row r="68" spans="1:24">
      <c r="A68">
        <v>2068</v>
      </c>
      <c r="C68" s="25">
        <v>0.03</v>
      </c>
      <c r="D68" s="26">
        <f t="shared" si="13"/>
        <v>0.19151720164129946</v>
      </c>
      <c r="E68" s="27">
        <v>0.89</v>
      </c>
      <c r="F68" s="56">
        <v>71.880457397051359</v>
      </c>
      <c r="G68" s="28">
        <f t="shared" si="0"/>
        <v>676.25339671804215</v>
      </c>
      <c r="H68" s="38">
        <f t="shared" si="8"/>
        <v>8.3333333333333329E-2</v>
      </c>
      <c r="I68" s="51">
        <f t="shared" si="5"/>
        <v>775.7947438739493</v>
      </c>
      <c r="J68" s="47">
        <v>18.082315841552905</v>
      </c>
      <c r="K68" s="28">
        <f t="shared" si="1"/>
        <v>3747.3576387944327</v>
      </c>
      <c r="L68" s="51">
        <f t="shared" si="6"/>
        <v>1081.4482325494544</v>
      </c>
      <c r="M68" s="47">
        <v>16.048318197968118</v>
      </c>
      <c r="N68" s="28">
        <f t="shared" si="2"/>
        <v>8928.755415662923</v>
      </c>
      <c r="O68" s="51">
        <f t="shared" si="7"/>
        <v>2286.8990529508233</v>
      </c>
      <c r="Q68" s="47">
        <v>18.082315841552905</v>
      </c>
      <c r="R68" s="28">
        <f t="shared" si="3"/>
        <v>298.5475819772289</v>
      </c>
      <c r="S68" s="51">
        <f t="shared" si="9"/>
        <v>86.157710574178466</v>
      </c>
      <c r="T68" s="38">
        <f t="shared" si="10"/>
        <v>8.3333333333333329E-2</v>
      </c>
      <c r="U68" s="47">
        <v>16.048318197968118</v>
      </c>
      <c r="V68" s="28">
        <f t="shared" si="4"/>
        <v>82.929883882563558</v>
      </c>
      <c r="W68" s="51">
        <f t="shared" si="11"/>
        <v>21.240616870260126</v>
      </c>
    </row>
    <row r="69" spans="1:24">
      <c r="A69">
        <v>2069</v>
      </c>
      <c r="C69" s="25">
        <v>0.03</v>
      </c>
      <c r="D69" s="26">
        <f t="shared" si="13"/>
        <v>0.18593903071970821</v>
      </c>
      <c r="E69" s="27">
        <v>0.89</v>
      </c>
      <c r="F69" s="56">
        <v>73.459060638356988</v>
      </c>
      <c r="G69" s="28">
        <f t="shared" si="0"/>
        <v>682.27205194883265</v>
      </c>
      <c r="H69" s="38">
        <f t="shared" si="8"/>
        <v>8.3333333333333329E-2</v>
      </c>
      <c r="I69" s="51">
        <f t="shared" si="5"/>
        <v>776.59084895220178</v>
      </c>
      <c r="J69" s="47">
        <v>18.479430765851632</v>
      </c>
      <c r="K69" s="28">
        <f t="shared" si="1"/>
        <v>3780.7091217797029</v>
      </c>
      <c r="L69" s="51">
        <f t="shared" si="6"/>
        <v>1082.5579931357415</v>
      </c>
      <c r="M69" s="47">
        <v>16.400763466713112</v>
      </c>
      <c r="N69" s="28">
        <f t="shared" si="2"/>
        <v>9008.2213388623222</v>
      </c>
      <c r="O69" s="51">
        <f t="shared" si="7"/>
        <v>2289.245823103472</v>
      </c>
      <c r="Q69" s="47">
        <v>18.479430765851632</v>
      </c>
      <c r="R69" s="28">
        <f t="shared" si="3"/>
        <v>301.20465545682623</v>
      </c>
      <c r="S69" s="51">
        <f t="shared" si="9"/>
        <v>86.246123896723333</v>
      </c>
      <c r="T69" s="38">
        <f t="shared" si="10"/>
        <v>8.3333333333333329E-2</v>
      </c>
      <c r="U69" s="47">
        <v>16.400763466713112</v>
      </c>
      <c r="V69" s="28">
        <f t="shared" si="4"/>
        <v>83.667959849118361</v>
      </c>
      <c r="W69" s="51">
        <f t="shared" si="11"/>
        <v>21.262413567246227</v>
      </c>
    </row>
    <row r="70" spans="1:24">
      <c r="A70">
        <v>2070</v>
      </c>
      <c r="C70" s="25">
        <v>0.03</v>
      </c>
      <c r="D70" s="26">
        <f t="shared" si="13"/>
        <v>0.18052333079583321</v>
      </c>
      <c r="E70" s="27">
        <v>0.89</v>
      </c>
      <c r="F70" s="56">
        <v>75.072332387400351</v>
      </c>
      <c r="G70" s="28">
        <f t="shared" si="0"/>
        <v>688.34427321117721</v>
      </c>
      <c r="H70" s="38">
        <f t="shared" si="8"/>
        <v>8.3333333333333329E-2</v>
      </c>
      <c r="I70" s="51">
        <f t="shared" si="5"/>
        <v>777.38777097759214</v>
      </c>
      <c r="J70" s="47">
        <v>18.885266932743537</v>
      </c>
      <c r="K70" s="28">
        <f t="shared" si="1"/>
        <v>3814.3574329635417</v>
      </c>
      <c r="L70" s="51">
        <f t="shared" si="6"/>
        <v>1083.6688925361866</v>
      </c>
      <c r="M70" s="47">
        <v>16.76094896505278</v>
      </c>
      <c r="N70" s="28">
        <f t="shared" si="2"/>
        <v>9088.3945087781958</v>
      </c>
      <c r="O70" s="51">
        <f t="shared" si="7"/>
        <v>2291.5950014648006</v>
      </c>
      <c r="Q70" s="47">
        <v>18.885266932743537</v>
      </c>
      <c r="R70" s="28">
        <f t="shared" si="3"/>
        <v>303.88537689039197</v>
      </c>
      <c r="S70" s="51">
        <f t="shared" si="9"/>
        <v>86.334627947254674</v>
      </c>
      <c r="T70" s="38">
        <f t="shared" si="10"/>
        <v>8.3333333333333329E-2</v>
      </c>
      <c r="U70" s="47">
        <v>16.76094896505278</v>
      </c>
      <c r="V70" s="28">
        <f t="shared" si="4"/>
        <v>84.412604691775513</v>
      </c>
      <c r="W70" s="51">
        <f t="shared" si="11"/>
        <v>21.28423263156763</v>
      </c>
    </row>
    <row r="71" spans="1:24">
      <c r="A71">
        <v>2071</v>
      </c>
      <c r="C71" s="25">
        <v>0.03</v>
      </c>
      <c r="D71" s="26">
        <f t="shared" si="13"/>
        <v>0.17526536970469245</v>
      </c>
      <c r="E71" s="27">
        <v>0.89</v>
      </c>
      <c r="F71" s="56">
        <v>76.72103401689202</v>
      </c>
      <c r="G71" s="28">
        <f t="shared" si="0"/>
        <v>694.47053724275668</v>
      </c>
      <c r="H71" s="38">
        <f t="shared" si="8"/>
        <v>8.3333333333333329E-2</v>
      </c>
      <c r="I71" s="51">
        <f t="shared" si="5"/>
        <v>778.18551078845553</v>
      </c>
      <c r="J71" s="47">
        <v>19.300015873867753</v>
      </c>
      <c r="K71" s="28">
        <f t="shared" si="1"/>
        <v>3848.3052141169169</v>
      </c>
      <c r="L71" s="51">
        <f t="shared" si="6"/>
        <v>1084.7809319194191</v>
      </c>
      <c r="M71" s="47">
        <v>17.129044680101419</v>
      </c>
      <c r="N71" s="28">
        <f t="shared" si="2"/>
        <v>9169.281219906321</v>
      </c>
      <c r="O71" s="51">
        <f t="shared" si="7"/>
        <v>2293.9465905060647</v>
      </c>
      <c r="Q71" s="47">
        <v>19.300015873867753</v>
      </c>
      <c r="R71" s="28">
        <f t="shared" si="3"/>
        <v>306.5899567447164</v>
      </c>
      <c r="S71" s="51">
        <f t="shared" si="9"/>
        <v>86.4232228188758</v>
      </c>
      <c r="T71" s="38">
        <f t="shared" si="10"/>
        <v>8.3333333333333329E-2</v>
      </c>
      <c r="U71" s="47">
        <v>17.129044680101419</v>
      </c>
      <c r="V71" s="28">
        <f t="shared" si="4"/>
        <v>85.163876873532303</v>
      </c>
      <c r="W71" s="51">
        <f t="shared" si="11"/>
        <v>21.306074086177244</v>
      </c>
    </row>
    <row r="72" spans="1:24">
      <c r="A72">
        <v>2072</v>
      </c>
      <c r="C72" s="25">
        <v>0.03</v>
      </c>
      <c r="D72" s="26">
        <f t="shared" si="13"/>
        <v>0.17016055311135189</v>
      </c>
      <c r="E72" s="27">
        <v>0.89</v>
      </c>
      <c r="F72" s="47">
        <v>78.389427466094318</v>
      </c>
      <c r="G72" s="28">
        <f t="shared" si="0"/>
        <v>700.65132502421716</v>
      </c>
      <c r="H72" s="38">
        <f t="shared" si="8"/>
        <v>8.3333333333333329E-2</v>
      </c>
      <c r="I72" s="51">
        <f t="shared" si="5"/>
        <v>778.81997680289601</v>
      </c>
      <c r="J72" s="47">
        <v>19.719718507781312</v>
      </c>
      <c r="K72" s="28">
        <f t="shared" si="1"/>
        <v>3882.5551305225572</v>
      </c>
      <c r="L72" s="51">
        <f t="shared" si="6"/>
        <v>1085.6653696593589</v>
      </c>
      <c r="M72" s="47">
        <v>17.501536869519548</v>
      </c>
      <c r="N72" s="28">
        <f t="shared" si="2"/>
        <v>9250.8878227634868</v>
      </c>
      <c r="O72" s="51">
        <f t="shared" si="7"/>
        <v>2295.816878670571</v>
      </c>
      <c r="Q72" s="47">
        <v>19.719718507781312</v>
      </c>
      <c r="R72" s="28">
        <f t="shared" si="3"/>
        <v>309.31860735974436</v>
      </c>
      <c r="S72" s="51">
        <f t="shared" si="9"/>
        <v>86.493684934883873</v>
      </c>
      <c r="T72" s="38">
        <f t="shared" si="10"/>
        <v>8.3333333333333329E-2</v>
      </c>
      <c r="U72" s="47">
        <v>17.501536869519548</v>
      </c>
      <c r="V72" s="28">
        <f t="shared" si="4"/>
        <v>85.921835377706728</v>
      </c>
      <c r="W72" s="51">
        <f t="shared" si="11"/>
        <v>21.323445239612283</v>
      </c>
    </row>
    <row r="73" spans="1:24">
      <c r="A73">
        <v>2073</v>
      </c>
      <c r="C73" s="25">
        <v>0.03</v>
      </c>
      <c r="D73" s="26">
        <f t="shared" si="13"/>
        <v>0.16520442049645814</v>
      </c>
      <c r="E73" s="27">
        <v>0.89</v>
      </c>
      <c r="F73" s="47">
        <v>80.094102187271247</v>
      </c>
      <c r="G73" s="28">
        <f t="shared" si="0"/>
        <v>706.88712181693268</v>
      </c>
      <c r="H73" s="38">
        <f t="shared" si="8"/>
        <v>8.3333333333333329E-2</v>
      </c>
      <c r="I73" s="51">
        <f t="shared" si="5"/>
        <v>779.45496010674606</v>
      </c>
      <c r="J73" s="47">
        <v>20.148548092784715</v>
      </c>
      <c r="K73" s="28">
        <f t="shared" si="1"/>
        <v>3917.1098711842078</v>
      </c>
      <c r="L73" s="51">
        <f t="shared" si="6"/>
        <v>1086.5505284943083</v>
      </c>
      <c r="M73" s="47">
        <v>17.882129360721503</v>
      </c>
      <c r="N73" s="28">
        <f t="shared" si="2"/>
        <v>9333.2207243860812</v>
      </c>
      <c r="O73" s="51">
        <f t="shared" si="7"/>
        <v>2297.6886917083375</v>
      </c>
      <c r="Q73" s="47">
        <v>20.148548092784715</v>
      </c>
      <c r="R73" s="28">
        <f t="shared" si="3"/>
        <v>312.07154296524607</v>
      </c>
      <c r="S73" s="51">
        <f t="shared" si="9"/>
        <v>86.564204499684436</v>
      </c>
      <c r="T73" s="38">
        <f t="shared" si="10"/>
        <v>8.3333333333333329E-2</v>
      </c>
      <c r="U73" s="47">
        <v>17.882129360721503</v>
      </c>
      <c r="V73" s="28">
        <f t="shared" si="4"/>
        <v>86.686539712568305</v>
      </c>
      <c r="W73" s="51">
        <f t="shared" si="11"/>
        <v>21.340830556002462</v>
      </c>
    </row>
    <row r="74" spans="1:24">
      <c r="A74">
        <v>2074</v>
      </c>
      <c r="C74" s="25">
        <v>0.03</v>
      </c>
      <c r="D74" s="26">
        <f t="shared" si="13"/>
        <v>0.16039264125869723</v>
      </c>
      <c r="E74" s="27">
        <v>0.89</v>
      </c>
      <c r="F74" s="47">
        <v>81.835847161401318</v>
      </c>
      <c r="G74" s="28">
        <f t="shared" si="0"/>
        <v>713.17841720110334</v>
      </c>
      <c r="H74" s="38">
        <f t="shared" si="8"/>
        <v>8.3333333333333329E-2</v>
      </c>
      <c r="I74" s="51">
        <f t="shared" si="5"/>
        <v>780.09046112175952</v>
      </c>
      <c r="J74" s="47">
        <v>20.586703105679071</v>
      </c>
      <c r="K74" s="28">
        <f t="shared" si="1"/>
        <v>3951.9721490377469</v>
      </c>
      <c r="L74" s="51">
        <f t="shared" si="6"/>
        <v>1087.4364090121855</v>
      </c>
      <c r="M74" s="47">
        <v>18.270998304753814</v>
      </c>
      <c r="N74" s="28">
        <f t="shared" si="2"/>
        <v>9416.2863888331158</v>
      </c>
      <c r="O74" s="51">
        <f t="shared" si="7"/>
        <v>2299.5620308626167</v>
      </c>
      <c r="Q74" s="47">
        <v>20.586703105679071</v>
      </c>
      <c r="R74" s="28">
        <f t="shared" si="3"/>
        <v>314.84897969763671</v>
      </c>
      <c r="S74" s="51">
        <f t="shared" si="9"/>
        <v>86.634781560116295</v>
      </c>
      <c r="T74" s="38">
        <f t="shared" si="10"/>
        <v>8.3333333333333329E-2</v>
      </c>
      <c r="U74" s="47">
        <v>18.270998304753814</v>
      </c>
      <c r="V74" s="28">
        <f t="shared" si="4"/>
        <v>87.458049916010154</v>
      </c>
      <c r="W74" s="51">
        <f t="shared" si="11"/>
        <v>21.358230046895059</v>
      </c>
    </row>
    <row r="75" spans="1:24">
      <c r="A75">
        <v>2075</v>
      </c>
      <c r="C75" s="25">
        <v>0.03</v>
      </c>
      <c r="D75" s="26">
        <f t="shared" si="13"/>
        <v>0.15572101093077401</v>
      </c>
      <c r="E75" s="27">
        <v>0.89</v>
      </c>
      <c r="F75" s="47">
        <v>83.615468526826874</v>
      </c>
      <c r="G75" s="28">
        <f t="shared" si="0"/>
        <v>719.5257051141931</v>
      </c>
      <c r="H75" s="38">
        <f t="shared" si="8"/>
        <v>8.3333333333333329E-2</v>
      </c>
      <c r="I75" s="51">
        <f t="shared" si="5"/>
        <v>780.72648027003345</v>
      </c>
      <c r="J75" s="47">
        <v>21.034386339388167</v>
      </c>
      <c r="K75" s="28">
        <f t="shared" si="1"/>
        <v>3987.1447011641826</v>
      </c>
      <c r="L75" s="51">
        <f t="shared" si="6"/>
        <v>1088.3230118013898</v>
      </c>
      <c r="M75" s="47">
        <v>18.66832368328464</v>
      </c>
      <c r="N75" s="28">
        <f t="shared" si="2"/>
        <v>9500.0913376937297</v>
      </c>
      <c r="O75" s="51">
        <f t="shared" si="7"/>
        <v>2301.4368973776745</v>
      </c>
      <c r="Q75" s="47">
        <v>21.034386339388167</v>
      </c>
      <c r="R75" s="28">
        <f t="shared" si="3"/>
        <v>317.65113561694562</v>
      </c>
      <c r="S75" s="51">
        <f t="shared" si="9"/>
        <v>86.705416163056512</v>
      </c>
      <c r="T75" s="38">
        <f t="shared" si="10"/>
        <v>8.3333333333333329E-2</v>
      </c>
      <c r="U75" s="47">
        <v>18.66832368328464</v>
      </c>
      <c r="V75" s="28">
        <f t="shared" si="4"/>
        <v>88.236426560262643</v>
      </c>
      <c r="W75" s="51">
        <f t="shared" si="11"/>
        <v>21.375643723846753</v>
      </c>
    </row>
    <row r="76" spans="1:24">
      <c r="A76">
        <v>2076</v>
      </c>
      <c r="C76" s="25">
        <v>0.03</v>
      </c>
      <c r="D76" s="26">
        <f t="shared" si="13"/>
        <v>0.15118544750560584</v>
      </c>
      <c r="E76" s="27">
        <v>0.89</v>
      </c>
      <c r="F76" s="47">
        <v>85.433789952362218</v>
      </c>
      <c r="G76" s="28">
        <f t="shared" si="0"/>
        <v>725.92948388970933</v>
      </c>
      <c r="H76" s="38">
        <f t="shared" si="8"/>
        <v>8.3333333333333329E-2</v>
      </c>
      <c r="I76" s="51">
        <f t="shared" si="5"/>
        <v>781.36301797401006</v>
      </c>
      <c r="J76" s="47">
        <v>21.491804996817876</v>
      </c>
      <c r="K76" s="28">
        <f t="shared" si="1"/>
        <v>4022.6302890045436</v>
      </c>
      <c r="L76" s="51">
        <f t="shared" si="6"/>
        <v>1089.2103374507994</v>
      </c>
      <c r="M76" s="47">
        <v>19.074289391905339</v>
      </c>
      <c r="N76" s="28">
        <f t="shared" si="2"/>
        <v>9584.6421505992021</v>
      </c>
      <c r="O76" s="51">
        <f t="shared" si="7"/>
        <v>2303.3132924987885</v>
      </c>
      <c r="Q76" s="47">
        <v>21.491804996817876</v>
      </c>
      <c r="R76" s="28">
        <f t="shared" si="3"/>
        <v>320.47823072393641</v>
      </c>
      <c r="S76" s="51">
        <f t="shared" si="9"/>
        <v>86.776108355420291</v>
      </c>
      <c r="T76" s="38">
        <f t="shared" si="10"/>
        <v>8.3333333333333329E-2</v>
      </c>
      <c r="U76" s="47">
        <v>19.074289391905339</v>
      </c>
      <c r="V76" s="28">
        <f t="shared" si="4"/>
        <v>89.021730756648978</v>
      </c>
      <c r="W76" s="51">
        <f t="shared" si="11"/>
        <v>21.393071598423635</v>
      </c>
    </row>
    <row r="77" spans="1:24" ht="15.75" thickBot="1">
      <c r="A77">
        <v>2077</v>
      </c>
      <c r="C77" s="25">
        <v>0.03</v>
      </c>
      <c r="D77" s="26">
        <f t="shared" si="13"/>
        <v>0.14678198786952024</v>
      </c>
      <c r="E77" s="59">
        <v>0.89</v>
      </c>
      <c r="F77" s="53">
        <v>87.284546932482257</v>
      </c>
      <c r="G77" s="28">
        <f t="shared" si="0"/>
        <v>732.39025629632772</v>
      </c>
      <c r="H77" s="38">
        <f t="shared" si="8"/>
        <v>8.3333333333333329E-2</v>
      </c>
      <c r="I77" s="54">
        <f t="shared" si="5"/>
        <v>781.93641496375426</v>
      </c>
      <c r="J77" s="53">
        <v>21.957383173033858</v>
      </c>
      <c r="K77" s="28">
        <f t="shared" si="1"/>
        <v>4058.4316985766836</v>
      </c>
      <c r="L77" s="54">
        <f t="shared" si="6"/>
        <v>1090.0096457291875</v>
      </c>
      <c r="M77" s="53">
        <v>19.487496792075497</v>
      </c>
      <c r="N77" s="28">
        <f t="shared" si="2"/>
        <v>9669.9454657395345</v>
      </c>
      <c r="O77" s="54">
        <f t="shared" si="7"/>
        <v>2305.003560502234</v>
      </c>
      <c r="Q77" s="53">
        <v>21.957383173033858</v>
      </c>
      <c r="R77" s="28">
        <f t="shared" si="3"/>
        <v>323.33048697737939</v>
      </c>
      <c r="S77" s="51">
        <f t="shared" si="9"/>
        <v>86.8397883072073</v>
      </c>
      <c r="T77" s="38">
        <f t="shared" si="10"/>
        <v>8.3333333333333329E-2</v>
      </c>
      <c r="U77" s="53">
        <v>19.487496792075497</v>
      </c>
      <c r="V77" s="28">
        <f t="shared" si="4"/>
        <v>89.814024160383141</v>
      </c>
      <c r="W77" s="51">
        <f t="shared" si="11"/>
        <v>21.408770732595261</v>
      </c>
    </row>
    <row r="78" spans="1:24" ht="15.75">
      <c r="H78" s="17" t="s">
        <v>75</v>
      </c>
      <c r="I78" s="33">
        <f>SUM(I17:I77)</f>
        <v>48529.948781003295</v>
      </c>
      <c r="L78" s="33">
        <f>SUM(L17:L77)</f>
        <v>67650.145543469785</v>
      </c>
      <c r="O78" s="33">
        <f>SUM(O17:O77)</f>
        <v>143057.2903250565</v>
      </c>
      <c r="S78" s="33">
        <f>SUM(S17:S77)</f>
        <v>5389.6076433494763</v>
      </c>
      <c r="W78" s="33">
        <f>SUM(W17:W77)</f>
        <v>1328.709761093874</v>
      </c>
      <c r="X78" s="65">
        <f>SUM(I78:W78)</f>
        <v>265955.70205397299</v>
      </c>
    </row>
  </sheetData>
  <mergeCells count="5">
    <mergeCell ref="F6:I6"/>
    <mergeCell ref="J6:O6"/>
    <mergeCell ref="Q6:S6"/>
    <mergeCell ref="U6:W6"/>
    <mergeCell ref="C8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VOCs</vt:lpstr>
      <vt:lpstr>Sheet3</vt:lpstr>
      <vt:lpstr>VOT A417 Maisemore</vt:lpstr>
      <vt:lpstr>VOT B4215 Newent Rd</vt:lpstr>
      <vt:lpstr>VOT A40</vt:lpstr>
    </vt:vector>
  </TitlesOfParts>
  <Company>Gloucestershire County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rwaters</dc:creator>
  <cp:lastModifiedBy>rwaters</cp:lastModifiedBy>
  <cp:lastPrinted>2015-02-02T17:28:25Z</cp:lastPrinted>
  <dcterms:created xsi:type="dcterms:W3CDTF">2015-01-26T14:59:53Z</dcterms:created>
  <dcterms:modified xsi:type="dcterms:W3CDTF">2015-02-03T15:57:12Z</dcterms:modified>
</cp:coreProperties>
</file>