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13_ncr:1_{328FF0A0-1B63-440E-9D1F-F012B4C0EE5B}" xr6:coauthVersionLast="47" xr6:coauthVersionMax="47" xr10:uidLastSave="{00000000-0000-0000-0000-000000000000}"/>
  <workbookProtection workbookAlgorithmName="SHA-512" workbookHashValue="6LaMUVggWikJvtE1ZZhX6wfYtdI5AFnK2bp4zGCK7/8c2ew2eW4k7nOR8YleU1NoH0NmfV5yIfaM/la8wDEahA==" workbookSaltValue="P+Eo/E0DYS38wxieyYBe8g==" workbookSpinCount="100000" lockStructure="1"/>
  <bookViews>
    <workbookView xWindow="-24615" yWindow="165" windowWidth="21600" windowHeight="14700" xr2:uid="{41E5376E-7084-4CEF-B427-7F5A6B1A6AEF}"/>
  </bookViews>
  <sheets>
    <sheet name="CFR Actuals Template" sheetId="1" r:id="rId1"/>
    <sheet name="2526 GBP Data input" sheetId="25" state="hidden" r:id="rId2"/>
    <sheet name="24 25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'24 25 Actuals'!$A$1:$CN$201</definedName>
    <definedName name="_xlnm._FilterDatabase" localSheetId="1" hidden="1">'2526 GBP Data input'!$A$2:$DU$194</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Downloads'!$P$4:$T$464</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input'!$A$4:$DT$228</definedName>
    <definedName name="Z_0E499059_D484_49C5_8D86_3C9508497705_.wvu.PrintArea" localSheetId="1" hidden="1">'2526 GBP Data input'!$A$4:$I$227</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input'!$A$2:$DT$228</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input'!$DR$4:$DT$228</definedName>
    <definedName name="Z_2C86A39E_A14E_41FE_808A_B5C06B12E2E0_.wvu.FilterData" localSheetId="1" hidden="1">'2526 GBP Data input'!$DR$4:$DT$228</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input'!$A$4:$O$228</definedName>
    <definedName name="Z_3557AFDB_0047_4EA6_9073_9CD197A4CBF3_.wvu.FilterData" localSheetId="1" hidden="1">'2526 GBP Data input'!$DR$4:$DT$228</definedName>
    <definedName name="Z_3D443139_D58F_4F05_A287_033F2646D93A_.wvu.FilterData" localSheetId="1" hidden="1">'2526 GBP Data input'!$DR$4:$DT$228</definedName>
    <definedName name="Z_3EA1E9A4_0098_4263_9148_B095AAE52084_.wvu.FilterData" localSheetId="1" hidden="1">'2526 GBP Data input'!$A$4:$DT$228</definedName>
    <definedName name="Z_4CCFBD66_AF9A_4627_B1C2_9B103DC0103D_.wvu.FilterData" localSheetId="1" hidden="1">'2526 GBP Data input'!$A$4:$DT$228</definedName>
    <definedName name="Z_4F0B4EF5_03AD_49E3_8346_AA6A7862C4EB_.wvu.FilterData" localSheetId="1" hidden="1">'2526 GBP Data input'!$DR$4:$DT$228</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input'!$A$4:$DT$228</definedName>
    <definedName name="Z_6523BD00_A0FB_4891_9DF1_5EC6C507C8E6_.wvu.FilterData" localSheetId="1" hidden="1">'2526 GBP Data input'!$DR$4:$DT$228</definedName>
    <definedName name="Z_6DB08DE9_72B1_4A16_B141_D050C32D211C_.wvu.FilterData" localSheetId="1" hidden="1">'2526 GBP Data input'!$DR$4:$DT$228</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input'!$A$4:$DT$228</definedName>
    <definedName name="Z_7539970E_6B24_4CE2_B9AC_C2604DBC0AAA_.wvu.PrintArea" localSheetId="1" hidden="1">'2526 GBP Data input'!$A$4:$I$227</definedName>
    <definedName name="Z_8317BAF6_F52A_4613_B6F7_2518FE7AB523_.wvu.FilterData" localSheetId="1" hidden="1">'2526 GBP Data input'!$A$4:$O$228</definedName>
    <definedName name="Z_8CE0FBFE_32ED_4827_AF96_3C9CD9A8D728_.wvu.FilterData" localSheetId="1" hidden="1">'2526 GBP Data input'!$A$4:$DT$228</definedName>
    <definedName name="Z_9583542C_A370_4A2A_B4ED_D2635F42438D_.wvu.FilterData" localSheetId="1" hidden="1">'2526 GBP Data input'!$DR$4:$DT$228</definedName>
    <definedName name="Z_9E32FD89_9EAB_4CBE_8A98_AA5A0C41550D_.wvu.FilterData" localSheetId="1" hidden="1">'2526 GBP Data input'!$DR$4:$DT$228</definedName>
    <definedName name="Z_A2CE371D_F5D8_4C15_BFC1_5202BEB668EA_.wvu.FilterData" localSheetId="1" hidden="1">'2526 GBP Data input'!$DR$4:$DT$228</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input'!$A$4:$O$228</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input'!$A$4:$O$228</definedName>
    <definedName name="Z_ABA1BD2D_FD22_4AE1_ADF5_FB208AD30E0A_.wvu.FilterData" localSheetId="1" hidden="1">'2526 GBP Data input'!$DR$4:$DT$228</definedName>
    <definedName name="Z_BB6D608E_EF1B_46BD_B4B9_C5975D63527B_.wvu.FilterData" localSheetId="1" hidden="1">'2526 GBP Data input'!$DR$4:$DT$228</definedName>
    <definedName name="Z_C769818F_7054_4F75_B31C_E9C407BAECBF_.wvu.FilterData" localSheetId="1" hidden="1">'2526 GBP Data input'!$DR$4:$DT$228</definedName>
    <definedName name="Z_CC1B2FD3_434C_46B0_8C8E_DE26B1A4AD34_.wvu.FilterData" localSheetId="1" hidden="1">'2526 GBP Data input'!$A$4:$O$228</definedName>
    <definedName name="Z_D3C13678_9C1E_4871_9EB0_5A72989A63B2_.wvu.FilterData" localSheetId="1" hidden="1">'2526 GBP Data input'!$DR$4:$DT$228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4" l="1"/>
  <c r="HO1" i="8" l="1"/>
  <c r="HP1" i="8"/>
  <c r="GG1" i="5"/>
  <c r="GH1" i="5"/>
  <c r="GI1" i="5"/>
  <c r="GJ1" i="5"/>
  <c r="GK1" i="5"/>
  <c r="HI1" i="8"/>
  <c r="HJ1" i="8"/>
  <c r="HK1" i="8"/>
  <c r="HL1" i="8"/>
  <c r="HM1" i="8"/>
  <c r="HN1" i="8"/>
  <c r="HF1" i="8"/>
  <c r="HG1" i="8"/>
  <c r="HH1" i="8"/>
  <c r="HE1" i="8"/>
  <c r="G15" i="27"/>
  <c r="D95" i="1"/>
  <c r="E95" i="1"/>
  <c r="E92" i="1" l="1"/>
  <c r="CM42" i="24"/>
  <c r="CM144" i="24"/>
  <c r="CM145" i="24"/>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I155" i="25"/>
  <c r="CK156" i="24"/>
  <c r="CS144" i="24"/>
  <c r="CR144" i="24"/>
  <c r="CQ144" i="24"/>
  <c r="CP144" i="24"/>
  <c r="CO144" i="24"/>
  <c r="CN144" i="24"/>
  <c r="CM60" i="24" l="1"/>
  <c r="CM61" i="24"/>
  <c r="CM62" i="24"/>
  <c r="CM63" i="24"/>
  <c r="CM64" i="24"/>
  <c r="CM65" i="24"/>
  <c r="CM66" i="24"/>
  <c r="CM67" i="24"/>
  <c r="CM68" i="24"/>
  <c r="CM69" i="24"/>
  <c r="CM70" i="24"/>
  <c r="CM71" i="24"/>
  <c r="CM72" i="24"/>
  <c r="CM73" i="24"/>
  <c r="CM74" i="24"/>
  <c r="CM75" i="24"/>
  <c r="CM76" i="24"/>
  <c r="CM77" i="24"/>
  <c r="CM78" i="24"/>
  <c r="CM79" i="24"/>
  <c r="CM80" i="24"/>
  <c r="CM81" i="24"/>
  <c r="CM82" i="24"/>
  <c r="CM83" i="24"/>
  <c r="CM84" i="24"/>
  <c r="CM85" i="24"/>
  <c r="CM86" i="24"/>
  <c r="CM87" i="24"/>
  <c r="CM88" i="24"/>
  <c r="CM89" i="24"/>
  <c r="CM90" i="24"/>
  <c r="CM91" i="24"/>
  <c r="CM92" i="24"/>
  <c r="CM93" i="24"/>
  <c r="CM94" i="24"/>
  <c r="CM95" i="24"/>
  <c r="CM96" i="24"/>
  <c r="CM97" i="24"/>
  <c r="CM98" i="24"/>
  <c r="CM99" i="24"/>
  <c r="CM100" i="24"/>
  <c r="CM101" i="24"/>
  <c r="CM102" i="24"/>
  <c r="CM103" i="24"/>
  <c r="CM104" i="24"/>
  <c r="CM105" i="24"/>
  <c r="CM106" i="24"/>
  <c r="CM107" i="24"/>
  <c r="CM108" i="24"/>
  <c r="CM109" i="24"/>
  <c r="CM110" i="24"/>
  <c r="CM111" i="24"/>
  <c r="CM112" i="24"/>
  <c r="CM113" i="24"/>
  <c r="CM114" i="24"/>
  <c r="CM115" i="24"/>
  <c r="CM116" i="24"/>
  <c r="CM117" i="24"/>
  <c r="CM118" i="24"/>
  <c r="CM119" i="24"/>
  <c r="CM120" i="24"/>
  <c r="CM121" i="24"/>
  <c r="CM122" i="24"/>
  <c r="CM123" i="24"/>
  <c r="CM124" i="24"/>
  <c r="CM125" i="24"/>
  <c r="CM126" i="24"/>
  <c r="CM127" i="24"/>
  <c r="CM128" i="24"/>
  <c r="CM129" i="24"/>
  <c r="CM130" i="24"/>
  <c r="CM131" i="24"/>
  <c r="CM132" i="24"/>
  <c r="CM133" i="24"/>
  <c r="CM134" i="24"/>
  <c r="CM135" i="24"/>
  <c r="CM136" i="24"/>
  <c r="CM137" i="24"/>
  <c r="CM138" i="24"/>
  <c r="CM139" i="24"/>
  <c r="CM140" i="24"/>
  <c r="CM141" i="24"/>
  <c r="CM142" i="24"/>
  <c r="CM143" i="24"/>
  <c r="CM146" i="24"/>
  <c r="CM147" i="24"/>
  <c r="CM148" i="24"/>
  <c r="CM149" i="24"/>
  <c r="CM150" i="24"/>
  <c r="CM151" i="24"/>
  <c r="CM152" i="24"/>
  <c r="CM153" i="24"/>
  <c r="CM154" i="24"/>
  <c r="CM155" i="24"/>
  <c r="CM156" i="24"/>
  <c r="CM157" i="24"/>
  <c r="CM158" i="24"/>
  <c r="CM159" i="24"/>
  <c r="CM160" i="24"/>
  <c r="CM161" i="24"/>
  <c r="CM162" i="24"/>
  <c r="CM163" i="24"/>
  <c r="CM164" i="24"/>
  <c r="CM165" i="24"/>
  <c r="CM166" i="24"/>
  <c r="CM167" i="24"/>
  <c r="CM168" i="24"/>
  <c r="CM169" i="24"/>
  <c r="CM170" i="24"/>
  <c r="CM171" i="24"/>
  <c r="CM172" i="24"/>
  <c r="CM173" i="24"/>
  <c r="CM174" i="24"/>
  <c r="CM175" i="24"/>
  <c r="CM176" i="24"/>
  <c r="CM177" i="24"/>
  <c r="CM178" i="24"/>
  <c r="CM179" i="24"/>
  <c r="CM180"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3" i="24"/>
  <c r="CM44" i="24"/>
  <c r="CM45" i="24"/>
  <c r="CM46" i="24"/>
  <c r="CM47" i="24"/>
  <c r="CM49" i="24"/>
  <c r="CM50" i="24"/>
  <c r="CM51" i="24"/>
  <c r="CM52" i="24"/>
  <c r="CM53" i="24"/>
  <c r="CM54" i="24"/>
  <c r="CM55" i="24"/>
  <c r="CM56" i="24"/>
  <c r="CM57" i="24"/>
  <c r="CM58" i="24"/>
  <c r="CM59" i="24"/>
  <c r="CM5" i="24"/>
  <c r="CM6" i="24"/>
  <c r="CM7" i="24"/>
  <c r="CM8" i="24"/>
  <c r="CM9" i="24"/>
  <c r="CM10" i="24"/>
  <c r="CM11" i="24"/>
  <c r="CM12" i="24"/>
  <c r="CM13" i="24"/>
  <c r="CM14" i="24"/>
  <c r="CM15" i="24"/>
  <c r="CM16" i="24"/>
  <c r="CM17" i="24"/>
  <c r="CM18" i="24"/>
  <c r="CM4" i="24"/>
  <c r="CP18" i="10"/>
  <c r="E97" i="1" l="1"/>
  <c r="E94" i="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CN1" i="24"/>
  <c r="CO1" i="24" s="1"/>
  <c r="CP1" i="24" s="1"/>
  <c r="CQ1" i="24" s="1"/>
  <c r="CR1" i="24" s="1"/>
  <c r="CS1" i="24" s="1"/>
  <c r="CT1" i="24" s="1"/>
  <c r="CN49" i="24"/>
  <c r="CO49" i="24"/>
  <c r="CP49" i="24"/>
  <c r="CQ49" i="24"/>
  <c r="CR49" i="24"/>
  <c r="CS49" i="24"/>
  <c r="CN50" i="24"/>
  <c r="CO50" i="24"/>
  <c r="CP50" i="24"/>
  <c r="CQ50" i="24"/>
  <c r="CR50" i="24"/>
  <c r="CS50" i="24"/>
  <c r="CN51" i="24"/>
  <c r="CO51" i="24"/>
  <c r="CP51" i="24"/>
  <c r="CQ51" i="24"/>
  <c r="CR51" i="24"/>
  <c r="CS51" i="24"/>
  <c r="CN52" i="24"/>
  <c r="CO52" i="24"/>
  <c r="CP52" i="24"/>
  <c r="CQ52" i="24"/>
  <c r="CR52" i="24"/>
  <c r="CS52" i="24"/>
  <c r="CN53" i="24"/>
  <c r="CO53" i="24"/>
  <c r="CP53" i="24"/>
  <c r="CQ53" i="24"/>
  <c r="CR53" i="24"/>
  <c r="CS53" i="24"/>
  <c r="CN54" i="24"/>
  <c r="CO54" i="24"/>
  <c r="CP54" i="24"/>
  <c r="CQ54" i="24"/>
  <c r="CR54" i="24"/>
  <c r="CS54" i="24"/>
  <c r="CN55" i="24"/>
  <c r="CO55" i="24"/>
  <c r="CP55" i="24"/>
  <c r="CQ55" i="24"/>
  <c r="CR55" i="24"/>
  <c r="CS55" i="24"/>
  <c r="CN56" i="24"/>
  <c r="CO56" i="24"/>
  <c r="CP56" i="24"/>
  <c r="CQ56" i="24"/>
  <c r="CR56" i="24"/>
  <c r="CS56" i="24"/>
  <c r="CN57" i="24"/>
  <c r="CO57" i="24"/>
  <c r="CP57" i="24"/>
  <c r="CQ57" i="24"/>
  <c r="CR57" i="24"/>
  <c r="CS57" i="24"/>
  <c r="CN58" i="24"/>
  <c r="CO58" i="24"/>
  <c r="CP58" i="24"/>
  <c r="CQ58" i="24"/>
  <c r="CR58" i="24"/>
  <c r="CS58" i="24"/>
  <c r="CN59" i="24"/>
  <c r="CO59" i="24"/>
  <c r="CP59" i="24"/>
  <c r="CQ59" i="24"/>
  <c r="CR59" i="24"/>
  <c r="CS59" i="24"/>
  <c r="CN60" i="24"/>
  <c r="CO60" i="24"/>
  <c r="CP60" i="24"/>
  <c r="CQ60" i="24"/>
  <c r="CR60" i="24"/>
  <c r="CS60" i="24"/>
  <c r="CN61" i="24"/>
  <c r="CO61" i="24"/>
  <c r="CP61" i="24"/>
  <c r="CQ61" i="24"/>
  <c r="CR61" i="24"/>
  <c r="CS61" i="24"/>
  <c r="CN62" i="24"/>
  <c r="CO62" i="24"/>
  <c r="CP62" i="24"/>
  <c r="CQ62" i="24"/>
  <c r="CR62" i="24"/>
  <c r="CS62" i="24"/>
  <c r="CN63" i="24"/>
  <c r="CO63" i="24"/>
  <c r="CP63" i="24"/>
  <c r="CQ63" i="24"/>
  <c r="CR63" i="24"/>
  <c r="CS63" i="24"/>
  <c r="CN64" i="24"/>
  <c r="CT64" i="24" s="1"/>
  <c r="CV64" i="24" s="1"/>
  <c r="CO64" i="24"/>
  <c r="CP64" i="24"/>
  <c r="CQ64" i="24"/>
  <c r="CR64" i="24"/>
  <c r="CS64" i="24"/>
  <c r="CN65" i="24"/>
  <c r="CO65" i="24"/>
  <c r="CP65" i="24"/>
  <c r="CQ65" i="24"/>
  <c r="CR65" i="24"/>
  <c r="CS65" i="24"/>
  <c r="CN66" i="24"/>
  <c r="CO66" i="24"/>
  <c r="CP66" i="24"/>
  <c r="CQ66" i="24"/>
  <c r="CR66" i="24"/>
  <c r="CS66" i="24"/>
  <c r="CN67" i="24"/>
  <c r="CO67" i="24"/>
  <c r="CP67" i="24"/>
  <c r="CQ67" i="24"/>
  <c r="CR67" i="24"/>
  <c r="CS67" i="24"/>
  <c r="CN68" i="24"/>
  <c r="CO68" i="24"/>
  <c r="CP68" i="24"/>
  <c r="CQ68" i="24"/>
  <c r="CR68" i="24"/>
  <c r="CS68" i="24"/>
  <c r="CN69" i="24"/>
  <c r="CO69" i="24"/>
  <c r="CP69" i="24"/>
  <c r="CQ69" i="24"/>
  <c r="CR69" i="24"/>
  <c r="CS69" i="24"/>
  <c r="CN70" i="24"/>
  <c r="CO70" i="24"/>
  <c r="CP70" i="24"/>
  <c r="CQ70" i="24"/>
  <c r="CR70" i="24"/>
  <c r="CS70" i="24"/>
  <c r="CN71" i="24"/>
  <c r="CO71" i="24"/>
  <c r="CP71" i="24"/>
  <c r="CQ71" i="24"/>
  <c r="CR71" i="24"/>
  <c r="CS71" i="24"/>
  <c r="CN72" i="24"/>
  <c r="CO72" i="24"/>
  <c r="CP72" i="24"/>
  <c r="CQ72" i="24"/>
  <c r="CR72" i="24"/>
  <c r="CS72" i="24"/>
  <c r="CN73" i="24"/>
  <c r="CO73" i="24"/>
  <c r="CP73" i="24"/>
  <c r="CQ73" i="24"/>
  <c r="CR73" i="24"/>
  <c r="CS73" i="24"/>
  <c r="CN74" i="24"/>
  <c r="CO74" i="24"/>
  <c r="CP74" i="24"/>
  <c r="CQ74" i="24"/>
  <c r="CR74" i="24"/>
  <c r="CS74" i="24"/>
  <c r="CN75" i="24"/>
  <c r="CO75" i="24"/>
  <c r="CP75" i="24"/>
  <c r="CQ75" i="24"/>
  <c r="CR75" i="24"/>
  <c r="CS75" i="24"/>
  <c r="CN76" i="24"/>
  <c r="CO76" i="24"/>
  <c r="CP76" i="24"/>
  <c r="CQ76" i="24"/>
  <c r="CR76" i="24"/>
  <c r="CS76" i="24"/>
  <c r="CN77" i="24"/>
  <c r="CO77" i="24"/>
  <c r="CP77" i="24"/>
  <c r="CQ77" i="24"/>
  <c r="CR77" i="24"/>
  <c r="CS77" i="24"/>
  <c r="CN78" i="24"/>
  <c r="CO78" i="24"/>
  <c r="CP78" i="24"/>
  <c r="CQ78" i="24"/>
  <c r="CR78" i="24"/>
  <c r="CS78" i="24"/>
  <c r="CN79" i="24"/>
  <c r="CO79" i="24"/>
  <c r="CP79" i="24"/>
  <c r="CQ79" i="24"/>
  <c r="CR79" i="24"/>
  <c r="CS79" i="24"/>
  <c r="CN80" i="24"/>
  <c r="CO80" i="24"/>
  <c r="CP80" i="24"/>
  <c r="CQ80" i="24"/>
  <c r="CR80" i="24"/>
  <c r="CS80" i="24"/>
  <c r="CN81" i="24"/>
  <c r="CO81" i="24"/>
  <c r="CP81" i="24"/>
  <c r="CQ81" i="24"/>
  <c r="CR81" i="24"/>
  <c r="CS81" i="24"/>
  <c r="CN82" i="24"/>
  <c r="CO82" i="24"/>
  <c r="CP82" i="24"/>
  <c r="CQ82" i="24"/>
  <c r="CR82" i="24"/>
  <c r="CS82" i="24"/>
  <c r="CN83" i="24"/>
  <c r="CO83" i="24"/>
  <c r="CP83" i="24"/>
  <c r="CQ83" i="24"/>
  <c r="CR83" i="24"/>
  <c r="CS83" i="24"/>
  <c r="CN84" i="24"/>
  <c r="CO84" i="24"/>
  <c r="CP84" i="24"/>
  <c r="CQ84" i="24"/>
  <c r="CR84" i="24"/>
  <c r="CS84" i="24"/>
  <c r="CN85" i="24"/>
  <c r="CO85" i="24"/>
  <c r="CP85" i="24"/>
  <c r="CQ85" i="24"/>
  <c r="CR85" i="24"/>
  <c r="CS85" i="24"/>
  <c r="CN86" i="24"/>
  <c r="CO86" i="24"/>
  <c r="CP86" i="24"/>
  <c r="CQ86" i="24"/>
  <c r="CR86" i="24"/>
  <c r="CS86" i="24"/>
  <c r="CN87" i="24"/>
  <c r="CO87" i="24"/>
  <c r="CP87" i="24"/>
  <c r="CQ87" i="24"/>
  <c r="CR87" i="24"/>
  <c r="CS87" i="24"/>
  <c r="CN88" i="24"/>
  <c r="CO88" i="24"/>
  <c r="CP88" i="24"/>
  <c r="CQ88" i="24"/>
  <c r="CR88" i="24"/>
  <c r="CS88" i="24"/>
  <c r="CN89" i="24"/>
  <c r="CO89" i="24"/>
  <c r="CT89" i="24" s="1"/>
  <c r="CV89" i="24" s="1"/>
  <c r="CP89" i="24"/>
  <c r="CQ89" i="24"/>
  <c r="CR89" i="24"/>
  <c r="CS89" i="24"/>
  <c r="CN90" i="24"/>
  <c r="CO90" i="24"/>
  <c r="CP90" i="24"/>
  <c r="CQ90" i="24"/>
  <c r="CR90" i="24"/>
  <c r="CS90" i="24"/>
  <c r="CN91" i="24"/>
  <c r="CO91" i="24"/>
  <c r="CP91" i="24"/>
  <c r="CQ91" i="24"/>
  <c r="CR91" i="24"/>
  <c r="CS91" i="24"/>
  <c r="CN92" i="24"/>
  <c r="CO92" i="24"/>
  <c r="CP92" i="24"/>
  <c r="CQ92" i="24"/>
  <c r="CR92" i="24"/>
  <c r="CS92" i="24"/>
  <c r="CN93" i="24"/>
  <c r="CO93" i="24"/>
  <c r="CP93" i="24"/>
  <c r="CQ93" i="24"/>
  <c r="CR93" i="24"/>
  <c r="CS93" i="24"/>
  <c r="CN94" i="24"/>
  <c r="CO94" i="24"/>
  <c r="CP94" i="24"/>
  <c r="CQ94" i="24"/>
  <c r="CR94" i="24"/>
  <c r="CS94" i="24"/>
  <c r="CN95" i="24"/>
  <c r="CO95" i="24"/>
  <c r="CP95" i="24"/>
  <c r="CQ95" i="24"/>
  <c r="CR95" i="24"/>
  <c r="CS95" i="24"/>
  <c r="CN96" i="24"/>
  <c r="CT96" i="24" s="1"/>
  <c r="CV96" i="24" s="1"/>
  <c r="CO96" i="24"/>
  <c r="CP96" i="24"/>
  <c r="CQ96" i="24"/>
  <c r="CR96" i="24"/>
  <c r="CS96" i="24"/>
  <c r="CN97" i="24"/>
  <c r="CO97" i="24"/>
  <c r="CP97" i="24"/>
  <c r="CQ97" i="24"/>
  <c r="CR97" i="24"/>
  <c r="CS97" i="24"/>
  <c r="CN98" i="24"/>
  <c r="CO98" i="24"/>
  <c r="CP98" i="24"/>
  <c r="CQ98" i="24"/>
  <c r="CR98" i="24"/>
  <c r="CS98" i="24"/>
  <c r="CN99" i="24"/>
  <c r="CO99" i="24"/>
  <c r="CP99" i="24"/>
  <c r="CQ99" i="24"/>
  <c r="CR99" i="24"/>
  <c r="CS99" i="24"/>
  <c r="CN100" i="24"/>
  <c r="CO100" i="24"/>
  <c r="CP100" i="24"/>
  <c r="CQ100" i="24"/>
  <c r="CR100" i="24"/>
  <c r="CS100" i="24"/>
  <c r="CN101" i="24"/>
  <c r="CO101" i="24"/>
  <c r="CP101" i="24"/>
  <c r="CQ101" i="24"/>
  <c r="CR101" i="24"/>
  <c r="CS101" i="24"/>
  <c r="CN102" i="24"/>
  <c r="CO102" i="24"/>
  <c r="CP102" i="24"/>
  <c r="CQ102" i="24"/>
  <c r="CR102" i="24"/>
  <c r="CS102" i="24"/>
  <c r="CN103" i="24"/>
  <c r="CO103" i="24"/>
  <c r="CP103" i="24"/>
  <c r="CQ103" i="24"/>
  <c r="CR103" i="24"/>
  <c r="CS103" i="24"/>
  <c r="CN104" i="24"/>
  <c r="CO104" i="24"/>
  <c r="CP104" i="24"/>
  <c r="CQ104" i="24"/>
  <c r="CR104" i="24"/>
  <c r="CS104" i="24"/>
  <c r="CN105" i="24"/>
  <c r="CO105" i="24"/>
  <c r="CP105" i="24"/>
  <c r="CQ105" i="24"/>
  <c r="CR105" i="24"/>
  <c r="CS105" i="24"/>
  <c r="CN106" i="24"/>
  <c r="CO106" i="24"/>
  <c r="CP106" i="24"/>
  <c r="CQ106" i="24"/>
  <c r="CR106" i="24"/>
  <c r="CS106" i="24"/>
  <c r="CN107" i="24"/>
  <c r="CO107" i="24"/>
  <c r="CP107" i="24"/>
  <c r="CQ107" i="24"/>
  <c r="CR107" i="24"/>
  <c r="CS107" i="24"/>
  <c r="CN108" i="24"/>
  <c r="CO108" i="24"/>
  <c r="CP108" i="24"/>
  <c r="CQ108" i="24"/>
  <c r="CR108" i="24"/>
  <c r="CS108" i="24"/>
  <c r="CN109" i="24"/>
  <c r="CO109" i="24"/>
  <c r="CP109" i="24"/>
  <c r="CQ109" i="24"/>
  <c r="CR109" i="24"/>
  <c r="CS109" i="24"/>
  <c r="CN110" i="24"/>
  <c r="CO110" i="24"/>
  <c r="CP110" i="24"/>
  <c r="CQ110" i="24"/>
  <c r="CR110" i="24"/>
  <c r="CS110" i="24"/>
  <c r="CN111" i="24"/>
  <c r="CO111" i="24"/>
  <c r="CP111" i="24"/>
  <c r="CQ111" i="24"/>
  <c r="CR111" i="24"/>
  <c r="CS111" i="24"/>
  <c r="CN112" i="24"/>
  <c r="CO112" i="24"/>
  <c r="CP112" i="24"/>
  <c r="CQ112" i="24"/>
  <c r="CR112" i="24"/>
  <c r="CS112" i="24"/>
  <c r="CN113" i="24"/>
  <c r="CO113" i="24"/>
  <c r="CP113" i="24"/>
  <c r="CQ113" i="24"/>
  <c r="CR113" i="24"/>
  <c r="CS113" i="24"/>
  <c r="CN114" i="24"/>
  <c r="CO114" i="24"/>
  <c r="CP114" i="24"/>
  <c r="CQ114" i="24"/>
  <c r="CR114" i="24"/>
  <c r="CS114" i="24"/>
  <c r="CN115" i="24"/>
  <c r="CO115" i="24"/>
  <c r="CP115" i="24"/>
  <c r="CQ115" i="24"/>
  <c r="CR115" i="24"/>
  <c r="CS115" i="24"/>
  <c r="CN116" i="24"/>
  <c r="CO116" i="24"/>
  <c r="CP116" i="24"/>
  <c r="CQ116" i="24"/>
  <c r="CR116" i="24"/>
  <c r="CS116" i="24"/>
  <c r="CN117" i="24"/>
  <c r="CO117" i="24"/>
  <c r="CP117" i="24"/>
  <c r="CQ117" i="24"/>
  <c r="CR117" i="24"/>
  <c r="CS117" i="24"/>
  <c r="CN118" i="24"/>
  <c r="CO118" i="24"/>
  <c r="CP118" i="24"/>
  <c r="CQ118" i="24"/>
  <c r="CR118" i="24"/>
  <c r="CS118" i="24"/>
  <c r="CN119" i="24"/>
  <c r="CO119" i="24"/>
  <c r="CP119" i="24"/>
  <c r="CQ119" i="24"/>
  <c r="CR119" i="24"/>
  <c r="CS119" i="24"/>
  <c r="CN120" i="24"/>
  <c r="CO120" i="24"/>
  <c r="CP120" i="24"/>
  <c r="CQ120" i="24"/>
  <c r="CR120" i="24"/>
  <c r="CS120" i="24"/>
  <c r="CN121" i="24"/>
  <c r="CO121" i="24"/>
  <c r="CP121" i="24"/>
  <c r="CQ121" i="24"/>
  <c r="CR121" i="24"/>
  <c r="CS121" i="24"/>
  <c r="CN122" i="24"/>
  <c r="CO122" i="24"/>
  <c r="CP122" i="24"/>
  <c r="CQ122" i="24"/>
  <c r="CR122" i="24"/>
  <c r="CS122" i="24"/>
  <c r="CN123" i="24"/>
  <c r="CO123" i="24"/>
  <c r="CP123" i="24"/>
  <c r="CQ123" i="24"/>
  <c r="CR123" i="24"/>
  <c r="CS123" i="24"/>
  <c r="CN124" i="24"/>
  <c r="CO124" i="24"/>
  <c r="CP124" i="24"/>
  <c r="CQ124" i="24"/>
  <c r="CR124" i="24"/>
  <c r="CS124" i="24"/>
  <c r="CN125" i="24"/>
  <c r="CO125" i="24"/>
  <c r="CP125" i="24"/>
  <c r="CQ125" i="24"/>
  <c r="CR125" i="24"/>
  <c r="CS125" i="24"/>
  <c r="CN126" i="24"/>
  <c r="CO126" i="24"/>
  <c r="CP126" i="24"/>
  <c r="CQ126" i="24"/>
  <c r="CR126" i="24"/>
  <c r="CS126" i="24"/>
  <c r="CN127" i="24"/>
  <c r="CO127" i="24"/>
  <c r="CP127" i="24"/>
  <c r="CQ127" i="24"/>
  <c r="CR127" i="24"/>
  <c r="CS127" i="24"/>
  <c r="CN128" i="24"/>
  <c r="CT128" i="24" s="1"/>
  <c r="CV128" i="24" s="1"/>
  <c r="CO128" i="24"/>
  <c r="CP128" i="24"/>
  <c r="CQ128" i="24"/>
  <c r="CR128" i="24"/>
  <c r="CS128" i="24"/>
  <c r="CN129" i="24"/>
  <c r="CO129" i="24"/>
  <c r="CP129" i="24"/>
  <c r="CQ129" i="24"/>
  <c r="CR129" i="24"/>
  <c r="CS129" i="24"/>
  <c r="CN130" i="24"/>
  <c r="CO130" i="24"/>
  <c r="CP130" i="24"/>
  <c r="CQ130" i="24"/>
  <c r="CR130" i="24"/>
  <c r="CS130" i="24"/>
  <c r="CN131" i="24"/>
  <c r="CO131" i="24"/>
  <c r="CP131" i="24"/>
  <c r="CQ131" i="24"/>
  <c r="CR131" i="24"/>
  <c r="CS131" i="24"/>
  <c r="CN132" i="24"/>
  <c r="CO132" i="24"/>
  <c r="CP132" i="24"/>
  <c r="CQ132" i="24"/>
  <c r="CR132" i="24"/>
  <c r="CS132" i="24"/>
  <c r="CN133" i="24"/>
  <c r="CO133" i="24"/>
  <c r="CP133" i="24"/>
  <c r="CQ133" i="24"/>
  <c r="CR133" i="24"/>
  <c r="CS133" i="24"/>
  <c r="CN134" i="24"/>
  <c r="CO134" i="24"/>
  <c r="CP134" i="24"/>
  <c r="CQ134" i="24"/>
  <c r="CR134" i="24"/>
  <c r="CS134" i="24"/>
  <c r="CN135" i="24"/>
  <c r="CO135" i="24"/>
  <c r="CP135" i="24"/>
  <c r="CQ135" i="24"/>
  <c r="CR135" i="24"/>
  <c r="CS135" i="24"/>
  <c r="CN136" i="24"/>
  <c r="CO136" i="24"/>
  <c r="CP136" i="24"/>
  <c r="CQ136" i="24"/>
  <c r="CR136" i="24"/>
  <c r="CS136" i="24"/>
  <c r="CN137" i="24"/>
  <c r="CO137" i="24"/>
  <c r="CP137" i="24"/>
  <c r="CQ137" i="24"/>
  <c r="CR137" i="24"/>
  <c r="CS137" i="24"/>
  <c r="CN138" i="24"/>
  <c r="CO138" i="24"/>
  <c r="CP138" i="24"/>
  <c r="CQ138" i="24"/>
  <c r="CR138" i="24"/>
  <c r="CS138" i="24"/>
  <c r="CN139" i="24"/>
  <c r="CO139" i="24"/>
  <c r="CP139" i="24"/>
  <c r="CQ139" i="24"/>
  <c r="CR139" i="24"/>
  <c r="CS139" i="24"/>
  <c r="CN140" i="24"/>
  <c r="CO140" i="24"/>
  <c r="CP140" i="24"/>
  <c r="CQ140" i="24"/>
  <c r="CR140" i="24"/>
  <c r="CS140" i="24"/>
  <c r="CN141" i="24"/>
  <c r="CO141" i="24"/>
  <c r="CP141" i="24"/>
  <c r="CQ141" i="24"/>
  <c r="CR141" i="24"/>
  <c r="CS141" i="24"/>
  <c r="CN142" i="24"/>
  <c r="CO142" i="24"/>
  <c r="CP142" i="24"/>
  <c r="CQ142" i="24"/>
  <c r="CR142" i="24"/>
  <c r="CS142" i="24"/>
  <c r="CN143" i="24"/>
  <c r="CO143" i="24"/>
  <c r="CP143" i="24"/>
  <c r="CQ143" i="24"/>
  <c r="CR143" i="24"/>
  <c r="CS143" i="24"/>
  <c r="CN145" i="24"/>
  <c r="CO145" i="24"/>
  <c r="CP145" i="24"/>
  <c r="CQ145" i="24"/>
  <c r="CR145" i="24"/>
  <c r="CS145" i="24"/>
  <c r="CN146" i="24"/>
  <c r="CO146" i="24"/>
  <c r="CP146" i="24"/>
  <c r="CQ146" i="24"/>
  <c r="CR146" i="24"/>
  <c r="CS146" i="24"/>
  <c r="CN147" i="24"/>
  <c r="CO147" i="24"/>
  <c r="CP147" i="24"/>
  <c r="CQ147" i="24"/>
  <c r="CR147" i="24"/>
  <c r="CS147" i="24"/>
  <c r="CN148" i="24"/>
  <c r="CO148" i="24"/>
  <c r="CP148" i="24"/>
  <c r="CQ148" i="24"/>
  <c r="CR148" i="24"/>
  <c r="CS148" i="24"/>
  <c r="CN149" i="24"/>
  <c r="CO149" i="24"/>
  <c r="CP149" i="24"/>
  <c r="CQ149" i="24"/>
  <c r="CR149" i="24"/>
  <c r="CS149" i="24"/>
  <c r="CN150" i="24"/>
  <c r="CO150" i="24"/>
  <c r="CP150" i="24"/>
  <c r="CQ150" i="24"/>
  <c r="CR150" i="24"/>
  <c r="CS150" i="24"/>
  <c r="CN151" i="24"/>
  <c r="CO151" i="24"/>
  <c r="CP151" i="24"/>
  <c r="CQ151" i="24"/>
  <c r="CR151" i="24"/>
  <c r="CS151" i="24"/>
  <c r="CN152" i="24"/>
  <c r="CO152" i="24"/>
  <c r="CP152" i="24"/>
  <c r="CQ152" i="24"/>
  <c r="CR152" i="24"/>
  <c r="CS152" i="24"/>
  <c r="CN153" i="24"/>
  <c r="CT153" i="24" s="1"/>
  <c r="CV153" i="24" s="1"/>
  <c r="CO153" i="24"/>
  <c r="CP153" i="24"/>
  <c r="CQ153" i="24"/>
  <c r="CR153" i="24"/>
  <c r="CS153" i="24"/>
  <c r="CN154" i="24"/>
  <c r="CO154" i="24"/>
  <c r="CP154" i="24"/>
  <c r="CQ154" i="24"/>
  <c r="CR154" i="24"/>
  <c r="CS154" i="24"/>
  <c r="CN155" i="24"/>
  <c r="CO155" i="24"/>
  <c r="CP155" i="24"/>
  <c r="CQ155" i="24"/>
  <c r="CR155" i="24"/>
  <c r="CS155" i="24"/>
  <c r="CN156" i="24"/>
  <c r="CO156" i="24"/>
  <c r="CP156" i="24"/>
  <c r="CQ156" i="24"/>
  <c r="CR156" i="24"/>
  <c r="CS156" i="24"/>
  <c r="CN157" i="24"/>
  <c r="CT157" i="24" s="1"/>
  <c r="CV157" i="24" s="1"/>
  <c r="CO157" i="24"/>
  <c r="CP157" i="24"/>
  <c r="CQ157" i="24"/>
  <c r="CR157" i="24"/>
  <c r="CS157" i="24"/>
  <c r="CN158" i="24"/>
  <c r="CO158" i="24"/>
  <c r="CP158" i="24"/>
  <c r="CQ158" i="24"/>
  <c r="CR158" i="24"/>
  <c r="CS158" i="24"/>
  <c r="CN159" i="24"/>
  <c r="CO159" i="24"/>
  <c r="CP159" i="24"/>
  <c r="CQ159" i="24"/>
  <c r="CR159" i="24"/>
  <c r="CS159" i="24"/>
  <c r="CN160" i="24"/>
  <c r="CO160" i="24"/>
  <c r="CP160" i="24"/>
  <c r="CQ160" i="24"/>
  <c r="CR160" i="24"/>
  <c r="CS160" i="24"/>
  <c r="CT160" i="24"/>
  <c r="CV160" i="24" s="1"/>
  <c r="CN161" i="24"/>
  <c r="CO161" i="24"/>
  <c r="CP161" i="24"/>
  <c r="CQ161" i="24"/>
  <c r="CR161" i="24"/>
  <c r="CS161" i="24"/>
  <c r="CT161" i="24"/>
  <c r="CV161" i="24" s="1"/>
  <c r="CN162" i="24"/>
  <c r="CT162" i="24" s="1"/>
  <c r="CV162" i="24" s="1"/>
  <c r="CO162" i="24"/>
  <c r="CP162" i="24"/>
  <c r="CQ162" i="24"/>
  <c r="CR162" i="24"/>
  <c r="CS162" i="24"/>
  <c r="CN163" i="24"/>
  <c r="CO163" i="24"/>
  <c r="CP163" i="24"/>
  <c r="CQ163" i="24"/>
  <c r="CR163" i="24"/>
  <c r="CS163" i="24"/>
  <c r="CN164" i="24"/>
  <c r="CO164" i="24"/>
  <c r="CP164" i="24"/>
  <c r="CQ164" i="24"/>
  <c r="CR164" i="24"/>
  <c r="CS164" i="24"/>
  <c r="CN165" i="24"/>
  <c r="CO165" i="24"/>
  <c r="CP165" i="24"/>
  <c r="CQ165" i="24"/>
  <c r="CR165" i="24"/>
  <c r="CS165" i="24"/>
  <c r="CN166" i="24"/>
  <c r="CO166" i="24"/>
  <c r="CP166" i="24"/>
  <c r="CQ166" i="24"/>
  <c r="CR166" i="24"/>
  <c r="CS166" i="24"/>
  <c r="CN167" i="24"/>
  <c r="CO167" i="24"/>
  <c r="CP167" i="24"/>
  <c r="CQ167" i="24"/>
  <c r="CR167" i="24"/>
  <c r="CS167" i="24"/>
  <c r="CN168" i="24"/>
  <c r="CO168" i="24"/>
  <c r="CP168" i="24"/>
  <c r="CQ168" i="24"/>
  <c r="CR168" i="24"/>
  <c r="CS168" i="24"/>
  <c r="CN169" i="24"/>
  <c r="CO169" i="24"/>
  <c r="CP169" i="24"/>
  <c r="CQ169" i="24"/>
  <c r="CR169" i="24"/>
  <c r="CS169" i="24"/>
  <c r="CT169" i="24"/>
  <c r="CV169" i="24" s="1"/>
  <c r="CN170" i="24"/>
  <c r="CO170" i="24"/>
  <c r="CP170" i="24"/>
  <c r="CQ170" i="24"/>
  <c r="CR170" i="24"/>
  <c r="CS170" i="24"/>
  <c r="CN171" i="24"/>
  <c r="CO171" i="24"/>
  <c r="CP171" i="24"/>
  <c r="CQ171" i="24"/>
  <c r="CR171" i="24"/>
  <c r="CS171" i="24"/>
  <c r="CN172" i="24"/>
  <c r="CO172" i="24"/>
  <c r="CP172" i="24"/>
  <c r="CQ172" i="24"/>
  <c r="CR172" i="24"/>
  <c r="CS172" i="24"/>
  <c r="CN173" i="24"/>
  <c r="CO173" i="24"/>
  <c r="CP173" i="24"/>
  <c r="CQ173" i="24"/>
  <c r="CR173" i="24"/>
  <c r="CS173" i="24"/>
  <c r="CN174" i="24"/>
  <c r="CO174" i="24"/>
  <c r="CP174" i="24"/>
  <c r="CQ174" i="24"/>
  <c r="CR174" i="24"/>
  <c r="CS174" i="24"/>
  <c r="CN175" i="24"/>
  <c r="CO175" i="24"/>
  <c r="CP175" i="24"/>
  <c r="CQ175" i="24"/>
  <c r="CR175" i="24"/>
  <c r="CS175" i="24"/>
  <c r="CN176" i="24"/>
  <c r="CO176" i="24"/>
  <c r="CP176" i="24"/>
  <c r="CQ176" i="24"/>
  <c r="CR176" i="24"/>
  <c r="CS176" i="24"/>
  <c r="CN177" i="24"/>
  <c r="CO177" i="24"/>
  <c r="CP177" i="24"/>
  <c r="CQ177" i="24"/>
  <c r="CR177" i="24"/>
  <c r="CS177" i="24"/>
  <c r="CN178" i="24"/>
  <c r="CO178" i="24"/>
  <c r="CP178" i="24"/>
  <c r="CQ178" i="24"/>
  <c r="CR178" i="24"/>
  <c r="CS178" i="24"/>
  <c r="CN179" i="24"/>
  <c r="CO179" i="24"/>
  <c r="CP179" i="24"/>
  <c r="CQ179" i="24"/>
  <c r="CR179" i="24"/>
  <c r="CS179" i="24"/>
  <c r="CN180" i="24"/>
  <c r="CO180" i="24"/>
  <c r="CP180" i="24"/>
  <c r="CQ180" i="24"/>
  <c r="CR180" i="24"/>
  <c r="CS180" i="24"/>
  <c r="CN4" i="24"/>
  <c r="CO4" i="24"/>
  <c r="CP4" i="24"/>
  <c r="CQ4" i="24"/>
  <c r="CR4" i="24"/>
  <c r="CS4" i="24"/>
  <c r="CN5" i="24"/>
  <c r="CO5" i="24"/>
  <c r="CP5" i="24"/>
  <c r="CQ5" i="24"/>
  <c r="CR5" i="24"/>
  <c r="CS5" i="24"/>
  <c r="CN6" i="24"/>
  <c r="CO6" i="24"/>
  <c r="CP6" i="24"/>
  <c r="CQ6" i="24"/>
  <c r="CR6" i="24"/>
  <c r="CS6" i="24"/>
  <c r="CN7" i="24"/>
  <c r="CO7" i="24"/>
  <c r="CP7" i="24"/>
  <c r="CQ7" i="24"/>
  <c r="CR7" i="24"/>
  <c r="CS7" i="24"/>
  <c r="CN8" i="24"/>
  <c r="CO8" i="24"/>
  <c r="CP8" i="24"/>
  <c r="CQ8" i="24"/>
  <c r="CR8" i="24"/>
  <c r="CS8" i="24"/>
  <c r="CN9" i="24"/>
  <c r="CO9" i="24"/>
  <c r="CP9" i="24"/>
  <c r="CQ9" i="24"/>
  <c r="CR9" i="24"/>
  <c r="CS9" i="24"/>
  <c r="CN10" i="24"/>
  <c r="CO10" i="24"/>
  <c r="CP10" i="24"/>
  <c r="CQ10" i="24"/>
  <c r="CR10" i="24"/>
  <c r="CS10" i="24"/>
  <c r="CN11" i="24"/>
  <c r="CO11" i="24"/>
  <c r="CP11" i="24"/>
  <c r="CQ11" i="24"/>
  <c r="CR11" i="24"/>
  <c r="CS11" i="24"/>
  <c r="CN12" i="24"/>
  <c r="CO12" i="24"/>
  <c r="CP12" i="24"/>
  <c r="CQ12" i="24"/>
  <c r="CR12" i="24"/>
  <c r="CS12" i="24"/>
  <c r="CN13" i="24"/>
  <c r="CO13" i="24"/>
  <c r="CP13" i="24"/>
  <c r="CQ13" i="24"/>
  <c r="CR13" i="24"/>
  <c r="CS13" i="24"/>
  <c r="CN14" i="24"/>
  <c r="CO14" i="24"/>
  <c r="CP14" i="24"/>
  <c r="CQ14" i="24"/>
  <c r="CR14" i="24"/>
  <c r="CS14" i="24"/>
  <c r="CN15" i="24"/>
  <c r="CO15" i="24"/>
  <c r="CP15" i="24"/>
  <c r="CQ15" i="24"/>
  <c r="CR15" i="24"/>
  <c r="CS15" i="24"/>
  <c r="CN16" i="24"/>
  <c r="CO16" i="24"/>
  <c r="CP16" i="24"/>
  <c r="CQ16" i="24"/>
  <c r="CR16" i="24"/>
  <c r="CS16" i="24"/>
  <c r="CN17" i="24"/>
  <c r="CO17" i="24"/>
  <c r="CP17" i="24"/>
  <c r="CQ17" i="24"/>
  <c r="CR17" i="24"/>
  <c r="CS17" i="24"/>
  <c r="CN18" i="24"/>
  <c r="CO18" i="24"/>
  <c r="CP18" i="24"/>
  <c r="CQ18" i="24"/>
  <c r="CR18" i="24"/>
  <c r="CS18" i="24"/>
  <c r="CN19" i="24"/>
  <c r="CO19" i="24"/>
  <c r="CP19" i="24"/>
  <c r="CQ19" i="24"/>
  <c r="CR19" i="24"/>
  <c r="CS19" i="24"/>
  <c r="CN20" i="24"/>
  <c r="CO20" i="24"/>
  <c r="CP20" i="24"/>
  <c r="CQ20" i="24"/>
  <c r="CR20" i="24"/>
  <c r="CS20" i="24"/>
  <c r="CN21" i="24"/>
  <c r="CO21" i="24"/>
  <c r="CP21" i="24"/>
  <c r="CQ21" i="24"/>
  <c r="CR21" i="24"/>
  <c r="CS21" i="24"/>
  <c r="CN22" i="24"/>
  <c r="CO22" i="24"/>
  <c r="CP22" i="24"/>
  <c r="CQ22" i="24"/>
  <c r="CR22" i="24"/>
  <c r="CS22" i="24"/>
  <c r="CN23" i="24"/>
  <c r="CO23" i="24"/>
  <c r="CP23" i="24"/>
  <c r="CQ23" i="24"/>
  <c r="CR23" i="24"/>
  <c r="CS23" i="24"/>
  <c r="CN24" i="24"/>
  <c r="CO24" i="24"/>
  <c r="CP24" i="24"/>
  <c r="CQ24" i="24"/>
  <c r="CR24" i="24"/>
  <c r="CS24" i="24"/>
  <c r="CN25" i="24"/>
  <c r="CO25" i="24"/>
  <c r="CP25" i="24"/>
  <c r="CQ25" i="24"/>
  <c r="CR25" i="24"/>
  <c r="CS25" i="24"/>
  <c r="CN26" i="24"/>
  <c r="CO26" i="24"/>
  <c r="CP26" i="24"/>
  <c r="CQ26" i="24"/>
  <c r="CR26" i="24"/>
  <c r="CS26" i="24"/>
  <c r="CN27" i="24"/>
  <c r="CO27" i="24"/>
  <c r="CP27" i="24"/>
  <c r="CQ27" i="24"/>
  <c r="CR27" i="24"/>
  <c r="CS27" i="24"/>
  <c r="CN28" i="24"/>
  <c r="CO28" i="24"/>
  <c r="CP28" i="24"/>
  <c r="CQ28" i="24"/>
  <c r="CR28" i="24"/>
  <c r="CS28" i="24"/>
  <c r="CN29" i="24"/>
  <c r="CO29" i="24"/>
  <c r="CP29" i="24"/>
  <c r="CQ29" i="24"/>
  <c r="CR29" i="24"/>
  <c r="CS29" i="24"/>
  <c r="CN30" i="24"/>
  <c r="CO30" i="24"/>
  <c r="CP30" i="24"/>
  <c r="CQ30" i="24"/>
  <c r="CR30" i="24"/>
  <c r="CS30" i="24"/>
  <c r="CN31" i="24"/>
  <c r="CO31" i="24"/>
  <c r="CP31" i="24"/>
  <c r="CQ31" i="24"/>
  <c r="CR31" i="24"/>
  <c r="CS31" i="24"/>
  <c r="CN32" i="24"/>
  <c r="CO32" i="24"/>
  <c r="CP32" i="24"/>
  <c r="CQ32" i="24"/>
  <c r="CR32" i="24"/>
  <c r="CS32" i="24"/>
  <c r="CN33" i="24"/>
  <c r="CO33" i="24"/>
  <c r="CP33" i="24"/>
  <c r="CQ33" i="24"/>
  <c r="CR33" i="24"/>
  <c r="CS33" i="24"/>
  <c r="CN34" i="24"/>
  <c r="CO34" i="24"/>
  <c r="CP34" i="24"/>
  <c r="CQ34" i="24"/>
  <c r="CR34" i="24"/>
  <c r="CS34" i="24"/>
  <c r="CN35" i="24"/>
  <c r="CO35" i="24"/>
  <c r="CP35" i="24"/>
  <c r="CQ35" i="24"/>
  <c r="CR35" i="24"/>
  <c r="CS35" i="24"/>
  <c r="CN36" i="24"/>
  <c r="CO36" i="24"/>
  <c r="CP36" i="24"/>
  <c r="CQ36" i="24"/>
  <c r="CR36" i="24"/>
  <c r="CS36" i="24"/>
  <c r="CN37" i="24"/>
  <c r="CO37" i="24"/>
  <c r="CP37" i="24"/>
  <c r="CQ37" i="24"/>
  <c r="CR37" i="24"/>
  <c r="CS37" i="24"/>
  <c r="CN38" i="24"/>
  <c r="CO38" i="24"/>
  <c r="CP38" i="24"/>
  <c r="CQ38" i="24"/>
  <c r="CR38" i="24"/>
  <c r="CS38" i="24"/>
  <c r="CN39" i="24"/>
  <c r="CO39" i="24"/>
  <c r="CP39" i="24"/>
  <c r="CQ39" i="24"/>
  <c r="CR39" i="24"/>
  <c r="CS39" i="24"/>
  <c r="CN40" i="24"/>
  <c r="CO40" i="24"/>
  <c r="CP40" i="24"/>
  <c r="CQ40" i="24"/>
  <c r="CR40" i="24"/>
  <c r="CS40" i="24"/>
  <c r="CN41" i="24"/>
  <c r="CO41" i="24"/>
  <c r="CP41" i="24"/>
  <c r="CQ41" i="24"/>
  <c r="CR41" i="24"/>
  <c r="CS41" i="24"/>
  <c r="CN42" i="24"/>
  <c r="CO42" i="24"/>
  <c r="CP42" i="24"/>
  <c r="CQ42" i="24"/>
  <c r="CR42" i="24"/>
  <c r="CS42" i="24"/>
  <c r="CN43" i="24"/>
  <c r="CO43" i="24"/>
  <c r="CP43" i="24"/>
  <c r="CQ43" i="24"/>
  <c r="CR43" i="24"/>
  <c r="CS43" i="24"/>
  <c r="CN44" i="24"/>
  <c r="CO44" i="24"/>
  <c r="CP44" i="24"/>
  <c r="CQ44" i="24"/>
  <c r="CR44" i="24"/>
  <c r="CS44" i="24"/>
  <c r="CN45" i="24"/>
  <c r="CO45" i="24"/>
  <c r="CP45" i="24"/>
  <c r="CQ45" i="24"/>
  <c r="CR45" i="24"/>
  <c r="CS45" i="24"/>
  <c r="CN46" i="24"/>
  <c r="CO46" i="24"/>
  <c r="CP46" i="24"/>
  <c r="CQ46" i="24"/>
  <c r="CR46" i="24"/>
  <c r="CS46" i="24"/>
  <c r="CN47" i="24"/>
  <c r="CO47" i="24"/>
  <c r="CP47" i="24"/>
  <c r="CQ47" i="24"/>
  <c r="CR47" i="24"/>
  <c r="CS47" i="24"/>
  <c r="CS48" i="24"/>
  <c r="CQ48" i="24"/>
  <c r="CR48" i="24"/>
  <c r="CP48" i="24"/>
  <c r="CN48" i="24"/>
  <c r="CT48" i="24" s="1"/>
  <c r="CV48" i="24" s="1"/>
  <c r="CO48" i="24"/>
  <c r="D97" i="1" l="1"/>
  <c r="E9" i="1" s="1"/>
  <c r="D96" i="1"/>
  <c r="E8" i="1" s="1"/>
  <c r="CT14" i="24"/>
  <c r="CV14" i="24" s="1"/>
  <c r="CT129" i="24"/>
  <c r="CV129" i="24" s="1"/>
  <c r="CT121" i="24"/>
  <c r="CV121" i="24" s="1"/>
  <c r="CT97" i="24"/>
  <c r="CV97" i="24" s="1"/>
  <c r="CT56" i="24"/>
  <c r="CV56" i="24" s="1"/>
  <c r="CT27" i="24"/>
  <c r="CV27" i="24" s="1"/>
  <c r="CT23" i="24"/>
  <c r="CV23" i="24" s="1"/>
  <c r="CT19" i="24"/>
  <c r="CV19" i="24" s="1"/>
  <c r="CT95" i="24"/>
  <c r="CV95" i="24" s="1"/>
  <c r="CT90" i="24"/>
  <c r="CV90" i="24" s="1"/>
  <c r="CT86" i="24"/>
  <c r="CV86" i="24" s="1"/>
  <c r="CT78" i="24"/>
  <c r="CV78" i="24" s="1"/>
  <c r="E7" i="1"/>
  <c r="CT57" i="24"/>
  <c r="CV57" i="24" s="1"/>
  <c r="CT44" i="24"/>
  <c r="CV44" i="24" s="1"/>
  <c r="CT12" i="24"/>
  <c r="CV12" i="24" s="1"/>
  <c r="D94" i="1"/>
  <c r="E6" i="1" s="1"/>
  <c r="CT18" i="24"/>
  <c r="CV18" i="24" s="1"/>
  <c r="CT28" i="24"/>
  <c r="CV28" i="24" s="1"/>
  <c r="CT20" i="24"/>
  <c r="CV20" i="24" s="1"/>
  <c r="CT115" i="24"/>
  <c r="CV115" i="24" s="1"/>
  <c r="CT107" i="24"/>
  <c r="CV107" i="24" s="1"/>
  <c r="CT99" i="24"/>
  <c r="CV99" i="24" s="1"/>
  <c r="D93" i="1"/>
  <c r="E5" i="1" s="1"/>
  <c r="D92" i="1"/>
  <c r="E4" i="1" s="1"/>
  <c r="CT65" i="24"/>
  <c r="CV65" i="24" s="1"/>
  <c r="CT145" i="24"/>
  <c r="CV145" i="24" s="1"/>
  <c r="CT141" i="24"/>
  <c r="CV141" i="24" s="1"/>
  <c r="CT137" i="24"/>
  <c r="CV137" i="24" s="1"/>
  <c r="CT124" i="24"/>
  <c r="CV124" i="24" s="1"/>
  <c r="CT82" i="24"/>
  <c r="CV82" i="24" s="1"/>
  <c r="CT74" i="24"/>
  <c r="CV74" i="24" s="1"/>
  <c r="CT66" i="24"/>
  <c r="CV66" i="24" s="1"/>
  <c r="CT61" i="24"/>
  <c r="CV61" i="24" s="1"/>
  <c r="CT52" i="24"/>
  <c r="CV52" i="24" s="1"/>
  <c r="CT45" i="24"/>
  <c r="CV45" i="24" s="1"/>
  <c r="CT24" i="24"/>
  <c r="CV24" i="24" s="1"/>
  <c r="CT15" i="24"/>
  <c r="CV15" i="24" s="1"/>
  <c r="CT167" i="24"/>
  <c r="CV167" i="24" s="1"/>
  <c r="CT163" i="24"/>
  <c r="CV163" i="24" s="1"/>
  <c r="CT158" i="24"/>
  <c r="CV158" i="24" s="1"/>
  <c r="CT154" i="24"/>
  <c r="CV154" i="24" s="1"/>
  <c r="CT150" i="24"/>
  <c r="CV150" i="24" s="1"/>
  <c r="CT120" i="24"/>
  <c r="CV120" i="24" s="1"/>
  <c r="CT116" i="24"/>
  <c r="CV116" i="24" s="1"/>
  <c r="CT108" i="24"/>
  <c r="CV108" i="24" s="1"/>
  <c r="CT91" i="24"/>
  <c r="CV91" i="24" s="1"/>
  <c r="CT180" i="24"/>
  <c r="CV180" i="24" s="1"/>
  <c r="CT176" i="24"/>
  <c r="CV176" i="24" s="1"/>
  <c r="CT138" i="24"/>
  <c r="CV138" i="24" s="1"/>
  <c r="CT130" i="24"/>
  <c r="CV130" i="24" s="1"/>
  <c r="CT67" i="24"/>
  <c r="CV67" i="24" s="1"/>
  <c r="CT63" i="24"/>
  <c r="CV63" i="24" s="1"/>
  <c r="CT58" i="24"/>
  <c r="CV58" i="24" s="1"/>
  <c r="CT49" i="24"/>
  <c r="CV49" i="24" s="1"/>
  <c r="CT46" i="24"/>
  <c r="CV46" i="24" s="1"/>
  <c r="CT16" i="24"/>
  <c r="CV16" i="24" s="1"/>
  <c r="CT164" i="24"/>
  <c r="CV164" i="24" s="1"/>
  <c r="CT159" i="24"/>
  <c r="CV159" i="24" s="1"/>
  <c r="CT155" i="24"/>
  <c r="CV155" i="24" s="1"/>
  <c r="CT117" i="24"/>
  <c r="CV117" i="24" s="1"/>
  <c r="CT92" i="24"/>
  <c r="CV92" i="24" s="1"/>
  <c r="CT38" i="24"/>
  <c r="CV38" i="24" s="1"/>
  <c r="CT30" i="24"/>
  <c r="CV30" i="24" s="1"/>
  <c r="CT8" i="24"/>
  <c r="CV8" i="24" s="1"/>
  <c r="CT4" i="24"/>
  <c r="CV4" i="24" s="1"/>
  <c r="CT177" i="24"/>
  <c r="CV177" i="24" s="1"/>
  <c r="CT173" i="24"/>
  <c r="CV173" i="24" s="1"/>
  <c r="CT151" i="24"/>
  <c r="CV151" i="24" s="1"/>
  <c r="CT147" i="24"/>
  <c r="CV147" i="24" s="1"/>
  <c r="CT143" i="24"/>
  <c r="CV143" i="24" s="1"/>
  <c r="CT139" i="24"/>
  <c r="CV139" i="24" s="1"/>
  <c r="CT135" i="24"/>
  <c r="CV135" i="24" s="1"/>
  <c r="CT131" i="24"/>
  <c r="CV131" i="24" s="1"/>
  <c r="CT122" i="24"/>
  <c r="CV122" i="24" s="1"/>
  <c r="CT110" i="24"/>
  <c r="CV110" i="24" s="1"/>
  <c r="CT88" i="24"/>
  <c r="CV88" i="24" s="1"/>
  <c r="CT84" i="24"/>
  <c r="CV84" i="24" s="1"/>
  <c r="CT80" i="24"/>
  <c r="CV80" i="24" s="1"/>
  <c r="CT76" i="24"/>
  <c r="CV76" i="24" s="1"/>
  <c r="CT72" i="24"/>
  <c r="CV72" i="24" s="1"/>
  <c r="CT68" i="24"/>
  <c r="CV68" i="24" s="1"/>
  <c r="CT59" i="24"/>
  <c r="CV59" i="24" s="1"/>
  <c r="CT54" i="24"/>
  <c r="CV54" i="24" s="1"/>
  <c r="CT50" i="24"/>
  <c r="CV50" i="24" s="1"/>
  <c r="CT26" i="24"/>
  <c r="CV26" i="24" s="1"/>
  <c r="CT22" i="24"/>
  <c r="CV22" i="24" s="1"/>
  <c r="CT17" i="24"/>
  <c r="CV17" i="24" s="1"/>
  <c r="CT13" i="24"/>
  <c r="CV13" i="24" s="1"/>
  <c r="CT165" i="24"/>
  <c r="CV165" i="24" s="1"/>
  <c r="CT156" i="24"/>
  <c r="CV156" i="24" s="1"/>
  <c r="CT119" i="24"/>
  <c r="CV119" i="24" s="1"/>
  <c r="CT118" i="24"/>
  <c r="CV118" i="24" s="1"/>
  <c r="CT114" i="24"/>
  <c r="CV114" i="24" s="1"/>
  <c r="CT106" i="24"/>
  <c r="CV106" i="24" s="1"/>
  <c r="CT103" i="24"/>
  <c r="CV103" i="24" s="1"/>
  <c r="CT98" i="24"/>
  <c r="CV98" i="24" s="1"/>
  <c r="CT93" i="24"/>
  <c r="CV93" i="24" s="1"/>
  <c r="CT36" i="24"/>
  <c r="CV36" i="24" s="1"/>
  <c r="CT11" i="24"/>
  <c r="CV11" i="24" s="1"/>
  <c r="CT10" i="24"/>
  <c r="CV10" i="24" s="1"/>
  <c r="CT6" i="24"/>
  <c r="CV6" i="24" s="1"/>
  <c r="CT179" i="24"/>
  <c r="CV179" i="24" s="1"/>
  <c r="CT175" i="24"/>
  <c r="CV175" i="24" s="1"/>
  <c r="CT171" i="24"/>
  <c r="CV171" i="24" s="1"/>
  <c r="CT149" i="24"/>
  <c r="CV149" i="24" s="1"/>
  <c r="CT133" i="24"/>
  <c r="CV133" i="24" s="1"/>
  <c r="CT112" i="24"/>
  <c r="CV112" i="24" s="1"/>
  <c r="CT104" i="24"/>
  <c r="CV104" i="24" s="1"/>
  <c r="CT100" i="24"/>
  <c r="CV100" i="24" s="1"/>
  <c r="CT41" i="24"/>
  <c r="CV41" i="24" s="1"/>
  <c r="CT37" i="24"/>
  <c r="CV37" i="24" s="1"/>
  <c r="CT33" i="24"/>
  <c r="CV33" i="24" s="1"/>
  <c r="CT29" i="24"/>
  <c r="CV29" i="24" s="1"/>
  <c r="CT7" i="24"/>
  <c r="CV7" i="24" s="1"/>
  <c r="CT172" i="24"/>
  <c r="CV172" i="24" s="1"/>
  <c r="CT146" i="24"/>
  <c r="CV146" i="24" s="1"/>
  <c r="CT142" i="24"/>
  <c r="CV142" i="24" s="1"/>
  <c r="CT125" i="24"/>
  <c r="CV125" i="24" s="1"/>
  <c r="CT101" i="24"/>
  <c r="CV101" i="24" s="1"/>
  <c r="CT87" i="24"/>
  <c r="CV87" i="24" s="1"/>
  <c r="CT83" i="24"/>
  <c r="CV83" i="24" s="1"/>
  <c r="CT79" i="24"/>
  <c r="CV79" i="24" s="1"/>
  <c r="CT53" i="24"/>
  <c r="CV53" i="24" s="1"/>
  <c r="CT21" i="24"/>
  <c r="CV21" i="24" s="1"/>
  <c r="CT168" i="24"/>
  <c r="CV168" i="24" s="1"/>
  <c r="CT113" i="24"/>
  <c r="CV113" i="24" s="1"/>
  <c r="CT109" i="24"/>
  <c r="CV109" i="24" s="1"/>
  <c r="CT105" i="24"/>
  <c r="CV105" i="24" s="1"/>
  <c r="CT42" i="24"/>
  <c r="CV42" i="24" s="1"/>
  <c r="CT34" i="24"/>
  <c r="CV34" i="24" s="1"/>
  <c r="CT43" i="24"/>
  <c r="CV43" i="24" s="1"/>
  <c r="CT40" i="24"/>
  <c r="CV40" i="24" s="1"/>
  <c r="CT35" i="24"/>
  <c r="CV35" i="24" s="1"/>
  <c r="CT32" i="24"/>
  <c r="CV32" i="24" s="1"/>
  <c r="CT31" i="24"/>
  <c r="CV31" i="24" s="1"/>
  <c r="CT9" i="24"/>
  <c r="CV9" i="24" s="1"/>
  <c r="CT5" i="24"/>
  <c r="CV5" i="24" s="1"/>
  <c r="CT178" i="24"/>
  <c r="CV178" i="24" s="1"/>
  <c r="CT174" i="24"/>
  <c r="CV174" i="24" s="1"/>
  <c r="CT170" i="24"/>
  <c r="CV170" i="24" s="1"/>
  <c r="CT152" i="24"/>
  <c r="CV152" i="24" s="1"/>
  <c r="CT148" i="24"/>
  <c r="CV148" i="24" s="1"/>
  <c r="CT144" i="24"/>
  <c r="CV144" i="24" s="1"/>
  <c r="CT140" i="24"/>
  <c r="CV140" i="24" s="1"/>
  <c r="CT136" i="24"/>
  <c r="CV136" i="24" s="1"/>
  <c r="CT132" i="24"/>
  <c r="CV132" i="24" s="1"/>
  <c r="CT127" i="24"/>
  <c r="CV127" i="24" s="1"/>
  <c r="CT123" i="24"/>
  <c r="CV123" i="24" s="1"/>
  <c r="CT85" i="24"/>
  <c r="CV85" i="24" s="1"/>
  <c r="CT81" i="24"/>
  <c r="CV81" i="24" s="1"/>
  <c r="CT77" i="24"/>
  <c r="CV77" i="24" s="1"/>
  <c r="CT73" i="24"/>
  <c r="CV73" i="24" s="1"/>
  <c r="CT69" i="24"/>
  <c r="CV69" i="24" s="1"/>
  <c r="CT60" i="24"/>
  <c r="CV60" i="24" s="1"/>
  <c r="CT55" i="24"/>
  <c r="CV55" i="24" s="1"/>
  <c r="CT51" i="24"/>
  <c r="CV51" i="24" s="1"/>
  <c r="CT47" i="24"/>
  <c r="CV47" i="24" s="1"/>
  <c r="CT111" i="24"/>
  <c r="CV111" i="24" s="1"/>
  <c r="CT39" i="24"/>
  <c r="CV39" i="24" s="1"/>
  <c r="CT25" i="24"/>
  <c r="CV25" i="24" s="1"/>
  <c r="CT166" i="24"/>
  <c r="CV166" i="24" s="1"/>
  <c r="CT134" i="24"/>
  <c r="CV134" i="24" s="1"/>
  <c r="CT102" i="24"/>
  <c r="CV102" i="24" s="1"/>
  <c r="CT70" i="24"/>
  <c r="CV70" i="24" s="1"/>
  <c r="CT71" i="24"/>
  <c r="CV71" i="24" s="1"/>
  <c r="CT126" i="24"/>
  <c r="CV126" i="24" s="1"/>
  <c r="CT94" i="24"/>
  <c r="CV94" i="24" s="1"/>
  <c r="CT62" i="24"/>
  <c r="CV62" i="24" s="1"/>
  <c r="CT75" i="24"/>
  <c r="CV75" i="24" s="1"/>
  <c r="CC48" i="24"/>
  <c r="CM48" i="24" s="1"/>
  <c r="D89" i="1" l="1"/>
  <c r="D88" i="1"/>
  <c r="D87" i="1"/>
  <c r="D86" i="1"/>
  <c r="D85" i="1"/>
  <c r="D84" i="1"/>
  <c r="D83" i="1"/>
  <c r="D82" i="1"/>
  <c r="D81" i="1"/>
  <c r="D78" i="1"/>
  <c r="D77" i="1"/>
  <c r="D76" i="1"/>
  <c r="D70" i="1"/>
  <c r="D71" i="1"/>
  <c r="D72" i="1"/>
  <c r="D73" i="1"/>
  <c r="D69" i="1"/>
  <c r="D68" i="1"/>
  <c r="D67" i="1"/>
  <c r="D66" i="1"/>
  <c r="D65" i="1"/>
  <c r="D64" i="1"/>
  <c r="D63" i="1"/>
  <c r="D62" i="1"/>
  <c r="D61" i="1"/>
  <c r="D60" i="1"/>
  <c r="D59" i="1"/>
  <c r="D58" i="1"/>
  <c r="D57" i="1"/>
  <c r="D56" i="1"/>
  <c r="D55" i="1"/>
  <c r="C1" i="24"/>
  <c r="D1" i="24" s="1"/>
  <c r="E1" i="24" s="1"/>
  <c r="F1" i="24" s="1"/>
  <c r="G1" i="24" s="1"/>
  <c r="H1" i="24" s="1"/>
  <c r="I1" i="24" s="1"/>
  <c r="J1" i="24" s="1"/>
  <c r="K1" i="24" s="1"/>
  <c r="L1" i="24" s="1"/>
  <c r="M1" i="24" s="1"/>
  <c r="N1" i="24" s="1"/>
  <c r="O1" i="24" s="1"/>
  <c r="P1" i="24" s="1"/>
  <c r="Q1" i="24" s="1"/>
  <c r="R1" i="24" s="1"/>
  <c r="S1" i="24" s="1"/>
  <c r="T1" i="24" s="1"/>
  <c r="U1" i="24" s="1"/>
  <c r="V1" i="24" s="1"/>
  <c r="W1" i="24" s="1"/>
  <c r="X1" i="24" s="1"/>
  <c r="Y1" i="24" s="1"/>
  <c r="Z1" i="24" s="1"/>
  <c r="AA1" i="24" s="1"/>
  <c r="AB1" i="24" s="1"/>
  <c r="AC1" i="24" s="1"/>
  <c r="AD1" i="24" s="1"/>
  <c r="AE1" i="24" s="1"/>
  <c r="AF1" i="24" s="1"/>
  <c r="AG1" i="24" s="1"/>
  <c r="AH1" i="24" s="1"/>
  <c r="AI1" i="24" s="1"/>
  <c r="AJ1" i="24" s="1"/>
  <c r="AK1" i="24" s="1"/>
  <c r="AL1" i="24" s="1"/>
  <c r="AM1" i="24" s="1"/>
  <c r="AN1" i="24" s="1"/>
  <c r="AO1" i="24" s="1"/>
  <c r="AP1" i="24" s="1"/>
  <c r="AQ1" i="24" s="1"/>
  <c r="AR1" i="24" s="1"/>
  <c r="AS1" i="24" s="1"/>
  <c r="AT1" i="24" s="1"/>
  <c r="AU1" i="24" s="1"/>
  <c r="AV1" i="24" s="1"/>
  <c r="AW1" i="24" s="1"/>
  <c r="AX1" i="24" s="1"/>
  <c r="AY1" i="24" s="1"/>
  <c r="AZ1" i="24" s="1"/>
  <c r="BA1" i="24" s="1"/>
  <c r="BB1" i="24" s="1"/>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K230" i="25" l="1"/>
  <c r="CM230" i="25"/>
  <c r="CL230" i="25"/>
  <c r="CN230" i="25"/>
  <c r="BI230" i="25"/>
  <c r="BH230" i="25"/>
  <c r="BG230" i="25"/>
  <c r="BK230" i="25"/>
  <c r="BJ230" i="25"/>
  <c r="BL230"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F7" i="1" s="1"/>
  <c r="BL6" i="10"/>
  <c r="AG6" i="10"/>
  <c r="Q6" i="10"/>
  <c r="I6" i="10"/>
  <c r="BQ5" i="10"/>
  <c r="AT5" i="10"/>
  <c r="AD5" i="10"/>
  <c r="N5" i="10"/>
  <c r="F5" i="10"/>
  <c r="F6" i="1" s="1"/>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F4" i="1" l="1"/>
  <c r="F8" i="1"/>
  <c r="F9" i="1"/>
  <c r="F5" i="1"/>
  <c r="F54" i="1"/>
  <c r="I54" i="1" s="1"/>
  <c r="CG63" i="10"/>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5" i="2"/>
  <c r="R374" i="2"/>
  <c r="R373" i="2"/>
  <c r="R372" i="2"/>
  <c r="R371" i="2"/>
  <c r="R370" i="2"/>
  <c r="R367"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30" i="25"/>
  <c r="AJ230" i="25"/>
  <c r="AH230" i="25"/>
  <c r="AI230" i="25"/>
  <c r="E74" i="1" l="1"/>
  <c r="E90" i="1"/>
  <c r="CL29" i="10"/>
  <c r="G29" i="1" l="1"/>
  <c r="G30" i="1"/>
  <c r="CL95" i="10" l="1"/>
  <c r="G236" i="25" l="1"/>
  <c r="F235" i="25"/>
  <c r="H235" i="25" s="1"/>
  <c r="F234" i="25"/>
  <c r="H234" i="25" s="1"/>
  <c r="F233" i="25"/>
  <c r="H233" i="25" s="1"/>
  <c r="F232" i="25"/>
  <c r="H232" i="25" s="1"/>
  <c r="DQ230" i="25"/>
  <c r="DJ230" i="25"/>
  <c r="DI230" i="25"/>
  <c r="DH230" i="25"/>
  <c r="DG230" i="25"/>
  <c r="DF230" i="25"/>
  <c r="DE230" i="25"/>
  <c r="DD230" i="25"/>
  <c r="DC230" i="25"/>
  <c r="DB230" i="25"/>
  <c r="DA230" i="25"/>
  <c r="CZ230" i="25"/>
  <c r="CW230" i="25"/>
  <c r="CV230" i="25"/>
  <c r="CU230" i="25"/>
  <c r="CT230" i="25"/>
  <c r="CS230" i="25"/>
  <c r="CR230" i="25"/>
  <c r="CQ230" i="25"/>
  <c r="CO230" i="25"/>
  <c r="CJ230" i="25"/>
  <c r="CI230" i="25"/>
  <c r="CH230" i="25"/>
  <c r="CG230" i="25"/>
  <c r="CE230" i="25"/>
  <c r="CD230" i="25"/>
  <c r="CC230" i="25"/>
  <c r="CB230" i="25"/>
  <c r="BZ230" i="25"/>
  <c r="BY230" i="25"/>
  <c r="BX230" i="25"/>
  <c r="BW230" i="25"/>
  <c r="BV230" i="25"/>
  <c r="BT230" i="25"/>
  <c r="BS230" i="25"/>
  <c r="BR230" i="25"/>
  <c r="BQ230" i="25"/>
  <c r="BP230" i="25"/>
  <c r="BO230" i="25"/>
  <c r="BN230" i="25"/>
  <c r="BM230" i="25"/>
  <c r="BF230" i="25"/>
  <c r="BE230" i="25"/>
  <c r="BD230" i="25"/>
  <c r="BC230" i="25"/>
  <c r="BB230" i="25"/>
  <c r="BA230" i="25"/>
  <c r="AZ230" i="25"/>
  <c r="AY230" i="25"/>
  <c r="AX230" i="25"/>
  <c r="AW230" i="25"/>
  <c r="AV230" i="25"/>
  <c r="AU230" i="25"/>
  <c r="AT230" i="25"/>
  <c r="AS230" i="25"/>
  <c r="AR230" i="25"/>
  <c r="AQ230" i="25"/>
  <c r="AP230" i="25"/>
  <c r="AO230" i="25"/>
  <c r="AN230" i="25"/>
  <c r="AM230" i="25"/>
  <c r="AK230" i="25"/>
  <c r="AG230" i="25"/>
  <c r="AF230" i="25"/>
  <c r="AE230" i="25"/>
  <c r="AD230" i="25"/>
  <c r="AC230" i="25"/>
  <c r="AB230" i="25"/>
  <c r="AA230" i="25"/>
  <c r="Z230" i="25"/>
  <c r="Y230" i="25"/>
  <c r="X230" i="25"/>
  <c r="W230" i="25"/>
  <c r="V230" i="25"/>
  <c r="U230" i="25"/>
  <c r="T230" i="25"/>
  <c r="S230" i="25"/>
  <c r="R230" i="25"/>
  <c r="Q230" i="25"/>
  <c r="P230" i="25"/>
  <c r="N230" i="25"/>
  <c r="M230" i="25"/>
  <c r="L230" i="25"/>
  <c r="K230" i="25"/>
  <c r="J230" i="25"/>
  <c r="I230" i="25"/>
  <c r="DT230" i="25" l="1"/>
  <c r="DL230" i="25"/>
  <c r="CX230" i="25"/>
  <c r="DR230" i="25"/>
  <c r="DK230" i="25"/>
  <c r="O230" i="25"/>
  <c r="CA230" i="25"/>
  <c r="DN230" i="25"/>
  <c r="CF230" i="25"/>
  <c r="AL230" i="25"/>
  <c r="DO230" i="25"/>
  <c r="CP230" i="25"/>
  <c r="F236" i="25"/>
  <c r="H236" i="25" s="1"/>
  <c r="DS230" i="25" l="1"/>
  <c r="DM230" i="25"/>
  <c r="DP230"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<sst xmlns="http://schemas.openxmlformats.org/spreadsheetml/2006/main" count="2466" uniqueCount="1035">
  <si>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</si>
  <si>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</si>
  <si>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</si>
  <si>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</si>
  <si>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</si>
  <si>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</si>
  <si>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</si>
  <si>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</si>
  <si>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</si>
  <si>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</si>
  <si>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</si>
  <si>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</si>
  <si>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</si>
  <si>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</si>
  <si>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</si>
  <si>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</si>
  <si>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</si>
  <si>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</si>
  <si>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</si>
  <si>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</si>
  <si>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</si>
  <si>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</si>
  <si>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</si>
  <si>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</si>
  <si>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</si>
  <si>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</si>
  <si>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</si>
  <si>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</si>
  <si>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</si>
  <si>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</si>
  <si>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</si>
  <si>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</si>
  <si>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</si>
  <si>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</si>
  <si>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</si>
  <si>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</si>
  <si>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</si>
  <si>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</si>
  <si>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</si>
  <si>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</si>
  <si>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</si>
  <si>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</si>
  <si>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</si>
  <si>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</si>
  <si>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</si>
  <si>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</si>
  <si>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</si>
  <si>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</si>
  <si>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</si>
  <si>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</si>
  <si>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</si>
  <si>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</si>
  <si>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</si>
  <si>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</si>
  <si>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</si>
  <si>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</si>
  <si>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</si>
  <si>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</si>
  <si>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</si>
  <si>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</si>
  <si>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</si>
  <si>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</si>
  <si>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</si>
  <si>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</si>
  <si>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</si>
  <si>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</si>
  <si>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</si>
  <si>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</si>
  <si>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</si>
  <si>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</si>
  <si>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</si>
  <si>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</si>
  <si>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</si>
  <si>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</si>
  <si>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</si>
  <si>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</si>
  <si>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</si>
  <si>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</si>
  <si>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</si>
  <si>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</si>
  <si>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</si>
  <si>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</si>
  <si>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</si>
  <si>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</si>
  <si>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</si>
  <si>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</si>
  <si>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</si>
  <si>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</si>
  <si>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</si>
  <si>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</si>
  <si>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</si>
  <si>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</si>
  <si>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</si>
  <si>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</si>
  <si>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</si>
  <si>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</si>
  <si>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</si>
  <si>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</si>
  <si>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</si>
  <si>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</si>
  <si>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</si>
  <si>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</si>
  <si>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</si>
  <si>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</si>
  <si>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</si>
  <si>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</si>
  <si>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</si>
  <si>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</si>
  <si>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</si>
  <si>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</si>
  <si>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</si>
  <si>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</si>
  <si>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</si>
  <si>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</si>
  <si>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</si>
  <si>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</si>
  <si>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</si>
  <si>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</si>
  <si>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</si>
  <si>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</si>
  <si>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</si>
  <si>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</si>
  <si>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</si>
  <si>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</si>
  <si>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</si>
  <si>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</si>
  <si>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</si>
  <si>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</si>
  <si>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</si>
  <si>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</si>
  <si>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</si>
  <si>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</si>
  <si>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</si>
  <si>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</si>
  <si>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</si>
  <si>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</si>
  <si>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</si>
  <si>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</si>
  <si>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</si>
  <si>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</si>
  <si>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</si>
  <si>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</si>
  <si>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</si>
  <si>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</si>
  <si>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</si>
  <si>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</si>
  <si>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</si>
  <si>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</si>
  <si>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</si>
  <si>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</si>
  <si>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</si>
  <si>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</si>
  <si>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</si>
  <si>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</si>
  <si>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</si>
  <si>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</si>
  <si>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</si>
  <si>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</si>
  <si>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</si>
  <si>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</si>
  <si>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</si>
  <si>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</si>
  <si>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</si>
  <si>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</si>
  <si>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</si>
  <si>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</si>
  <si>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</si>
  <si>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</si>
  <si>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</si>
  <si>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</si>
  <si>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</si>
  <si>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</si>
  <si>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</si>
  <si>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</si>
  <si>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</si>
  <si>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</si>
  <si>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</si>
  <si>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</si>
  <si>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</si>
  <si>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</si>
  <si>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</si>
  <si>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</si>
  <si>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Hatherley Infant School</t>
  </si>
  <si>
    <t>Longlevens Infant School</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</si>
  <si>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</si>
  <si>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</si>
  <si>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</si>
  <si>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</si>
  <si>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</si>
  <si>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</si>
  <si>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</si>
  <si>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</si>
  <si>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</si>
  <si>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</si>
  <si>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</si>
  <si>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Tibberton Community Primary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</si>
  <si>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</si>
  <si>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</si>
  <si>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</si>
  <si>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</si>
  <si>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</si>
  <si>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</si>
  <si>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</si>
  <si>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</si>
  <si>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</si>
  <si>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</si>
  <si>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</si>
  <si>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</si>
  <si>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</si>
  <si>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</si>
  <si>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</si>
  <si>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</si>
  <si>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</si>
  <si>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</si>
  <si>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</si>
  <si>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</si>
  <si>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</si>
  <si>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</si>
  <si>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</si>
  <si>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</si>
  <si>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</si>
  <si>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</si>
  <si>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</si>
  <si>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</si>
  <si>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</si>
  <si>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</si>
  <si>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</si>
  <si>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</si>
  <si>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</si>
  <si>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</si>
  <si>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</si>
  <si>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</si>
  <si>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</si>
  <si>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</si>
  <si>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</si>
  <si>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</si>
  <si>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</si>
  <si>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</si>
  <si>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</si>
  <si>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</si>
  <si>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</si>
  <si>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</si>
  <si>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</si>
  <si>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</si>
  <si>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</si>
  <si>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</si>
  <si>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</si>
  <si>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</si>
  <si>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</si>
  <si>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</si>
  <si>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</si>
  <si>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</si>
  <si>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</si>
  <si>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</si>
  <si>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</si>
  <si>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</si>
  <si>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</si>
  <si>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</si>
  <si>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</si>
  <si>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</si>
  <si>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</si>
  <si>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</si>
  <si>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</si>
  <si>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</si>
  <si>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</si>
  <si>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</si>
  <si>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</si>
  <si>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</si>
  <si>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</si>
  <si>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</si>
  <si>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</si>
  <si>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</si>
  <si>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</si>
  <si>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</si>
  <si>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</si>
  <si>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</si>
  <si>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</si>
  <si>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</si>
  <si>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</si>
  <si>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Calton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</si>
  <si>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</si>
  <si>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</si>
  <si>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</si>
  <si>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</si>
  <si>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</si>
  <si>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</si>
  <si>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</si>
  <si>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</si>
  <si>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Oak Hill Church of England Primary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</si>
  <si>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</si>
  <si>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</si>
  <si>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</si>
  <si>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</si>
  <si>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</si>
  <si>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</si>
  <si>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</si>
  <si>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</si>
  <si>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</si>
  <si>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</si>
  <si>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</si>
  <si>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</si>
  <si>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</si>
  <si>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</si>
  <si>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</si>
  <si>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</si>
  <si>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</si>
  <si>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</si>
  <si>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</si>
  <si>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</si>
  <si>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</si>
  <si>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</si>
  <si>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</si>
  <si>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</si>
  <si>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</si>
  <si>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</si>
  <si>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</si>
  <si>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</si>
  <si>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</si>
  <si>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</si>
  <si>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</si>
  <si>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</si>
  <si>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</si>
  <si>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</si>
  <si>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</si>
  <si>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</si>
  <si>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</si>
  <si>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</si>
  <si>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</si>
  <si>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</si>
  <si>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</si>
  <si>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</si>
  <si>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</si>
  <si>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</si>
  <si>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</si>
  <si>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</si>
  <si>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</si>
  <si>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</si>
  <si>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</si>
  <si>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</si>
  <si>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</si>
  <si>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</si>
  <si>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</si>
  <si>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</si>
  <si>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</si>
  <si>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</si>
  <si>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</si>
  <si>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</si>
  <si>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</si>
  <si>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</si>
  <si>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</si>
  <si>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</si>
  <si>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</si>
  <si>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</si>
  <si>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</si>
  <si>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</si>
  <si>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</si>
  <si>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</si>
  <si>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</si>
  <si>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</si>
  <si>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</si>
  <si>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</si>
  <si>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</si>
  <si>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</si>
  <si>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</si>
  <si>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</si>
  <si>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</si>
  <si>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</si>
  <si>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</si>
  <si>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</si>
  <si>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</si>
  <si>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</si>
  <si>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</si>
  <si>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</si>
  <si>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</si>
  <si>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</si>
  <si>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</si>
  <si>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</si>
  <si>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</si>
  <si>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</si>
  <si>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</si>
  <si>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</si>
  <si>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</si>
  <si>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</si>
  <si>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Total CFWD</t>
  </si>
  <si>
    <t>difference</t>
  </si>
  <si>
    <t>Alderman Knight</t>
  </si>
  <si>
    <t>Bettridge</t>
  </si>
  <si>
    <t>The Shrubberies</t>
  </si>
  <si>
    <t xml:space="preserve">Heart of the Forest </t>
  </si>
  <si>
    <t>Blakeney Primary School (&amp; Pillowell from 01/04/2016)</t>
  </si>
  <si>
    <t>Bledington School</t>
  </si>
  <si>
    <t>Brimscombe Church of England Primary School</t>
  </si>
  <si>
    <t>St. Catharine's Catholic Primary School</t>
  </si>
  <si>
    <t>Grangefield School</t>
  </si>
  <si>
    <t>Great Rissington Primary School</t>
  </si>
  <si>
    <t>King's Stanley Church of England Primary School</t>
  </si>
  <si>
    <t>Hope Brook Church of England Primary School</t>
  </si>
  <si>
    <t>Picklenash Junior &amp; Glebe Infant School from 01/04/2018</t>
  </si>
  <si>
    <t>North Nibley Church of England Primary School</t>
  </si>
  <si>
    <t>St. Joseph's Catholic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</si>
  <si>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</si>
  <si>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</si>
  <si>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</si>
  <si>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</si>
  <si>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</si>
  <si>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</si>
  <si>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</si>
  <si>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</si>
  <si>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Queen Margaret Primary School and Opportunity Centre</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</si>
  <si>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</si>
  <si>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</si>
  <si>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</si>
  <si>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</si>
  <si>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</si>
  <si>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</si>
  <si>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</si>
  <si>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James' Church of England Junior School (Gloucester)</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</si>
  <si>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</si>
  <si>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</si>
  <si>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</si>
  <si>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</si>
  <si>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</si>
  <si>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</si>
  <si>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</si>
  <si>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</si>
  <si>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</si>
  <si>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</si>
  <si>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</si>
  <si>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</si>
  <si>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</si>
  <si>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</si>
  <si>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</si>
  <si>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</si>
  <si>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</si>
  <si>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</si>
  <si>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</si>
  <si>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</si>
  <si>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</si>
  <si>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Leighterton Primary School academy from 01/04/2023</t>
  </si>
  <si>
    <t>Ann Cam Church of England Primary School academy from 01/04/2023</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</si>
  <si>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</si>
  <si>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</si>
  <si>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</si>
  <si>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</si>
  <si>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</si>
  <si>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</si>
  <si>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</si>
  <si>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</si>
  <si>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</si>
  <si>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</si>
  <si>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</si>
  <si>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</si>
  <si>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</si>
  <si>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</si>
  <si>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</si>
  <si>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</si>
  <si>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</si>
  <si>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</si>
  <si>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</si>
  <si>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</si>
  <si>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</si>
  <si>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</si>
  <si>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</si>
  <si>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</si>
  <si>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</si>
  <si>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</si>
  <si>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</si>
  <si>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</si>
  <si>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</si>
  <si>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</si>
  <si>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</si>
  <si>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</si>
  <si>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</si>
  <si>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</si>
  <si>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</si>
  <si>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</si>
  <si>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</si>
  <si>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</si>
  <si>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</si>
  <si>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</si>
  <si>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</si>
  <si>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</si>
  <si>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</si>
  <si>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</si>
  <si>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</si>
  <si>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</si>
  <si>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</si>
  <si>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</si>
  <si>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</si>
  <si>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</si>
  <si>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</si>
  <si>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</si>
  <si>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</si>
  <si>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</si>
  <si>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</si>
  <si>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</si>
  <si>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</si>
  <si>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</si>
  <si>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</si>
  <si>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</si>
  <si>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</si>
  <si>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</si>
  <si>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</si>
  <si>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</si>
  <si>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</si>
  <si>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</si>
  <si>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</si>
  <si>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</si>
  <si>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</si>
  <si>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</si>
  <si>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</si>
  <si>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</si>
  <si>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</si>
  <si>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</si>
  <si>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</si>
  <si>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</si>
  <si>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</si>
  <si>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</si>
  <si>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</si>
  <si>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</si>
  <si>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</si>
  <si>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</si>
  <si>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</si>
  <si>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</si>
  <si>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</si>
  <si>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</si>
  <si>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</si>
  <si>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</si>
  <si>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</si>
  <si>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</si>
  <si>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</si>
  <si>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</si>
  <si>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</si>
  <si>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</si>
  <si>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</si>
  <si>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</si>
  <si>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</si>
  <si>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</si>
  <si>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</si>
  <si>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</si>
  <si>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</si>
  <si>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</si>
  <si>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</si>
  <si>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</si>
  <si>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</si>
  <si>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</si>
  <si>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</si>
  <si>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</si>
  <si>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</si>
  <si>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</si>
  <si>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</si>
  <si>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</si>
  <si>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</si>
  <si>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</si>
  <si>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</si>
  <si>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</si>
  <si>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</si>
  <si>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</si>
  <si>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</si>
  <si>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</si>
  <si>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</si>
  <si>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</si>
  <si>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</si>
  <si>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</si>
  <si>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</si>
  <si>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</si>
  <si>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</si>
  <si>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</si>
  <si>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</si>
  <si>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</si>
  <si>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</si>
  <si>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</si>
  <si>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</si>
  <si>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</si>
  <si>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</si>
  <si>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</si>
  <si>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</si>
  <si>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</si>
  <si>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</si>
  <si>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</si>
  <si>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</si>
  <si>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</si>
  <si>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</si>
  <si>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</si>
  <si>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</si>
  <si>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</si>
  <si>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</si>
  <si>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</si>
  <si>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</si>
  <si>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</si>
  <si>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</si>
  <si>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</si>
  <si>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</si>
  <si>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</si>
  <si>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</si>
  <si>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Excluded Pupil Funding Adjustment</t>
  </si>
  <si>
    <t>Supply Mutual Fund-dr Reimbursements</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</si>
  <si>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</si>
  <si>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</si>
  <si>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</si>
  <si>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</si>
  <si>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</si>
  <si>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</si>
  <si>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</si>
  <si>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</si>
  <si>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</si>
  <si>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</si>
  <si>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</si>
  <si>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ADDITIONAL GRANT FOR SCHOOLS</t>
  </si>
  <si>
    <t>DWP - Grant Income</t>
  </si>
  <si>
    <t>Other Revenue Grants and Payments</t>
  </si>
  <si>
    <t>DFE-Dedicated Schools Grant</t>
  </si>
  <si>
    <t>DFE-PE &amp; Sports Grant</t>
  </si>
  <si>
    <t>DFE-Universal Infant Free School Meals Grant</t>
  </si>
  <si>
    <t>UNDENTIFIED Income Clearing- Cashiers</t>
  </si>
  <si>
    <t>HA- Joint Funding (NHS)</t>
  </si>
  <si>
    <t>HA- Other Contributions</t>
  </si>
  <si>
    <t>Probation Contribution</t>
  </si>
  <si>
    <t>INCOME FROM FACILITIES AND SERVICES</t>
  </si>
  <si>
    <t>Glos. Police Authority</t>
  </si>
  <si>
    <t>6th form non-entitled Transport Charges</t>
  </si>
  <si>
    <t>7th form entitled Transport Charges</t>
  </si>
  <si>
    <t>INCOME FROM CONTRIBUTIONS TO VISITS ETC.</t>
  </si>
  <si>
    <t>Pre-school Income</t>
  </si>
  <si>
    <t>DONATIONS AND/OR PRIVATE FUNDS</t>
  </si>
  <si>
    <t>Council Tax Freeze Grant</t>
  </si>
  <si>
    <t>Sales Food &amp; Drinks</t>
  </si>
  <si>
    <t>INCOME FROM CATERING</t>
  </si>
  <si>
    <t>Activities / Trips</t>
  </si>
  <si>
    <t>Lettings</t>
  </si>
  <si>
    <t>Unidentified Income Clearing - Cashiers</t>
  </si>
  <si>
    <t>Rental Income</t>
  </si>
  <si>
    <t>Subscriptions/Memberships</t>
  </si>
  <si>
    <t>COMMUNITY FOCUSED SCHOOL FACILITIES INCOME</t>
  </si>
  <si>
    <t>Maint/Accomm Social Services</t>
  </si>
  <si>
    <t>Training and Tuition Fees</t>
  </si>
  <si>
    <t>Other fees/charges</t>
  </si>
  <si>
    <t>Fines &amp; Fees</t>
  </si>
  <si>
    <t>County Fund Bank AC - Receipts</t>
  </si>
  <si>
    <t>Midcounties Co-op</t>
  </si>
  <si>
    <t>Tuition Fees</t>
  </si>
  <si>
    <t>Academy Schools Incom</t>
  </si>
  <si>
    <t>Ineterest On In-House Investments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</si>
  <si>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</si>
  <si>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</si>
  <si>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</si>
  <si>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</si>
  <si>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</si>
  <si>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</si>
  <si>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</si>
  <si>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</si>
  <si>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</si>
  <si>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</si>
  <si>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</si>
  <si>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</si>
  <si>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</si>
  <si>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</si>
  <si>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</si>
  <si>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</si>
  <si>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</si>
  <si>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</si>
  <si>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</si>
  <si>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</si>
  <si>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</si>
  <si>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</si>
  <si>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</si>
  <si>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</si>
  <si>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</si>
  <si>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</si>
  <si>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</si>
  <si>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</si>
  <si>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</si>
  <si>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</si>
  <si>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</si>
  <si>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</si>
  <si>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</si>
  <si>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</si>
  <si>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</si>
  <si>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</si>
  <si>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</si>
  <si>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</si>
  <si>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</si>
  <si>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</si>
  <si>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</si>
  <si>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</si>
  <si>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</si>
  <si>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</si>
  <si>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</si>
  <si>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</si>
  <si>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</si>
  <si>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</si>
  <si>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</si>
  <si>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</si>
  <si>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</si>
  <si>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</si>
  <si>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</si>
  <si>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</si>
  <si>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</si>
  <si>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</si>
  <si>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</si>
  <si>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</si>
  <si>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</si>
  <si>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</si>
  <si>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</si>
  <si>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</si>
  <si>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</si>
  <si>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</si>
  <si>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</si>
  <si>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</si>
  <si>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</si>
  <si>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</si>
  <si>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</si>
  <si>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</si>
  <si>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</si>
  <si>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</si>
  <si>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</si>
  <si>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</si>
  <si>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</si>
  <si>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</si>
  <si>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</si>
  <si>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</si>
  <si>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</si>
  <si>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</si>
  <si>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</si>
  <si>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</si>
  <si>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</si>
  <si>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</si>
  <si>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</si>
  <si>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</si>
  <si>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</si>
  <si>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</si>
  <si>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</si>
  <si>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</si>
  <si>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</si>
  <si>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</si>
  <si>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</si>
  <si>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</si>
  <si>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</si>
  <si>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</si>
  <si>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</si>
  <si>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</si>
  <si>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</si>
  <si>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</si>
  <si>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</si>
  <si>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</si>
  <si>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</si>
  <si>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</si>
  <si>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</si>
  <si>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</si>
  <si>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</si>
  <si>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</si>
  <si>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</si>
  <si>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</si>
  <si>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</si>
  <si>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</si>
  <si>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</si>
  <si>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</si>
  <si>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</si>
  <si>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</si>
  <si>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</si>
  <si>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</si>
  <si>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</si>
  <si>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</si>
  <si>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</si>
  <si>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</si>
  <si>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</si>
  <si>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</si>
  <si>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</si>
  <si>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</si>
  <si>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</si>
  <si>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</si>
  <si>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</si>
  <si>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</si>
  <si>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</si>
  <si>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</si>
  <si>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</si>
  <si>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</si>
  <si>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</si>
  <si>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</si>
  <si>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</si>
  <si>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</si>
  <si>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</si>
  <si>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</si>
  <si>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</si>
  <si>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</si>
  <si>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</si>
  <si>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</si>
  <si>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</si>
  <si>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</si>
  <si>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</si>
  <si>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</si>
  <si>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</si>
  <si>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</si>
  <si>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</si>
  <si>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</si>
  <si>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</si>
  <si>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</si>
  <si>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</si>
  <si>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</si>
  <si>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</si>
  <si>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</si>
  <si>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</si>
  <si>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</si>
  <si>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</si>
  <si>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</si>
  <si>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</si>
  <si>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</si>
  <si>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</si>
  <si>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</si>
  <si>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</si>
  <si>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</si>
  <si>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</si>
  <si>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</si>
  <si>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</si>
  <si>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</si>
  <si>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</si>
  <si>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</si>
  <si>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</si>
  <si>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</si>
  <si>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</si>
  <si>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</si>
  <si>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</si>
  <si>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</si>
  <si>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</si>
  <si>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</si>
  <si>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</si>
  <si>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</si>
  <si>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</si>
  <si>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</si>
  <si>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</si>
  <si>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</si>
  <si>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</si>
  <si>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</si>
  <si>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</si>
  <si>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</si>
  <si>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</si>
  <si>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</si>
  <si>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</si>
  <si>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</si>
  <si>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</si>
  <si>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</si>
  <si>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</si>
  <si>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</si>
  <si>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</si>
  <si>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</si>
  <si>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</si>
  <si>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</si>
  <si>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</si>
  <si>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</si>
  <si>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</si>
  <si>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</si>
  <si>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</si>
  <si>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</si>
  <si>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</si>
  <si>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</si>
  <si>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</si>
  <si>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</si>
  <si>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</si>
  <si>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</si>
  <si>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</si>
  <si>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</si>
  <si>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</si>
  <si>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</si>
  <si>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</si>
  <si>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</si>
  <si>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</si>
  <si>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</si>
  <si>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</si>
  <si>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</si>
  <si>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</si>
  <si>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</si>
  <si>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</si>
  <si>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</si>
  <si>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</si>
  <si>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</si>
  <si>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</si>
  <si>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</si>
  <si>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</si>
  <si>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</si>
  <si>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</si>
  <si>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</si>
  <si>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</si>
  <si>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</si>
  <si>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</si>
  <si>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</si>
  <si>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</si>
  <si>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</si>
  <si>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</si>
  <si>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</si>
  <si>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</si>
  <si>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</si>
  <si>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</si>
  <si>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</si>
  <si>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</si>
  <si>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</si>
  <si>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</si>
  <si>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</si>
  <si>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</si>
  <si>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</si>
  <si>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</si>
  <si>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</si>
  <si>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</si>
  <si>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</si>
  <si>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</si>
  <si>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</si>
  <si>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</si>
  <si>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</si>
  <si>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</si>
  <si>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</si>
  <si>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</si>
  <si>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</si>
  <si>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</si>
  <si>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</si>
  <si>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</si>
  <si>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</si>
  <si>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</si>
  <si>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</si>
  <si>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</si>
  <si>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</si>
  <si>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</si>
  <si>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</si>
  <si>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</si>
  <si>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</si>
  <si>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</si>
  <si>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</si>
  <si>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</si>
  <si>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</si>
  <si>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</si>
  <si>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</si>
  <si>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</si>
  <si>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</si>
  <si>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</si>
  <si>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</si>
  <si>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</si>
  <si>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</si>
  <si>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</si>
  <si>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</si>
  <si>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</si>
  <si>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</si>
  <si>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</si>
  <si>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</si>
  <si>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</si>
  <si>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</si>
  <si>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</si>
  <si>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</si>
  <si>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</si>
  <si>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</si>
  <si>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</si>
  <si>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</si>
  <si>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</si>
  <si>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</si>
  <si>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</si>
  <si>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</si>
  <si>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</si>
  <si>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</si>
  <si>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</si>
  <si>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</si>
  <si>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</si>
  <si>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</si>
  <si>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</si>
  <si>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</si>
  <si>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</si>
  <si>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</si>
  <si>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</si>
  <si>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</si>
  <si>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</si>
  <si>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</si>
  <si>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</si>
  <si>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</si>
  <si>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</si>
  <si>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C</t>
  </si>
  <si>
    <t>Longlevens Infants &amp; Junior School</t>
  </si>
  <si>
    <t>Amberley Parochial School academy from 0/06/2023</t>
  </si>
  <si>
    <t>Avebibg Primary academy from 01/09/2023</t>
  </si>
  <si>
    <t>Newnham St. Peter's Church of England Primary School academy from 01/10/2023</t>
  </si>
  <si>
    <t>Callowell Primary School academy from 01/07/2023</t>
  </si>
  <si>
    <t>St. Mary's Church of England Primary School (Tetbury) academy from 01/06/2023</t>
  </si>
  <si>
    <t>Tirlebrook Primary School from 01/04/2025 NON CHQ book school</t>
  </si>
  <si>
    <t>Widden Primary School and Family Centre academy from 01/09/2023</t>
  </si>
  <si>
    <t>F School Funding - 2024-25 - Content Type (sharepoint.com)</t>
  </si>
  <si>
    <t>3093</t>
  </si>
  <si>
    <t>BALANCES BROUGHT FORWARD FROM 2024-2025</t>
  </si>
  <si>
    <t xml:space="preserve">2024/25 Actuals
£ </t>
  </si>
  <si>
    <t>Original 2025/26 GBP
£</t>
  </si>
  <si>
    <t>BALANCES CARRIED FORWARD TO 2025-2026</t>
  </si>
  <si>
    <t>ACTUAL SAP BALANCE CARRIED FORWARD to 2025-26</t>
  </si>
  <si>
    <t>GBP BALANCe CFW 73037</t>
  </si>
  <si>
    <t>GBP BALANCe CFW 73056</t>
  </si>
  <si>
    <t>GBP BALANCe CFW 73038</t>
  </si>
  <si>
    <t>GBP BALANCe CFW 73039</t>
  </si>
  <si>
    <t>GBP BALANCe CFW 73041</t>
  </si>
  <si>
    <t>GBP BALANCe CFW 73042</t>
  </si>
  <si>
    <t>GBP BALANCe CFW to 2025/26</t>
  </si>
  <si>
    <t xml:space="preserve">   Fiscal Year                     2025</t>
  </si>
  <si>
    <t>Backdated Pension Employee Contributions</t>
  </si>
  <si>
    <t>Sherborne Church of England Primary School academy 01/02/25</t>
  </si>
  <si>
    <t>Down Ampney Church of England Primary School academy 01/01/2025</t>
  </si>
  <si>
    <t>St. Andrew's Church of England Primary School academy 01/04/2025</t>
  </si>
  <si>
    <t>3327</t>
  </si>
  <si>
    <t>Northway Infant School academy 01/09/24</t>
  </si>
  <si>
    <t>St Thomas More academy 01/01/2024</t>
  </si>
  <si>
    <t>2102</t>
  </si>
  <si>
    <t>2042</t>
  </si>
  <si>
    <t>Blakeney Primary School</t>
  </si>
  <si>
    <t>Grand Total</t>
  </si>
  <si>
    <t>Re_ Monthly GBP report 2025-26.msg</t>
  </si>
  <si>
    <t xml:space="preserve">CSBG Spec school Budget </t>
  </si>
  <si>
    <t>S_ALR_87013612-Area:Cost Centers</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</si>
  <si>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</si>
  <si>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</si>
  <si>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</si>
  <si>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</si>
  <si>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</si>
  <si>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</si>
  <si>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</si>
  <si>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Employee Medical - Flu Jab</t>
  </si>
  <si>
    <t>ICT Services Internal Charge</t>
  </si>
  <si>
    <t>Removed</t>
  </si>
  <si>
    <t>School Rev Grants for Spec &amp; AP</t>
  </si>
  <si>
    <t>National Insurance Grant</t>
  </si>
  <si>
    <t>Transport Recharges</t>
  </si>
  <si>
    <t>Universal Infant Free School Meals (UIFSM)</t>
  </si>
  <si>
    <t>Pe And Sports Grant</t>
  </si>
  <si>
    <t>Moved to I 06</t>
  </si>
  <si>
    <t>Moved to I 01</t>
  </si>
  <si>
    <t>Cost of Broadband, ISDN, ADSL or Other Dedicated Phone Lines</t>
  </si>
  <si>
    <t>Curriculum Computer related costs (inc educational software)</t>
  </si>
  <si>
    <t>Emploee Unalloc</t>
  </si>
  <si>
    <t>Insurance Claim Payment (Ext)</t>
  </si>
  <si>
    <t>INSURANCE PREMIUM (Non GCC Supply Service)</t>
  </si>
  <si>
    <t>2025/26: Central School Actuals in CFR Format
1st April - 31st March 2026</t>
  </si>
  <si>
    <t xml:space="preserve"> </t>
  </si>
  <si>
    <t xml:space="preserve">   Date:                           20.04.2026</t>
  </si>
  <si>
    <t xml:space="preserve">   To Period                        13</t>
  </si>
  <si>
    <t>Actual to Period 13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</si>
</sst>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
      <sz val="11"/>
      <color rgb="FFFF0000"/>
      <name val="Calibri"/>
      <family val="2"/>
    </font>
    <font>
      <b/>
      <sz val="11"/>
      <color rgb="FFFF0000"/>
      <name val="Calibri"/>
      <family val="2"/>
    </font>
    <font>
      <sz val="12"/>
      <color rgb="FFFF0000"/>
      <name val="Arial"/>
      <family val="2"/>
    </font>
  </fonts>
  <fills count="7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
      <patternFill patternType="solid">
        <fgColor rgb="FFFFFF00"/>
        <bgColor theme="4" tint="0.79998168889431442"/>
      </patternFill>
    </fill>
  </fills>
  <borders count="6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auto="1"/>
      </left>
      <right style="hair">
        <color auto="1"/>
      </right>
      <top style="thin">
        <color auto="1"/>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dotted">
        <color rgb="FF000000"/>
      </left>
      <right style="dotted">
        <color rgb="FF000000"/>
      </right>
      <top style="dotted">
        <color rgb="FF000000"/>
      </top>
      <bottom style="dotted">
        <color rgb="FF000000"/>
      </bottom>
      <diagonal/>
    </border>
  </borders>
  <cellStyleXfs count="370">
    <xf numFmtId="0" fontId="0" fillId="0" borderId="0"/>
    <xf numFmtId="167" fontId="15" fillId="0" borderId="0" applyFont="0" applyFill="0" applyBorder="0" applyAlignment="0" applyProtection="0">
      <alignment horizontal="right"/>
    </xf>
    <xf numFmtId="168" fontId="15" fillId="0" borderId="0">
      <alignment horizontal="right"/>
    </xf>
    <xf numFmtId="169" fontId="16" fillId="0" borderId="0" applyFont="0" applyFill="0" applyBorder="0" applyAlignment="0" applyProtection="0">
      <alignment horizontal="right"/>
    </xf>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169" fontId="16" fillId="0" borderId="0" applyFont="0" applyFill="0" applyBorder="0" applyAlignment="0" applyProtection="0">
      <alignment horizontal="right"/>
    </xf>
    <xf numFmtId="1" fontId="17" fillId="0" borderId="0" applyFont="0" applyFill="0" applyBorder="0" applyAlignment="0" applyProtection="0">
      <alignment horizontal="right"/>
    </xf>
    <xf numFmtId="166" fontId="16" fillId="0" borderId="0" applyFont="0" applyFill="0" applyBorder="0" applyAlignment="0" applyProtection="0">
      <alignment horizontal="right"/>
    </xf>
    <xf numFmtId="38" fontId="17" fillId="0" borderId="0" applyFont="0" applyFill="0" applyBorder="0" applyAlignment="0" applyProtection="0">
      <alignment horizontal="right"/>
    </xf>
    <xf numFmtId="38" fontId="16" fillId="0" borderId="0" applyFont="0" applyFill="0" applyBorder="0" applyAlignment="0" applyProtection="0">
      <alignment horizontal="right"/>
    </xf>
    <xf numFmtId="170" fontId="18" fillId="0" borderId="0" applyFont="0" applyFill="0" applyBorder="0" applyAlignment="0" applyProtection="0">
      <alignment horizontal="left"/>
    </xf>
    <xf numFmtId="40" fontId="16" fillId="0" borderId="0" applyFont="0" applyFill="0" applyBorder="0" applyAlignment="0" applyProtection="0">
      <alignment horizontal="right"/>
    </xf>
    <xf numFmtId="40" fontId="17" fillId="0" borderId="0" applyFont="0" applyFill="0" applyBorder="0" applyAlignment="0" applyProtection="0">
      <alignment horizontal="right"/>
    </xf>
    <xf numFmtId="171" fontId="18" fillId="0" borderId="0" applyFont="0" applyFill="0" applyBorder="0" applyAlignment="0" applyProtection="0">
      <alignment horizontal="right"/>
    </xf>
    <xf numFmtId="38" fontId="17"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 fontId="17" fillId="0" borderId="0" applyFont="0" applyFill="0" applyBorder="0" applyAlignment="0" applyProtection="0">
      <alignment horizontal="right"/>
    </xf>
    <xf numFmtId="173" fontId="16" fillId="0" borderId="0" applyFont="0" applyFill="0" applyBorder="0" applyAlignment="0" applyProtection="0">
      <alignment horizontal="right"/>
    </xf>
    <xf numFmtId="173" fontId="16" fillId="0" borderId="0" applyFont="0" applyFill="0" applyBorder="0" applyAlignment="0" applyProtection="0">
      <alignment horizontal="right"/>
    </xf>
    <xf numFmtId="1" fontId="17" fillId="0" borderId="0" applyFont="0" applyFill="0" applyBorder="0" applyAlignment="0" applyProtection="0">
      <alignment horizontal="right"/>
    </xf>
    <xf numFmtId="43" fontId="12" fillId="0" borderId="0" applyFont="0" applyFill="0" applyBorder="0" applyAlignment="0" applyProtection="0"/>
    <xf numFmtId="43" fontId="18"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8" fillId="0" borderId="0" applyFont="0" applyFill="0" applyBorder="0" applyAlignment="0" applyProtection="0"/>
    <xf numFmtId="43" fontId="19"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12"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44" fontId="12" fillId="0" borderId="0" applyFont="0" applyFill="0" applyBorder="0" applyAlignment="0" applyProtection="0"/>
    <xf numFmtId="174" fontId="21" fillId="0" borderId="0" applyFont="0" applyFill="0" applyBorder="0" applyProtection="0">
      <alignment horizontal="right"/>
    </xf>
    <xf numFmtId="15" fontId="17" fillId="0" borderId="0" applyFont="0" applyFill="0" applyBorder="0" applyAlignment="0" applyProtection="0">
      <alignment horizontal="right"/>
    </xf>
    <xf numFmtId="15" fontId="16" fillId="0" borderId="0" applyFont="0" applyFill="0" applyBorder="0" applyAlignment="0" applyProtection="0">
      <alignment horizontal="right"/>
    </xf>
    <xf numFmtId="38" fontId="22" fillId="0" borderId="0" applyFill="0" applyBorder="0" applyProtection="0">
      <alignment horizontal="left"/>
    </xf>
    <xf numFmtId="13" fontId="16" fillId="0" borderId="0" applyFont="0" applyFill="0" applyBorder="0" applyAlignment="0" applyProtection="0">
      <alignment horizontal="right"/>
    </xf>
    <xf numFmtId="0" fontId="23" fillId="0" borderId="0">
      <alignment horizontal="center" vertical="center" wrapText="1"/>
    </xf>
    <xf numFmtId="0" fontId="13" fillId="0" borderId="1">
      <alignment horizontal="center" vertical="center" wrapText="1"/>
    </xf>
    <xf numFmtId="0" fontId="23" fillId="0" borderId="0">
      <alignment horizontal="left" wrapText="1"/>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3" fillId="0" borderId="0">
      <alignment horizontal="left" vertical="center"/>
    </xf>
    <xf numFmtId="0" fontId="13" fillId="0" borderId="0">
      <alignment horizontal="center" vertical="center"/>
    </xf>
    <xf numFmtId="17" fontId="16" fillId="0" borderId="0" applyFont="0" applyFill="0" applyBorder="0" applyAlignment="0" applyProtection="0">
      <alignment horizontal="right"/>
    </xf>
    <xf numFmtId="0" fontId="12" fillId="0" borderId="0"/>
    <xf numFmtId="0" fontId="18" fillId="0" borderId="0"/>
    <xf numFmtId="0" fontId="12" fillId="0" borderId="0"/>
    <xf numFmtId="0" fontId="20" fillId="0" borderId="0"/>
    <xf numFmtId="0" fontId="12" fillId="0" borderId="0"/>
    <xf numFmtId="0" fontId="28" fillId="0" borderId="0"/>
    <xf numFmtId="0" fontId="12" fillId="0" borderId="0"/>
    <xf numFmtId="0" fontId="21" fillId="0" borderId="0" applyFill="0" applyProtection="0">
      <alignment horizontal="left"/>
    </xf>
    <xf numFmtId="38" fontId="15" fillId="0" borderId="0">
      <alignment horizontal="right"/>
    </xf>
    <xf numFmtId="0" fontId="11" fillId="0" borderId="0"/>
    <xf numFmtId="0" fontId="12" fillId="0" borderId="0"/>
    <xf numFmtId="0" fontId="12" fillId="0" borderId="0"/>
    <xf numFmtId="3" fontId="13" fillId="0" borderId="0">
      <alignment horizontal="right"/>
    </xf>
    <xf numFmtId="9" fontId="28" fillId="0" borderId="0" applyFont="0" applyFill="0" applyBorder="0" applyAlignment="0" applyProtection="0"/>
    <xf numFmtId="9" fontId="17" fillId="0" borderId="0" applyFont="0" applyFill="0" applyBorder="0" applyAlignment="0" applyProtection="0">
      <alignment horizontal="right"/>
    </xf>
    <xf numFmtId="172" fontId="17" fillId="0" borderId="0" applyFont="0" applyFill="0" applyBorder="0" applyAlignment="0" applyProtection="0">
      <alignment horizontal="right"/>
    </xf>
    <xf numFmtId="10" fontId="17" fillId="0" borderId="0" applyFont="0" applyFill="0" applyBorder="0" applyAlignment="0" applyProtection="0">
      <alignment horizontal="right"/>
    </xf>
    <xf numFmtId="9" fontId="12" fillId="0" borderId="0" applyFont="0" applyFill="0" applyBorder="0" applyAlignment="0" applyProtection="0"/>
    <xf numFmtId="9" fontId="1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19" fillId="0" borderId="0" applyFont="0" applyFill="0" applyBorder="0" applyAlignment="0" applyProtection="0"/>
    <xf numFmtId="10" fontId="15" fillId="0" borderId="0" applyNumberFormat="0" applyFill="0" applyBorder="0" applyAlignment="0" applyProtection="0">
      <alignment horizontal="right"/>
    </xf>
    <xf numFmtId="38" fontId="16" fillId="0" borderId="0" applyNumberFormat="0" applyFill="0" applyBorder="0" applyAlignment="0" applyProtection="0">
      <alignment horizontal="left"/>
    </xf>
    <xf numFmtId="0" fontId="5" fillId="0" borderId="0"/>
    <xf numFmtId="0" fontId="31" fillId="0" borderId="0"/>
    <xf numFmtId="43" fontId="12" fillId="0" borderId="0" applyFont="0" applyFill="0" applyBorder="0" applyAlignment="0" applyProtection="0"/>
    <xf numFmtId="43" fontId="5" fillId="0" borderId="0" applyFont="0" applyFill="0" applyBorder="0" applyAlignment="0" applyProtection="0"/>
    <xf numFmtId="0" fontId="5" fillId="0" borderId="0"/>
    <xf numFmtId="0" fontId="47" fillId="0" borderId="0"/>
    <xf numFmtId="0" fontId="12" fillId="0" borderId="0"/>
    <xf numFmtId="0" fontId="12" fillId="0" borderId="0"/>
    <xf numFmtId="0" fontId="12" fillId="0" borderId="0"/>
    <xf numFmtId="0" fontId="4" fillId="27"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6" fillId="29" borderId="0" applyNumberFormat="0" applyBorder="0" applyAlignment="0" applyProtection="0"/>
    <xf numFmtId="0" fontId="46" fillId="33" borderId="0" applyNumberFormat="0" applyBorder="0" applyAlignment="0" applyProtection="0"/>
    <xf numFmtId="0" fontId="46" fillId="37" borderId="0" applyNumberFormat="0" applyBorder="0" applyAlignment="0" applyProtection="0"/>
    <xf numFmtId="0" fontId="46" fillId="41" borderId="0" applyNumberFormat="0" applyBorder="0" applyAlignment="0" applyProtection="0"/>
    <xf numFmtId="0" fontId="46" fillId="45" borderId="0" applyNumberFormat="0" applyBorder="0" applyAlignment="0" applyProtection="0"/>
    <xf numFmtId="0" fontId="46" fillId="49" borderId="0" applyNumberFormat="0" applyBorder="0" applyAlignment="0" applyProtection="0"/>
    <xf numFmtId="0" fontId="46" fillId="26" borderId="0" applyNumberFormat="0" applyBorder="0" applyAlignment="0" applyProtection="0"/>
    <xf numFmtId="0" fontId="46" fillId="30" borderId="0" applyNumberFormat="0" applyBorder="0" applyAlignment="0" applyProtection="0"/>
    <xf numFmtId="0" fontId="46" fillId="34" borderId="0" applyNumberFormat="0" applyBorder="0" applyAlignment="0" applyProtection="0"/>
    <xf numFmtId="0" fontId="46" fillId="38" borderId="0" applyNumberFormat="0" applyBorder="0" applyAlignment="0" applyProtection="0"/>
    <xf numFmtId="0" fontId="46" fillId="42" borderId="0" applyNumberFormat="0" applyBorder="0" applyAlignment="0" applyProtection="0"/>
    <xf numFmtId="0" fontId="46" fillId="46" borderId="0" applyNumberFormat="0" applyBorder="0" applyAlignment="0" applyProtection="0"/>
    <xf numFmtId="0" fontId="36" fillId="20" borderId="0" applyNumberFormat="0" applyBorder="0" applyAlignment="0" applyProtection="0"/>
    <xf numFmtId="0" fontId="40" fillId="23" borderId="25" applyNumberFormat="0" applyAlignment="0" applyProtection="0"/>
    <xf numFmtId="0" fontId="42" fillId="24" borderId="28" applyNumberFormat="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9" fillId="0" borderId="0" applyFont="0" applyFill="0" applyBorder="0" applyAlignment="0" applyProtection="0"/>
    <xf numFmtId="178"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1"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8" fillId="0" borderId="0" applyFont="0" applyFill="0" applyBorder="0" applyAlignment="0" applyProtection="0"/>
    <xf numFmtId="44" fontId="52" fillId="0" borderId="0" applyFont="0" applyFill="0" applyBorder="0" applyAlignment="0" applyProtection="0"/>
    <xf numFmtId="0" fontId="44" fillId="0" borderId="0" applyNumberFormat="0" applyFill="0" applyBorder="0" applyAlignment="0" applyProtection="0"/>
    <xf numFmtId="0" fontId="53" fillId="19" borderId="0" applyNumberFormat="0" applyBorder="0" applyAlignment="0" applyProtection="0"/>
    <xf numFmtId="0" fontId="35" fillId="19" borderId="0" applyNumberFormat="0" applyBorder="0" applyAlignment="0" applyProtection="0"/>
    <xf numFmtId="0" fontId="32" fillId="0" borderId="22" applyNumberFormat="0" applyFill="0" applyAlignment="0" applyProtection="0"/>
    <xf numFmtId="0" fontId="33" fillId="0" borderId="23" applyNumberFormat="0" applyFill="0" applyAlignment="0" applyProtection="0"/>
    <xf numFmtId="0" fontId="34" fillId="0" borderId="24" applyNumberFormat="0" applyFill="0" applyAlignment="0" applyProtection="0"/>
    <xf numFmtId="0" fontId="34" fillId="0" borderId="0" applyNumberFormat="0" applyFill="0" applyBorder="0" applyAlignment="0" applyProtection="0"/>
    <xf numFmtId="0" fontId="54" fillId="0" borderId="0" applyNumberFormat="0" applyFill="0" applyBorder="0" applyAlignment="0" applyProtection="0">
      <alignment vertical="top"/>
      <protection locked="0"/>
    </xf>
    <xf numFmtId="0" fontId="38" fillId="22" borderId="25" applyNumberFormat="0" applyAlignment="0" applyProtection="0"/>
    <xf numFmtId="0" fontId="41" fillId="0" borderId="27" applyNumberFormat="0" applyFill="0" applyAlignment="0" applyProtection="0"/>
    <xf numFmtId="0" fontId="37" fillId="21" borderId="0" applyNumberFormat="0" applyBorder="0" applyAlignment="0" applyProtection="0"/>
    <xf numFmtId="0" fontId="49" fillId="0" borderId="0"/>
    <xf numFmtId="0" fontId="51" fillId="0" borderId="0"/>
    <xf numFmtId="0" fontId="55" fillId="0" borderId="0"/>
    <xf numFmtId="0" fontId="51" fillId="0" borderId="0"/>
    <xf numFmtId="0" fontId="51" fillId="0" borderId="0"/>
    <xf numFmtId="0" fontId="51" fillId="0" borderId="0"/>
    <xf numFmtId="0" fontId="12" fillId="0" borderId="0"/>
    <xf numFmtId="0" fontId="4" fillId="0" borderId="0"/>
    <xf numFmtId="0" fontId="12" fillId="0" borderId="0"/>
    <xf numFmtId="0" fontId="4" fillId="0" borderId="0"/>
    <xf numFmtId="0" fontId="12" fillId="0" borderId="0"/>
    <xf numFmtId="0" fontId="4" fillId="0" borderId="0"/>
    <xf numFmtId="0" fontId="4" fillId="0" borderId="0"/>
    <xf numFmtId="0" fontId="4" fillId="0" borderId="0"/>
    <xf numFmtId="0" fontId="4" fillId="0" borderId="0"/>
    <xf numFmtId="0" fontId="52" fillId="0" borderId="0"/>
    <xf numFmtId="0" fontId="18" fillId="0" borderId="0"/>
    <xf numFmtId="0" fontId="51" fillId="0" borderId="0"/>
    <xf numFmtId="0" fontId="52" fillId="0" borderId="0"/>
    <xf numFmtId="0" fontId="52" fillId="0" borderId="0"/>
    <xf numFmtId="0" fontId="12" fillId="0" borderId="0"/>
    <xf numFmtId="0" fontId="4" fillId="0" borderId="0"/>
    <xf numFmtId="0" fontId="52" fillId="0" borderId="0"/>
    <xf numFmtId="0" fontId="56" fillId="0" borderId="0"/>
    <xf numFmtId="0" fontId="52" fillId="0" borderId="0"/>
    <xf numFmtId="0" fontId="12" fillId="0" borderId="0"/>
    <xf numFmtId="0" fontId="4" fillId="0" borderId="0"/>
    <xf numFmtId="0" fontId="4" fillId="0" borderId="0"/>
    <xf numFmtId="0" fontId="24" fillId="0" borderId="0"/>
    <xf numFmtId="0" fontId="12" fillId="0" borderId="0"/>
    <xf numFmtId="0" fontId="4" fillId="0" borderId="0"/>
    <xf numFmtId="0" fontId="4" fillId="0" borderId="0"/>
    <xf numFmtId="0" fontId="4" fillId="0" borderId="0"/>
    <xf numFmtId="0" fontId="12" fillId="0" borderId="0"/>
    <xf numFmtId="0" fontId="52" fillId="0" borderId="0"/>
    <xf numFmtId="0" fontId="4" fillId="0" borderId="0"/>
    <xf numFmtId="0" fontId="52" fillId="0" borderId="0"/>
    <xf numFmtId="0" fontId="4" fillId="25" borderId="29" applyNumberFormat="0" applyFont="0" applyAlignment="0" applyProtection="0"/>
    <xf numFmtId="0" fontId="39" fillId="23" borderId="26" applyNumberFormat="0" applyAlignment="0" applyProtection="0"/>
    <xf numFmtId="9" fontId="48" fillId="0" borderId="0" applyFont="0" applyFill="0" applyBorder="0" applyAlignment="0" applyProtection="0"/>
    <xf numFmtId="9" fontId="4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57"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2" fillId="0" borderId="0"/>
    <xf numFmtId="0" fontId="45" fillId="0" borderId="30" applyNumberFormat="0" applyFill="0" applyAlignment="0" applyProtection="0"/>
    <xf numFmtId="0" fontId="43" fillId="0" borderId="0" applyNumberFormat="0" applyFill="0" applyBorder="0" applyAlignment="0" applyProtection="0"/>
    <xf numFmtId="0" fontId="11" fillId="0" borderId="0"/>
    <xf numFmtId="0" fontId="12" fillId="0" borderId="0"/>
    <xf numFmtId="0" fontId="12" fillId="0" borderId="0"/>
    <xf numFmtId="171" fontId="18" fillId="0" borderId="0" applyFont="0" applyFill="0" applyBorder="0" applyAlignment="0" applyProtection="0">
      <alignment horizontal="right"/>
    </xf>
    <xf numFmtId="43" fontId="12" fillId="0" borderId="0" applyFont="0" applyFill="0" applyBorder="0" applyAlignment="0" applyProtection="0"/>
    <xf numFmtId="43" fontId="12" fillId="0" borderId="0" applyFont="0" applyFill="0" applyBorder="0" applyAlignment="0" applyProtection="0"/>
    <xf numFmtId="43" fontId="5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52"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3" fillId="0" borderId="0"/>
    <xf numFmtId="0" fontId="3" fillId="0" borderId="0"/>
    <xf numFmtId="0" fontId="12" fillId="0" borderId="0"/>
    <xf numFmtId="0" fontId="52" fillId="0" borderId="0"/>
    <xf numFmtId="0" fontId="47" fillId="0" borderId="0"/>
    <xf numFmtId="0" fontId="12" fillId="0" borderId="0"/>
    <xf numFmtId="0" fontId="3" fillId="0" borderId="0"/>
    <xf numFmtId="0" fontId="3"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49" fillId="0" borderId="0"/>
    <xf numFmtId="0" fontId="12" fillId="0" borderId="0"/>
    <xf numFmtId="0" fontId="12" fillId="0" borderId="0"/>
    <xf numFmtId="0" fontId="51" fillId="0" borderId="0"/>
    <xf numFmtId="0" fontId="12" fillId="0" borderId="0"/>
    <xf numFmtId="0" fontId="3" fillId="0" borderId="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52" fillId="0" borderId="0" applyFont="0" applyFill="0" applyBorder="0" applyAlignment="0" applyProtection="0"/>
    <xf numFmtId="9" fontId="12" fillId="0" borderId="0" applyFont="0" applyFill="0" applyBorder="0" applyAlignment="0" applyProtection="0"/>
    <xf numFmtId="38" fontId="16" fillId="0" borderId="0" applyNumberFormat="0" applyFill="0" applyBorder="0" applyAlignment="0" applyProtection="0">
      <alignment horizontal="left"/>
    </xf>
    <xf numFmtId="38" fontId="25" fillId="0" borderId="1" applyFill="0" applyProtection="0">
      <alignment horizontal="right" vertical="center"/>
    </xf>
    <xf numFmtId="9" fontId="1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71" fillId="0" borderId="0" applyNumberFormat="0" applyFill="0" applyBorder="0" applyAlignment="0" applyProtection="0"/>
    <xf numFmtId="0" fontId="52" fillId="0" borderId="0"/>
    <xf numFmtId="0" fontId="11" fillId="0" borderId="0"/>
    <xf numFmtId="6" fontId="17" fillId="0" borderId="0" applyFont="0" applyFill="0" applyBorder="0" applyAlignment="0" applyProtection="0">
      <alignment horizontal="right"/>
    </xf>
    <xf numFmtId="8" fontId="17" fillId="0" borderId="0" applyFont="0" applyFill="0" applyBorder="0" applyAlignment="0" applyProtection="0">
      <alignment horizontal="right"/>
    </xf>
    <xf numFmtId="43"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20" fillId="0" borderId="0" applyFont="0" applyFill="0" applyBorder="0" applyAlignment="0" applyProtection="0"/>
    <xf numFmtId="9" fontId="1" fillId="0" borderId="0" applyFont="0" applyFill="0" applyBorder="0" applyAlignment="0" applyProtection="0"/>
  </cellStyleXfs>
  <cellXfs count="457">
    <xf numFmtId="0" fontId="0" fillId="0" borderId="0" xfId="0"/>
    <xf numFmtId="0" fontId="0" fillId="2" borderId="0" xfId="0" applyFill="1"/>
    <xf numFmtId="0" fontId="7" fillId="0" borderId="2" xfId="0" applyFont="1" applyBorder="1" applyAlignment="1">
      <alignment horizontal="center" vertical="center" wrapText="1"/>
    </xf>
    <xf numFmtId="0" fontId="8" fillId="3" borderId="2" xfId="0" applyFont="1" applyFill="1" applyBorder="1" applyAlignment="1">
      <alignment horizontal="center" vertical="center" wrapText="1"/>
    </xf>
    <xf numFmtId="0" fontId="9" fillId="4" borderId="3" xfId="0" applyFont="1" applyFill="1" applyBorder="1" applyAlignment="1">
      <alignment horizontal="center" vertical="center"/>
    </xf>
    <xf numFmtId="0" fontId="10" fillId="4" borderId="3" xfId="0" applyFont="1" applyFill="1" applyBorder="1" applyAlignment="1">
      <alignment horizontal="left" vertical="center"/>
    </xf>
    <xf numFmtId="0" fontId="10" fillId="4" borderId="4" xfId="0" applyFont="1" applyFill="1" applyBorder="1" applyAlignment="1">
      <alignment horizontal="center" vertical="center"/>
    </xf>
    <xf numFmtId="0" fontId="12" fillId="0" borderId="5" xfId="66" applyFont="1" applyBorder="1"/>
    <xf numFmtId="164" fontId="12" fillId="5" borderId="6" xfId="30" applyNumberFormat="1" applyFill="1" applyBorder="1" applyAlignment="1" applyProtection="1">
      <alignment vertical="top" wrapText="1"/>
    </xf>
    <xf numFmtId="164" fontId="12" fillId="9" borderId="6" xfId="30" applyNumberFormat="1" applyFill="1" applyBorder="1" applyAlignment="1" applyProtection="1">
      <alignment vertical="top" wrapText="1"/>
    </xf>
    <xf numFmtId="0" fontId="29" fillId="2" borderId="0" xfId="0" applyFont="1" applyFill="1"/>
    <xf numFmtId="0" fontId="12"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3" fillId="0" borderId="0" xfId="0" applyFont="1" applyAlignment="1">
      <alignment horizontal="center" vertical="center" wrapText="1"/>
    </xf>
    <xf numFmtId="0" fontId="9" fillId="0" borderId="11" xfId="0" applyFont="1" applyBorder="1" applyAlignment="1">
      <alignment horizontal="right" vertical="top" wrapText="1"/>
    </xf>
    <xf numFmtId="164" fontId="9" fillId="5" borderId="2" xfId="30" applyNumberFormat="1" applyFont="1" applyFill="1" applyBorder="1" applyAlignment="1" applyProtection="1">
      <alignment vertical="top" wrapText="1"/>
    </xf>
    <xf numFmtId="164" fontId="9" fillId="9" borderId="2" xfId="30" applyNumberFormat="1" applyFont="1" applyFill="1" applyBorder="1" applyAlignment="1" applyProtection="1">
      <alignment vertical="top" wrapText="1"/>
    </xf>
    <xf numFmtId="165" fontId="12" fillId="0" borderId="0" xfId="30" applyNumberFormat="1" applyFill="1" applyBorder="1" applyAlignment="1" applyProtection="1">
      <alignment horizontal="center" vertical="center" wrapText="1"/>
      <protection locked="0"/>
    </xf>
    <xf numFmtId="0" fontId="9" fillId="3" borderId="1" xfId="0" applyFont="1" applyFill="1" applyBorder="1" applyAlignment="1">
      <alignment horizontal="center" vertical="center"/>
    </xf>
    <xf numFmtId="164" fontId="10" fillId="3" borderId="1" xfId="30" applyNumberFormat="1" applyFont="1" applyFill="1" applyBorder="1" applyAlignment="1" applyProtection="1">
      <alignment horizontal="center" vertical="center"/>
    </xf>
    <xf numFmtId="0" fontId="10" fillId="3" borderId="13" xfId="0" applyFont="1" applyFill="1" applyBorder="1" applyAlignment="1">
      <alignment horizontal="center" vertical="center"/>
    </xf>
    <xf numFmtId="0" fontId="0" fillId="0" borderId="5" xfId="0" applyBorder="1" applyAlignment="1">
      <alignment vertical="top" wrapText="1"/>
    </xf>
    <xf numFmtId="0" fontId="12" fillId="2" borderId="5" xfId="0" applyFont="1" applyFill="1" applyBorder="1" applyProtection="1">
      <protection hidden="1"/>
    </xf>
    <xf numFmtId="0" fontId="12" fillId="2" borderId="6" xfId="0" applyFont="1" applyFill="1" applyBorder="1" applyProtection="1">
      <protection hidden="1"/>
    </xf>
    <xf numFmtId="0" fontId="0" fillId="0" borderId="15" xfId="0" applyBorder="1" applyAlignment="1">
      <alignment vertical="top" wrapText="1"/>
    </xf>
    <xf numFmtId="0" fontId="12" fillId="2" borderId="8" xfId="0" applyFont="1" applyFill="1" applyBorder="1" applyProtection="1">
      <protection hidden="1"/>
    </xf>
    <xf numFmtId="0" fontId="9" fillId="0" borderId="13" xfId="0" applyFont="1" applyBorder="1" applyAlignment="1">
      <alignment horizontal="right" vertical="top" wrapText="1"/>
    </xf>
    <xf numFmtId="0" fontId="12" fillId="2" borderId="2" xfId="0" applyFont="1" applyFill="1" applyBorder="1" applyProtection="1">
      <protection hidden="1"/>
    </xf>
    <xf numFmtId="166" fontId="10" fillId="3" borderId="13" xfId="70" applyNumberFormat="1" applyFont="1" applyFill="1" applyBorder="1" applyAlignment="1" applyProtection="1">
      <alignment horizontal="center" vertical="center"/>
    </xf>
    <xf numFmtId="0" fontId="9" fillId="0" borderId="1" xfId="0" applyFont="1" applyBorder="1" applyAlignment="1">
      <alignment horizontal="right" vertical="top" wrapText="1"/>
    </xf>
    <xf numFmtId="0" fontId="9" fillId="6" borderId="1" xfId="0" applyFont="1" applyFill="1" applyBorder="1" applyAlignment="1">
      <alignment horizontal="center" vertical="center"/>
    </xf>
    <xf numFmtId="164" fontId="10" fillId="6" borderId="1" xfId="30" applyNumberFormat="1" applyFont="1" applyFill="1" applyBorder="1" applyAlignment="1" applyProtection="1">
      <alignment horizontal="center" vertical="center"/>
    </xf>
    <xf numFmtId="166" fontId="10"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2" fillId="2" borderId="9" xfId="0" applyFont="1" applyFill="1" applyBorder="1" applyProtection="1">
      <protection hidden="1"/>
    </xf>
    <xf numFmtId="0" fontId="9" fillId="4" borderId="1" xfId="0" applyFont="1" applyFill="1" applyBorder="1" applyAlignment="1">
      <alignment horizontal="center" vertical="center"/>
    </xf>
    <xf numFmtId="164" fontId="10" fillId="4" borderId="1" xfId="30" applyNumberFormat="1" applyFont="1" applyFill="1" applyBorder="1" applyAlignment="1" applyProtection="1">
      <alignment horizontal="center" vertical="center"/>
    </xf>
    <xf numFmtId="164" fontId="10" fillId="4" borderId="1" xfId="30" applyNumberFormat="1" applyFont="1" applyFill="1" applyBorder="1" applyAlignment="1" applyProtection="1">
      <alignment horizontal="center" vertical="center"/>
      <protection locked="0"/>
    </xf>
    <xf numFmtId="0" fontId="10" fillId="4" borderId="13" xfId="0" applyFont="1" applyFill="1" applyBorder="1" applyAlignment="1">
      <alignment horizontal="center" vertical="center"/>
    </xf>
    <xf numFmtId="0" fontId="12" fillId="0" borderId="19" xfId="66" applyFont="1" applyBorder="1"/>
    <xf numFmtId="165" fontId="12" fillId="0" borderId="0" xfId="30" applyNumberFormat="1" applyFont="1" applyFill="1" applyBorder="1" applyAlignment="1" applyProtection="1">
      <alignment vertical="top" wrapText="1"/>
      <protection locked="0"/>
    </xf>
    <xf numFmtId="0" fontId="12" fillId="0" borderId="15" xfId="66" applyFont="1" applyBorder="1"/>
    <xf numFmtId="165" fontId="0" fillId="2" borderId="0" xfId="0" applyNumberFormat="1" applyFill="1"/>
    <xf numFmtId="0" fontId="9" fillId="0" borderId="0" xfId="0" applyFont="1"/>
    <xf numFmtId="9" fontId="12" fillId="0" borderId="0" xfId="76" applyFill="1" applyAlignment="1">
      <alignment horizontal="left"/>
    </xf>
    <xf numFmtId="0" fontId="9" fillId="0" borderId="2" xfId="0" applyFont="1" applyBorder="1"/>
    <xf numFmtId="0" fontId="9" fillId="0" borderId="20" xfId="0" quotePrefix="1" applyFont="1" applyBorder="1" applyAlignment="1">
      <alignment horizontal="center"/>
    </xf>
    <xf numFmtId="0" fontId="9" fillId="0" borderId="0" xfId="0" quotePrefix="1" applyFont="1" applyAlignment="1">
      <alignment horizontal="center"/>
    </xf>
    <xf numFmtId="0" fontId="9" fillId="0" borderId="2" xfId="0" quotePrefix="1" applyFont="1" applyBorder="1" applyAlignment="1">
      <alignment horizontal="center"/>
    </xf>
    <xf numFmtId="0" fontId="9" fillId="0" borderId="2" xfId="0" applyFont="1" applyBorder="1" applyAlignment="1">
      <alignment horizontal="center"/>
    </xf>
    <xf numFmtId="0" fontId="8" fillId="10" borderId="0" xfId="0" applyFont="1" applyFill="1"/>
    <xf numFmtId="0" fontId="12" fillId="10" borderId="0" xfId="0" applyFont="1" applyFill="1"/>
    <xf numFmtId="0" fontId="12" fillId="0" borderId="0" xfId="57"/>
    <xf numFmtId="0" fontId="9" fillId="0" borderId="20" xfId="57" applyFont="1" applyBorder="1" applyAlignment="1">
      <alignment horizontal="center"/>
    </xf>
    <xf numFmtId="0" fontId="9" fillId="7" borderId="2" xfId="0" applyFont="1" applyFill="1" applyBorder="1"/>
    <xf numFmtId="0" fontId="12" fillId="0" borderId="0" xfId="0" applyFont="1"/>
    <xf numFmtId="43" fontId="0" fillId="0" borderId="0" xfId="30" applyFont="1"/>
    <xf numFmtId="0" fontId="0" fillId="0" borderId="6" xfId="0" applyBorder="1"/>
    <xf numFmtId="0" fontId="9" fillId="11" borderId="20" xfId="57" applyFont="1" applyFill="1" applyBorder="1"/>
    <xf numFmtId="0" fontId="9" fillId="12" borderId="20" xfId="57" applyFont="1" applyFill="1" applyBorder="1"/>
    <xf numFmtId="0" fontId="9" fillId="13" borderId="20" xfId="57" applyFont="1" applyFill="1" applyBorder="1"/>
    <xf numFmtId="0" fontId="9" fillId="14" borderId="20" xfId="57" applyFont="1" applyFill="1" applyBorder="1"/>
    <xf numFmtId="0" fontId="9" fillId="10" borderId="20" xfId="57" applyFont="1" applyFill="1" applyBorder="1"/>
    <xf numFmtId="43" fontId="9" fillId="0" borderId="2" xfId="30" applyFont="1" applyBorder="1" applyAlignment="1">
      <alignment horizontal="center"/>
    </xf>
    <xf numFmtId="0" fontId="9" fillId="0" borderId="0" xfId="0" applyFont="1" applyAlignment="1">
      <alignment horizontal="center"/>
    </xf>
    <xf numFmtId="0" fontId="0" fillId="0" borderId="0" xfId="0" applyAlignment="1">
      <alignment horizontal="center"/>
    </xf>
    <xf numFmtId="0" fontId="12" fillId="0" borderId="0" xfId="0" applyFont="1" applyAlignment="1">
      <alignment wrapText="1"/>
    </xf>
    <xf numFmtId="0" fontId="12" fillId="0" borderId="0" xfId="0" applyFont="1" applyAlignment="1">
      <alignment vertical="top" wrapText="1"/>
    </xf>
    <xf numFmtId="0" fontId="12" fillId="0" borderId="0" xfId="0" applyFont="1" applyAlignment="1">
      <alignment horizontal="right" vertical="top"/>
    </xf>
    <xf numFmtId="0" fontId="9" fillId="0" borderId="0" xfId="0" applyFont="1" applyAlignment="1">
      <alignment wrapText="1"/>
    </xf>
    <xf numFmtId="0" fontId="9" fillId="0" borderId="0" xfId="0" applyFont="1" applyAlignment="1">
      <alignment horizontal="center" vertical="top"/>
    </xf>
    <xf numFmtId="0" fontId="9" fillId="0" borderId="0" xfId="0" applyFont="1" applyAlignment="1">
      <alignment vertical="top" wrapText="1"/>
    </xf>
    <xf numFmtId="0" fontId="12" fillId="0" borderId="0" xfId="0" applyFont="1" applyAlignment="1">
      <alignment horizontal="right"/>
    </xf>
    <xf numFmtId="43" fontId="9" fillId="15" borderId="0" xfId="30" applyFont="1" applyFill="1" applyAlignment="1">
      <alignment horizontal="center"/>
    </xf>
    <xf numFmtId="0" fontId="12" fillId="0" borderId="6" xfId="0" applyFont="1" applyBorder="1" applyAlignment="1">
      <alignment vertical="top" wrapText="1"/>
    </xf>
    <xf numFmtId="164" fontId="0" fillId="2" borderId="0" xfId="0" applyNumberFormat="1" applyFill="1"/>
    <xf numFmtId="164" fontId="9" fillId="0" borderId="0" xfId="30" applyNumberFormat="1" applyFont="1" applyFill="1" applyBorder="1" applyAlignment="1" applyProtection="1">
      <alignment vertical="top" wrapText="1"/>
    </xf>
    <xf numFmtId="0" fontId="9"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9" fillId="0" borderId="2" xfId="0" applyNumberFormat="1" applyFont="1" applyBorder="1" applyAlignment="1">
      <alignment horizontal="center" vertical="center"/>
    </xf>
    <xf numFmtId="165" fontId="9" fillId="0" borderId="0" xfId="30" applyNumberFormat="1" applyFont="1" applyFill="1" applyBorder="1" applyAlignment="1" applyProtection="1">
      <alignment vertical="top"/>
      <protection locked="0"/>
    </xf>
    <xf numFmtId="176" fontId="9" fillId="0" borderId="2" xfId="0" applyNumberFormat="1" applyFont="1" applyBorder="1"/>
    <xf numFmtId="176" fontId="26" fillId="0" borderId="0" xfId="68" applyNumberFormat="1" applyFont="1" applyAlignment="1">
      <alignment horizontal="center"/>
    </xf>
    <xf numFmtId="38" fontId="9" fillId="0" borderId="0" xfId="0" applyNumberFormat="1" applyFont="1" applyAlignment="1">
      <alignment horizontal="center"/>
    </xf>
    <xf numFmtId="38" fontId="0" fillId="0" borderId="2" xfId="0" applyNumberFormat="1" applyBorder="1"/>
    <xf numFmtId="38" fontId="0" fillId="0" borderId="0" xfId="0" applyNumberFormat="1"/>
    <xf numFmtId="0" fontId="21" fillId="0" borderId="0" xfId="0" applyFont="1"/>
    <xf numFmtId="0" fontId="9" fillId="0" borderId="2" xfId="0" applyFont="1" applyBorder="1" applyAlignment="1">
      <alignment vertical="center" wrapText="1"/>
    </xf>
    <xf numFmtId="38" fontId="9" fillId="16" borderId="2" xfId="0" applyNumberFormat="1" applyFont="1" applyFill="1" applyBorder="1" applyAlignment="1">
      <alignment horizontal="center" vertical="center" wrapText="1"/>
    </xf>
    <xf numFmtId="38" fontId="9" fillId="16" borderId="12" xfId="0" applyNumberFormat="1" applyFont="1" applyFill="1" applyBorder="1" applyAlignment="1">
      <alignment horizontal="center" vertical="center" wrapText="1"/>
    </xf>
    <xf numFmtId="0" fontId="9" fillId="17" borderId="2"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2" borderId="1" xfId="57" applyFont="1" applyFill="1" applyBorder="1" applyAlignment="1">
      <alignment horizontal="center"/>
    </xf>
    <xf numFmtId="0" fontId="12" fillId="12" borderId="13" xfId="57" applyFill="1" applyBorder="1" applyAlignment="1">
      <alignment horizontal="center"/>
    </xf>
    <xf numFmtId="0" fontId="9" fillId="13" borderId="1" xfId="57" applyFont="1" applyFill="1" applyBorder="1" applyAlignment="1">
      <alignment horizontal="center"/>
    </xf>
    <xf numFmtId="0" fontId="9" fillId="13" borderId="13" xfId="57" applyFont="1" applyFill="1" applyBorder="1" applyAlignment="1">
      <alignment horizontal="center"/>
    </xf>
    <xf numFmtId="0" fontId="9" fillId="14" borderId="1" xfId="57" applyFont="1" applyFill="1" applyBorder="1" applyAlignment="1">
      <alignment horizontal="center"/>
    </xf>
    <xf numFmtId="0" fontId="9" fillId="14" borderId="13" xfId="57" applyFont="1" applyFill="1" applyBorder="1" applyAlignment="1">
      <alignment horizontal="center"/>
    </xf>
    <xf numFmtId="0" fontId="9" fillId="11" borderId="1" xfId="57" applyFont="1" applyFill="1" applyBorder="1" applyAlignment="1">
      <alignment horizontal="center"/>
    </xf>
    <xf numFmtId="0" fontId="9" fillId="11" borderId="13" xfId="57" applyFont="1" applyFill="1" applyBorder="1" applyAlignment="1">
      <alignment horizontal="center"/>
    </xf>
    <xf numFmtId="0" fontId="9" fillId="10" borderId="1" xfId="57" applyFont="1" applyFill="1" applyBorder="1" applyAlignment="1">
      <alignment horizontal="center"/>
    </xf>
    <xf numFmtId="0" fontId="9"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2" fillId="0" borderId="0" xfId="0" applyNumberFormat="1" applyFont="1"/>
    <xf numFmtId="0" fontId="52"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60" fillId="0" borderId="0" xfId="43" applyNumberFormat="1" applyFont="1" applyFill="1" applyBorder="1" applyAlignment="1" applyProtection="1">
      <alignment vertical="center"/>
      <protection hidden="1"/>
    </xf>
    <xf numFmtId="0" fontId="12"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9" fillId="51" borderId="2" xfId="30" applyFont="1" applyFill="1" applyBorder="1" applyAlignment="1">
      <alignment horizontal="center" vertical="center"/>
    </xf>
    <xf numFmtId="0" fontId="9" fillId="13" borderId="12" xfId="57" applyFont="1" applyFill="1" applyBorder="1" applyAlignment="1">
      <alignment horizontal="left"/>
    </xf>
    <xf numFmtId="0" fontId="9" fillId="14" borderId="12" xfId="57" applyFont="1" applyFill="1" applyBorder="1" applyAlignment="1">
      <alignment horizontal="left"/>
    </xf>
    <xf numFmtId="0" fontId="9" fillId="11" borderId="12" xfId="57" applyFont="1" applyFill="1" applyBorder="1" applyAlignment="1">
      <alignment horizontal="left"/>
    </xf>
    <xf numFmtId="0" fontId="9" fillId="10" borderId="12" xfId="57" applyFont="1" applyFill="1" applyBorder="1" applyAlignment="1">
      <alignment horizontal="left"/>
    </xf>
    <xf numFmtId="165" fontId="0" fillId="0" borderId="2" xfId="30" applyNumberFormat="1" applyFont="1" applyFill="1" applyBorder="1"/>
    <xf numFmtId="0" fontId="9" fillId="12" borderId="12" xfId="57" applyFont="1" applyFill="1" applyBorder="1" applyAlignment="1">
      <alignment horizontal="left"/>
    </xf>
    <xf numFmtId="164" fontId="12"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2" fillId="17" borderId="0" xfId="0" applyFont="1" applyFill="1" applyAlignment="1">
      <alignment horizontal="left"/>
    </xf>
    <xf numFmtId="0" fontId="0" fillId="17" borderId="0" xfId="0" applyFill="1" applyAlignment="1">
      <alignment horizontal="left"/>
    </xf>
    <xf numFmtId="0" fontId="66" fillId="0" borderId="31" xfId="223" applyFont="1" applyBorder="1" applyAlignment="1">
      <alignment horizontal="center"/>
    </xf>
    <xf numFmtId="0" fontId="66" fillId="0" borderId="31" xfId="223" applyFont="1" applyBorder="1" applyAlignment="1">
      <alignment horizontal="left"/>
    </xf>
    <xf numFmtId="0" fontId="67" fillId="0" borderId="31" xfId="223" applyFont="1" applyBorder="1" applyAlignment="1">
      <alignment horizontal="center"/>
    </xf>
    <xf numFmtId="2" fontId="9" fillId="0" borderId="0" xfId="0" applyNumberFormat="1" applyFont="1"/>
    <xf numFmtId="0" fontId="0" fillId="0" borderId="0" xfId="0" applyAlignment="1">
      <alignment horizontal="right"/>
    </xf>
    <xf numFmtId="49" fontId="9" fillId="0" borderId="0" xfId="0" applyNumberFormat="1" applyFont="1"/>
    <xf numFmtId="0" fontId="0" fillId="18" borderId="0" xfId="0" applyFill="1"/>
    <xf numFmtId="0" fontId="20" fillId="0" borderId="0" xfId="0" applyFont="1"/>
    <xf numFmtId="175" fontId="0" fillId="0" borderId="16" xfId="0" applyNumberFormat="1" applyBorder="1"/>
    <xf numFmtId="180" fontId="0" fillId="0" borderId="16" xfId="0" applyNumberFormat="1" applyBorder="1"/>
    <xf numFmtId="49" fontId="9" fillId="0" borderId="2" xfId="0" applyNumberFormat="1" applyFont="1" applyBorder="1" applyAlignment="1">
      <alignment horizontal="left"/>
    </xf>
    <xf numFmtId="175" fontId="9" fillId="0" borderId="2" xfId="0" applyNumberFormat="1" applyFont="1" applyBorder="1"/>
    <xf numFmtId="180" fontId="9" fillId="0" borderId="2" xfId="0" applyNumberFormat="1" applyFont="1" applyBorder="1"/>
    <xf numFmtId="0" fontId="12" fillId="0" borderId="15" xfId="0" applyFont="1" applyBorder="1" applyAlignment="1">
      <alignment vertical="top" wrapText="1"/>
    </xf>
    <xf numFmtId="1" fontId="7"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4" fillId="0" borderId="0" xfId="0" applyFont="1" applyAlignment="1">
      <alignment horizontal="center"/>
    </xf>
    <xf numFmtId="164" fontId="0" fillId="0" borderId="0" xfId="0" applyNumberFormat="1"/>
    <xf numFmtId="49" fontId="12"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9" fillId="18" borderId="0" xfId="0" applyFont="1" applyFill="1"/>
    <xf numFmtId="164" fontId="0" fillId="18" borderId="0" xfId="0" applyNumberFormat="1" applyFill="1"/>
    <xf numFmtId="1" fontId="0" fillId="0" borderId="0" xfId="0" applyNumberFormat="1"/>
    <xf numFmtId="0" fontId="12" fillId="2" borderId="14" xfId="0" applyFont="1" applyFill="1" applyBorder="1" applyProtection="1">
      <protection hidden="1"/>
    </xf>
    <xf numFmtId="0" fontId="9" fillId="17" borderId="20" xfId="57" applyFont="1" applyFill="1" applyBorder="1"/>
    <xf numFmtId="165" fontId="0" fillId="17" borderId="2" xfId="30" applyNumberFormat="1" applyFont="1" applyFill="1" applyBorder="1"/>
    <xf numFmtId="0" fontId="12" fillId="18" borderId="0" xfId="165" applyFill="1" applyAlignment="1">
      <alignment horizontal="right" vertical="top"/>
    </xf>
    <xf numFmtId="177" fontId="0" fillId="0" borderId="2" xfId="0" applyNumberFormat="1" applyBorder="1"/>
    <xf numFmtId="0" fontId="12" fillId="0" borderId="0" xfId="165" applyAlignment="1">
      <alignment horizontal="left" vertical="top"/>
    </xf>
    <xf numFmtId="0" fontId="8" fillId="3" borderId="13" xfId="0" applyFont="1" applyFill="1" applyBorder="1" applyAlignment="1">
      <alignment horizontal="center" vertical="center" wrapText="1"/>
    </xf>
    <xf numFmtId="175" fontId="0" fillId="56" borderId="16" xfId="0" applyNumberFormat="1" applyFill="1" applyBorder="1"/>
    <xf numFmtId="175" fontId="9" fillId="58" borderId="2" xfId="0" applyNumberFormat="1" applyFont="1" applyFill="1" applyBorder="1"/>
    <xf numFmtId="165" fontId="13" fillId="0" borderId="11" xfId="30" applyNumberFormat="1" applyFont="1" applyFill="1" applyBorder="1" applyAlignment="1" applyProtection="1">
      <alignment horizontal="center" vertical="center" wrapText="1"/>
      <protection locked="0"/>
    </xf>
    <xf numFmtId="165" fontId="13" fillId="0" borderId="0" xfId="30" applyNumberFormat="1" applyFont="1" applyFill="1" applyBorder="1" applyAlignment="1" applyProtection="1">
      <alignment horizontal="center" vertical="center" wrapText="1"/>
      <protection locked="0"/>
    </xf>
    <xf numFmtId="166" fontId="12" fillId="5" borderId="36" xfId="70" applyNumberFormat="1" applyFont="1" applyFill="1" applyBorder="1" applyAlignment="1" applyProtection="1">
      <alignment vertical="top" wrapText="1"/>
    </xf>
    <xf numFmtId="166" fontId="12" fillId="5" borderId="32" xfId="70" applyNumberFormat="1" applyFont="1" applyFill="1" applyBorder="1" applyAlignment="1" applyProtection="1">
      <alignment vertical="top" wrapText="1"/>
    </xf>
    <xf numFmtId="166" fontId="9" fillId="5" borderId="13" xfId="70" applyNumberFormat="1" applyFont="1" applyFill="1" applyBorder="1" applyAlignment="1" applyProtection="1">
      <alignment vertical="top" wrapText="1"/>
    </xf>
    <xf numFmtId="166" fontId="12" fillId="5" borderId="34" xfId="70" applyNumberFormat="1" applyFont="1" applyFill="1" applyBorder="1" applyAlignment="1" applyProtection="1">
      <alignment vertical="top" wrapText="1"/>
    </xf>
    <xf numFmtId="166" fontId="12" fillId="5" borderId="33" xfId="70" applyNumberFormat="1" applyFont="1" applyFill="1" applyBorder="1" applyAlignment="1" applyProtection="1">
      <alignment vertical="top" wrapText="1"/>
    </xf>
    <xf numFmtId="166" fontId="12" fillId="5" borderId="37" xfId="70" applyNumberFormat="1" applyFont="1" applyFill="1" applyBorder="1" applyAlignment="1" applyProtection="1">
      <alignment vertical="top" wrapText="1"/>
    </xf>
    <xf numFmtId="1" fontId="7"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2"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4" fillId="3" borderId="12" xfId="0" applyFont="1" applyFill="1" applyBorder="1" applyAlignment="1">
      <alignment horizontal="center"/>
    </xf>
    <xf numFmtId="164" fontId="10" fillId="3" borderId="13" xfId="30" applyNumberFormat="1" applyFont="1" applyFill="1" applyBorder="1" applyAlignment="1">
      <alignment horizontal="center" vertical="center"/>
    </xf>
    <xf numFmtId="0" fontId="12"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10" fillId="3" borderId="13" xfId="30" applyNumberFormat="1" applyFont="1" applyFill="1" applyBorder="1" applyAlignment="1" applyProtection="1">
      <alignment horizontal="center" vertical="center"/>
    </xf>
    <xf numFmtId="0" fontId="0" fillId="6" borderId="12" xfId="0" applyFill="1" applyBorder="1"/>
    <xf numFmtId="164" fontId="10" fillId="6" borderId="13" xfId="30" applyNumberFormat="1" applyFont="1" applyFill="1" applyBorder="1" applyAlignment="1" applyProtection="1">
      <alignment horizontal="center" vertical="center"/>
    </xf>
    <xf numFmtId="0" fontId="0" fillId="4" borderId="12" xfId="0" applyFill="1" applyBorder="1"/>
    <xf numFmtId="164" fontId="10" fillId="4" borderId="13" xfId="30" applyNumberFormat="1" applyFont="1" applyFill="1" applyBorder="1" applyAlignment="1" applyProtection="1">
      <alignment horizontal="center" vertical="center"/>
      <protection locked="0"/>
    </xf>
    <xf numFmtId="165" fontId="9" fillId="0" borderId="34" xfId="30" applyNumberFormat="1" applyFont="1" applyFill="1" applyBorder="1" applyAlignment="1" applyProtection="1">
      <alignment vertical="top"/>
      <protection locked="0"/>
    </xf>
    <xf numFmtId="165" fontId="12" fillId="0" borderId="34" xfId="30" applyNumberFormat="1" applyFill="1" applyBorder="1" applyAlignment="1" applyProtection="1">
      <alignment vertical="top" wrapText="1"/>
      <protection locked="0"/>
    </xf>
    <xf numFmtId="165" fontId="12"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5" fillId="11" borderId="20" xfId="225" applyFont="1" applyFill="1" applyBorder="1" applyAlignment="1">
      <alignment horizontal="left" vertical="center" wrapText="1"/>
    </xf>
    <xf numFmtId="0" fontId="25" fillId="11" borderId="20" xfId="225" applyFont="1" applyFill="1" applyBorder="1" applyAlignment="1">
      <alignment horizontal="center" vertical="center" wrapText="1"/>
    </xf>
    <xf numFmtId="0" fontId="9" fillId="12" borderId="20" xfId="224" applyFont="1" applyFill="1" applyBorder="1" applyAlignment="1">
      <alignment horizontal="right" vertical="center"/>
    </xf>
    <xf numFmtId="0" fontId="9" fillId="13" borderId="20" xfId="224" applyFont="1" applyFill="1" applyBorder="1" applyAlignment="1">
      <alignment horizontal="right" vertical="center"/>
    </xf>
    <xf numFmtId="0" fontId="9" fillId="14" borderId="20" xfId="224" applyFont="1" applyFill="1" applyBorder="1" applyAlignment="1">
      <alignment horizontal="right" vertical="center"/>
    </xf>
    <xf numFmtId="0" fontId="9" fillId="11" borderId="20" xfId="224" applyFont="1" applyFill="1" applyBorder="1" applyAlignment="1">
      <alignment horizontal="right" vertical="center"/>
    </xf>
    <xf numFmtId="0" fontId="9"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2" fillId="0" borderId="0" xfId="228" applyNumberFormat="1" applyFont="1" applyFill="1" applyBorder="1" applyAlignment="1" applyProtection="1">
      <alignment vertical="top" wrapText="1"/>
    </xf>
    <xf numFmtId="0" fontId="12" fillId="17" borderId="0" xfId="0" applyFont="1" applyFill="1"/>
    <xf numFmtId="49" fontId="0" fillId="51" borderId="0" xfId="0" applyNumberFormat="1" applyFill="1"/>
    <xf numFmtId="49" fontId="12" fillId="51" borderId="0" xfId="0" applyNumberFormat="1" applyFont="1" applyFill="1"/>
    <xf numFmtId="0" fontId="60" fillId="0" borderId="31" xfId="0" applyFont="1" applyBorder="1"/>
    <xf numFmtId="0" fontId="60" fillId="51" borderId="31" xfId="0" applyFont="1" applyFill="1" applyBorder="1"/>
    <xf numFmtId="0" fontId="66" fillId="5" borderId="31" xfId="223" applyFont="1" applyFill="1" applyBorder="1" applyAlignment="1">
      <alignment horizontal="center"/>
    </xf>
    <xf numFmtId="0" fontId="20" fillId="0" borderId="31" xfId="66" applyFont="1" applyBorder="1"/>
    <xf numFmtId="0" fontId="12"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2" fillId="0" borderId="6" xfId="0" applyFont="1" applyBorder="1" applyAlignment="1">
      <alignment horizontal="center" vertical="top" wrapText="1"/>
    </xf>
    <xf numFmtId="0" fontId="12"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9" fillId="0" borderId="49" xfId="0" applyNumberFormat="1" applyFont="1" applyBorder="1" applyAlignment="1">
      <alignment horizontal="left"/>
    </xf>
    <xf numFmtId="175" fontId="9" fillId="0" borderId="49" xfId="0" applyNumberFormat="1" applyFont="1" applyBorder="1"/>
    <xf numFmtId="180" fontId="9" fillId="0" borderId="16" xfId="0" applyNumberFormat="1" applyFont="1" applyBorder="1"/>
    <xf numFmtId="175" fontId="12" fillId="0" borderId="16" xfId="165" applyNumberFormat="1" applyBorder="1"/>
    <xf numFmtId="0" fontId="9" fillId="12" borderId="49" xfId="224" applyFont="1" applyFill="1" applyBorder="1" applyAlignment="1">
      <alignment horizontal="right" vertical="center"/>
    </xf>
    <xf numFmtId="0" fontId="0" fillId="0" borderId="43" xfId="0" applyBorder="1"/>
    <xf numFmtId="0" fontId="12" fillId="0" borderId="6" xfId="0" applyFont="1" applyBorder="1"/>
    <xf numFmtId="0" fontId="0" fillId="0" borderId="48" xfId="0" applyBorder="1"/>
    <xf numFmtId="0" fontId="69" fillId="0" borderId="0" xfId="0" applyFont="1"/>
    <xf numFmtId="0" fontId="67" fillId="17" borderId="31" xfId="223" applyFont="1" applyFill="1" applyBorder="1" applyAlignment="1">
      <alignment horizontal="center"/>
    </xf>
    <xf numFmtId="0" fontId="20" fillId="17" borderId="31" xfId="66" applyFont="1" applyFill="1" applyBorder="1"/>
    <xf numFmtId="0" fontId="0" fillId="53" borderId="47" xfId="0" applyFill="1" applyBorder="1" applyAlignment="1">
      <alignment horizontal="left" vertical="center"/>
    </xf>
    <xf numFmtId="4" fontId="0" fillId="0" borderId="0" xfId="0" applyNumberFormat="1"/>
    <xf numFmtId="2" fontId="12" fillId="0" borderId="0" xfId="165" applyNumberFormat="1" applyAlignment="1">
      <alignment vertical="top"/>
    </xf>
    <xf numFmtId="49" fontId="70" fillId="0" borderId="2" xfId="0" applyNumberFormat="1" applyFont="1" applyBorder="1" applyAlignment="1">
      <alignment horizontal="left"/>
    </xf>
    <xf numFmtId="49" fontId="70"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6" fillId="51" borderId="31" xfId="223" applyFont="1" applyFill="1" applyBorder="1" applyAlignment="1">
      <alignment horizontal="center"/>
    </xf>
    <xf numFmtId="0" fontId="12" fillId="17" borderId="40" xfId="57" applyFill="1" applyBorder="1"/>
    <xf numFmtId="49" fontId="12" fillId="17" borderId="41" xfId="0" applyNumberFormat="1" applyFont="1" applyFill="1" applyBorder="1" applyAlignment="1">
      <alignment horizontal="left"/>
    </xf>
    <xf numFmtId="49" fontId="12"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9"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165" fontId="0" fillId="17" borderId="0" xfId="0" applyNumberFormat="1" applyFill="1"/>
    <xf numFmtId="0" fontId="68" fillId="14" borderId="20" xfId="57" applyFont="1" applyFill="1" applyBorder="1"/>
    <xf numFmtId="0" fontId="71" fillId="0" borderId="0" xfId="359"/>
    <xf numFmtId="165" fontId="0" fillId="0" borderId="58" xfId="0" applyNumberFormat="1" applyBorder="1"/>
    <xf numFmtId="0" fontId="0" fillId="0" borderId="58" xfId="0" applyBorder="1"/>
    <xf numFmtId="165" fontId="0" fillId="0" borderId="59" xfId="0" applyNumberFormat="1" applyBorder="1"/>
    <xf numFmtId="0" fontId="0" fillId="0" borderId="60" xfId="0" applyBorder="1"/>
    <xf numFmtId="165" fontId="0" fillId="0" borderId="61" xfId="0" applyNumberFormat="1" applyBorder="1"/>
    <xf numFmtId="0" fontId="9"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6" fillId="18" borderId="31" xfId="223" applyFont="1" applyFill="1" applyBorder="1" applyAlignment="1">
      <alignment horizontal="center"/>
    </xf>
    <xf numFmtId="0" fontId="72" fillId="63" borderId="20" xfId="57" applyFont="1" applyFill="1" applyBorder="1"/>
    <xf numFmtId="0" fontId="72"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3" xfId="30" applyNumberFormat="1" applyFont="1" applyFill="1" applyBorder="1"/>
    <xf numFmtId="165" fontId="0" fillId="0" borderId="64" xfId="0" applyNumberFormat="1" applyBorder="1"/>
    <xf numFmtId="165" fontId="0" fillId="0" borderId="65" xfId="0" applyNumberFormat="1" applyBorder="1"/>
    <xf numFmtId="165" fontId="0" fillId="0" borderId="62" xfId="0" applyNumberFormat="1" applyBorder="1"/>
    <xf numFmtId="164" fontId="12"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6" xfId="0" applyFill="1" applyBorder="1"/>
    <xf numFmtId="0" fontId="0" fillId="0" borderId="66" xfId="0" applyBorder="1"/>
    <xf numFmtId="0" fontId="30" fillId="62" borderId="50" xfId="0" applyFont="1" applyFill="1" applyBorder="1" applyAlignment="1">
      <alignment vertical="top"/>
    </xf>
    <xf numFmtId="0" fontId="30" fillId="62" borderId="50" xfId="0" applyFont="1" applyFill="1" applyBorder="1"/>
    <xf numFmtId="0" fontId="9"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2" fillId="0" borderId="0" xfId="0" applyFont="1" applyAlignment="1">
      <alignment horizontal="center" vertical="top" wrapText="1"/>
    </xf>
    <xf numFmtId="0" fontId="59" fillId="0" borderId="13" xfId="0" applyFont="1" applyBorder="1" applyAlignment="1">
      <alignment horizontal="center" vertical="center" wrapText="1"/>
    </xf>
    <xf numFmtId="0" fontId="0" fillId="18" borderId="6" xfId="0" applyFill="1" applyBorder="1" applyAlignment="1">
      <alignment horizontal="center"/>
    </xf>
    <xf numFmtId="0" fontId="12" fillId="17" borderId="44" xfId="57" applyFill="1" applyBorder="1"/>
    <xf numFmtId="49" fontId="12" fillId="17" borderId="14" xfId="0" applyNumberFormat="1" applyFont="1" applyFill="1" applyBorder="1" applyAlignment="1">
      <alignment horizontal="left"/>
    </xf>
    <xf numFmtId="0" fontId="0" fillId="0" borderId="2" xfId="0" applyBorder="1"/>
    <xf numFmtId="0" fontId="12" fillId="0" borderId="2" xfId="0" applyFont="1" applyBorder="1" applyAlignment="1">
      <alignment horizontal="left" vertical="center" wrapText="1"/>
    </xf>
    <xf numFmtId="0" fontId="12" fillId="0" borderId="2" xfId="0" applyFont="1" applyBorder="1"/>
    <xf numFmtId="0" fontId="52" fillId="0" borderId="2" xfId="360" applyBorder="1" applyAlignment="1">
      <alignment horizontal="left" vertical="center" wrapText="1"/>
    </xf>
    <xf numFmtId="0" fontId="43" fillId="0" borderId="2" xfId="0" applyFont="1" applyBorder="1"/>
    <xf numFmtId="0" fontId="74" fillId="67" borderId="2" xfId="0" applyFont="1" applyFill="1" applyBorder="1" applyAlignment="1">
      <alignment horizontal="center" vertical="center"/>
    </xf>
    <xf numFmtId="0" fontId="72"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2" fillId="51" borderId="6" xfId="30" applyNumberFormat="1" applyFill="1" applyBorder="1" applyAlignment="1" applyProtection="1">
      <alignment vertical="top" wrapText="1"/>
    </xf>
    <xf numFmtId="164" fontId="12" fillId="51" borderId="6" xfId="30" applyNumberFormat="1" applyFont="1" applyFill="1" applyBorder="1" applyAlignment="1" applyProtection="1">
      <alignment vertical="top" wrapText="1"/>
    </xf>
    <xf numFmtId="166" fontId="12"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0" fontId="9" fillId="12" borderId="0" xfId="224" applyFont="1" applyFill="1" applyAlignment="1">
      <alignment horizontal="right" vertical="center"/>
    </xf>
    <xf numFmtId="38" fontId="0" fillId="57" borderId="0" xfId="0" applyNumberFormat="1" applyFill="1"/>
    <xf numFmtId="49" fontId="45" fillId="0" borderId="0" xfId="0" applyNumberFormat="1" applyFont="1" applyAlignment="1">
      <alignment horizontal="center" wrapText="1"/>
    </xf>
    <xf numFmtId="0" fontId="45" fillId="0" borderId="0" xfId="0" applyFont="1" applyAlignment="1">
      <alignment horizontal="center" wrapText="1"/>
    </xf>
    <xf numFmtId="2" fontId="68" fillId="0" borderId="0" xfId="0" applyNumberFormat="1" applyFont="1"/>
    <xf numFmtId="0" fontId="0" fillId="68" borderId="43" xfId="0" applyFill="1" applyBorder="1"/>
    <xf numFmtId="0" fontId="0" fillId="68" borderId="6" xfId="0" applyFill="1" applyBorder="1"/>
    <xf numFmtId="0" fontId="12"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9"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2" xfId="0" applyNumberFormat="1" applyFill="1" applyBorder="1"/>
    <xf numFmtId="0" fontId="64" fillId="0" borderId="0" xfId="0" applyFont="1" applyAlignment="1">
      <alignment horizontal="center" vertical="center"/>
    </xf>
    <xf numFmtId="0" fontId="0" fillId="0" borderId="0" xfId="0" applyAlignment="1">
      <alignment horizontal="center" vertical="center"/>
    </xf>
    <xf numFmtId="0" fontId="59" fillId="18" borderId="0" xfId="0" applyFont="1" applyFill="1"/>
    <xf numFmtId="0" fontId="58" fillId="0" borderId="0" xfId="0" applyFont="1" applyAlignment="1">
      <alignment horizontal="center" vertical="center"/>
    </xf>
    <xf numFmtId="0" fontId="58" fillId="0" borderId="0" xfId="0" applyFont="1"/>
    <xf numFmtId="0" fontId="59" fillId="0" borderId="0" xfId="0" applyFont="1"/>
    <xf numFmtId="0" fontId="25" fillId="11" borderId="0" xfId="67" applyFont="1" applyFill="1" applyAlignment="1">
      <alignment horizontal="center" vertical="center" wrapText="1"/>
    </xf>
    <xf numFmtId="0" fontId="25" fillId="50" borderId="0" xfId="67" applyFont="1" applyFill="1" applyAlignment="1">
      <alignment horizontal="center" vertical="center" wrapText="1"/>
    </xf>
    <xf numFmtId="0" fontId="25" fillId="52" borderId="0" xfId="67" applyFont="1" applyFill="1" applyAlignment="1">
      <alignment horizontal="center" vertical="center" wrapText="1"/>
    </xf>
    <xf numFmtId="0" fontId="73" fillId="66" borderId="0" xfId="67" applyFont="1" applyFill="1" applyAlignment="1">
      <alignment horizontal="center" vertical="center" wrapText="1"/>
    </xf>
    <xf numFmtId="0" fontId="25" fillId="51" borderId="0" xfId="67" applyFont="1" applyFill="1" applyAlignment="1">
      <alignment horizontal="center" vertical="center" wrapText="1"/>
    </xf>
    <xf numFmtId="0" fontId="25" fillId="53" borderId="0" xfId="67" applyFont="1" applyFill="1" applyAlignment="1">
      <alignment horizontal="center" vertical="center" wrapText="1"/>
    </xf>
    <xf numFmtId="0" fontId="25" fillId="54" borderId="0" xfId="67" applyFont="1" applyFill="1" applyAlignment="1">
      <alignment horizontal="center" vertical="center" wrapText="1"/>
    </xf>
    <xf numFmtId="0" fontId="25" fillId="55" borderId="0" xfId="0" applyFont="1" applyFill="1" applyAlignment="1">
      <alignment horizontal="center" vertical="center" wrapText="1"/>
    </xf>
    <xf numFmtId="0" fontId="25" fillId="0" borderId="0" xfId="0" applyFont="1" applyAlignment="1">
      <alignment horizontal="center" vertical="center" wrapText="1"/>
    </xf>
    <xf numFmtId="0" fontId="25" fillId="18" borderId="0" xfId="0" applyFont="1" applyFill="1" applyAlignment="1">
      <alignment horizontal="center" vertical="center" wrapText="1"/>
    </xf>
    <xf numFmtId="0" fontId="25"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18" borderId="0" xfId="0" applyNumberFormat="1" applyFill="1" applyAlignment="1">
      <alignment horizontal="right" vertical="center" wrapText="1"/>
    </xf>
    <xf numFmtId="38" fontId="0" fillId="0" borderId="0" xfId="0" applyNumberFormat="1" applyAlignment="1">
      <alignment vertical="center" wrapText="1"/>
    </xf>
    <xf numFmtId="0" fontId="60" fillId="0" borderId="0" xfId="0" applyFont="1" applyAlignment="1" applyProtection="1">
      <alignment horizontal="center"/>
      <protection hidden="1"/>
    </xf>
    <xf numFmtId="179" fontId="60"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2" fillId="0" borderId="0" xfId="32" applyNumberFormat="1" applyFont="1" applyFill="1" applyBorder="1" applyAlignment="1" applyProtection="1">
      <alignment horizontal="right" vertical="center" wrapText="1"/>
      <protection hidden="1"/>
    </xf>
    <xf numFmtId="38" fontId="63"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56" borderId="0" xfId="0" applyNumberFormat="1" applyFill="1" applyAlignment="1">
      <alignment horizontal="right" vertical="center" wrapText="1"/>
    </xf>
    <xf numFmtId="38" fontId="0" fillId="65" borderId="0" xfId="0" applyNumberFormat="1" applyFill="1" applyAlignment="1">
      <alignment horizontal="right" vertical="center" wrapText="1"/>
    </xf>
    <xf numFmtId="38" fontId="52"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30" fillId="0" borderId="0" xfId="0" applyNumberFormat="1" applyFont="1"/>
    <xf numFmtId="0" fontId="30" fillId="0" borderId="0" xfId="0" applyFont="1" applyAlignment="1">
      <alignment horizontal="left"/>
    </xf>
    <xf numFmtId="0" fontId="30" fillId="0" borderId="0" xfId="0" applyFont="1" applyAlignment="1">
      <alignment horizontal="center"/>
    </xf>
    <xf numFmtId="0" fontId="30"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2" fillId="59" borderId="0" xfId="0" applyFont="1" applyFill="1"/>
    <xf numFmtId="0" fontId="65" fillId="59" borderId="0" xfId="0" applyFont="1" applyFill="1"/>
    <xf numFmtId="0" fontId="0" fillId="60" borderId="0" xfId="0" applyFill="1"/>
    <xf numFmtId="38" fontId="0" fillId="51" borderId="48" xfId="0" applyNumberFormat="1" applyFill="1" applyBorder="1"/>
    <xf numFmtId="0" fontId="9" fillId="51" borderId="20" xfId="57" applyFont="1" applyFill="1" applyBorder="1" applyAlignment="1">
      <alignment horizontal="center" vertical="center"/>
    </xf>
    <xf numFmtId="0" fontId="9" fillId="0" borderId="0" xfId="165" applyFont="1" applyAlignment="1">
      <alignment horizontal="left" vertical="top"/>
    </xf>
    <xf numFmtId="0" fontId="0" fillId="61" borderId="0" xfId="0" applyFill="1" applyAlignment="1">
      <alignment vertical="top"/>
    </xf>
    <xf numFmtId="0" fontId="12" fillId="13" borderId="8" xfId="0" applyFont="1" applyFill="1" applyBorder="1" applyAlignment="1">
      <alignment vertical="top" wrapText="1"/>
    </xf>
    <xf numFmtId="49" fontId="59" fillId="0" borderId="0" xfId="0" applyNumberFormat="1" applyFont="1"/>
    <xf numFmtId="0" fontId="59" fillId="0" borderId="31" xfId="223" applyFont="1" applyBorder="1" applyAlignment="1">
      <alignment horizontal="center"/>
    </xf>
    <xf numFmtId="0" fontId="12" fillId="51" borderId="8" xfId="0" applyFont="1" applyFill="1" applyBorder="1" applyAlignment="1">
      <alignment horizontal="center" vertical="top" wrapText="1"/>
    </xf>
    <xf numFmtId="0" fontId="12" fillId="51" borderId="31" xfId="0" applyFont="1" applyFill="1" applyBorder="1" applyProtection="1">
      <protection hidden="1"/>
    </xf>
    <xf numFmtId="0" fontId="0" fillId="51" borderId="15" xfId="0" applyFill="1" applyBorder="1" applyAlignment="1">
      <alignment vertical="top" wrapText="1"/>
    </xf>
    <xf numFmtId="0" fontId="20" fillId="0" borderId="15" xfId="0" applyFont="1" applyBorder="1" applyAlignment="1">
      <alignment vertical="center"/>
    </xf>
    <xf numFmtId="0" fontId="12" fillId="51" borderId="0" xfId="0" applyFont="1" applyFill="1" applyAlignment="1">
      <alignment horizontal="left"/>
    </xf>
    <xf numFmtId="0" fontId="20" fillId="0" borderId="67" xfId="0" applyFont="1" applyBorder="1"/>
    <xf numFmtId="0" fontId="20" fillId="0" borderId="31" xfId="0" applyFont="1" applyBorder="1"/>
    <xf numFmtId="165" fontId="0" fillId="51" borderId="63" xfId="30" applyNumberFormat="1" applyFont="1" applyFill="1" applyBorder="1"/>
    <xf numFmtId="0" fontId="68" fillId="62" borderId="50" xfId="0" applyFont="1" applyFill="1" applyBorder="1"/>
    <xf numFmtId="0" fontId="75" fillId="0" borderId="0" xfId="66" applyFont="1"/>
    <xf numFmtId="0" fontId="75" fillId="0" borderId="0" xfId="223" applyFont="1" applyAlignment="1">
      <alignment horizontal="center"/>
    </xf>
    <xf numFmtId="0" fontId="76" fillId="0" borderId="0" xfId="223" applyFont="1" applyAlignment="1">
      <alignment horizontal="center"/>
    </xf>
    <xf numFmtId="0" fontId="77" fillId="0" borderId="0" xfId="0" applyFont="1"/>
    <xf numFmtId="0" fontId="0" fillId="18" borderId="0" xfId="0" applyFill="1" applyAlignment="1">
      <alignment horizontal="left" vertical="top"/>
    </xf>
    <xf numFmtId="4" fontId="0" fillId="18" borderId="0" xfId="0" applyNumberFormat="1" applyFill="1" applyAlignment="1">
      <alignment vertical="top"/>
    </xf>
    <xf numFmtId="0" fontId="0" fillId="18" borderId="0" xfId="0" applyFill="1" applyAlignment="1">
      <alignment vertical="top"/>
    </xf>
    <xf numFmtId="0" fontId="12" fillId="18" borderId="0" xfId="165" applyFill="1" applyAlignment="1">
      <alignment vertical="top"/>
    </xf>
    <xf numFmtId="49" fontId="0" fillId="55" borderId="0" xfId="0" applyNumberFormat="1" applyFill="1"/>
    <xf numFmtId="0" fontId="0" fillId="55" borderId="0" xfId="0" applyFill="1"/>
    <xf numFmtId="0" fontId="12" fillId="55" borderId="0" xfId="0" applyFont="1" applyFill="1" applyAlignment="1">
      <alignment horizontal="left"/>
    </xf>
    <xf numFmtId="0" fontId="66" fillId="55" borderId="31" xfId="223" applyFont="1" applyFill="1" applyBorder="1" applyAlignment="1">
      <alignment horizontal="center"/>
    </xf>
    <xf numFmtId="0" fontId="12" fillId="55" borderId="0" xfId="0" applyFont="1" applyFill="1"/>
    <xf numFmtId="2" fontId="12" fillId="0" borderId="0" xfId="0" applyNumberFormat="1" applyFont="1"/>
    <xf numFmtId="2" fontId="0" fillId="18" borderId="0" xfId="0" applyNumberFormat="1" applyFill="1"/>
    <xf numFmtId="0" fontId="30" fillId="69" borderId="50" xfId="0" applyFont="1" applyFill="1" applyBorder="1"/>
    <xf numFmtId="2" fontId="9" fillId="18" borderId="0" xfId="0" applyNumberFormat="1" applyFont="1" applyFill="1"/>
    <xf numFmtId="0" fontId="9" fillId="62" borderId="50" xfId="0" applyFont="1" applyFill="1" applyBorder="1"/>
    <xf numFmtId="0" fontId="60" fillId="0" borderId="31" xfId="223" applyFont="1" applyBorder="1"/>
    <xf numFmtId="0" fontId="6"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30" fillId="11" borderId="0" xfId="0" applyFont="1" applyFill="1" applyAlignment="1">
      <alignment horizontal="center"/>
    </xf>
    <xf numFmtId="0" fontId="30" fillId="50" borderId="0" xfId="0" applyFont="1" applyFill="1" applyAlignment="1">
      <alignment horizontal="center"/>
    </xf>
    <xf numFmtId="0" fontId="30" fillId="52" borderId="0" xfId="0" applyFont="1" applyFill="1" applyAlignment="1">
      <alignment horizontal="center"/>
    </xf>
    <xf numFmtId="0" fontId="30" fillId="53" borderId="0" xfId="0" applyFont="1" applyFill="1" applyAlignment="1">
      <alignment horizontal="center"/>
    </xf>
    <xf numFmtId="0" fontId="30" fillId="54" borderId="0" xfId="0" applyFont="1" applyFill="1" applyAlignment="1">
      <alignment horizontal="center"/>
    </xf>
    <xf numFmtId="49" fontId="12"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68" fillId="12" borderId="12" xfId="57" applyFont="1" applyFill="1" applyBorder="1" applyAlignment="1">
      <alignment horizontal="center" vertical="center" wrapText="1"/>
    </xf>
    <xf numFmtId="0" fontId="59" fillId="0" borderId="1" xfId="0" applyFont="1" applyBorder="1" applyAlignment="1">
      <alignment horizontal="center" vertical="center" wrapText="1"/>
    </xf>
    <xf numFmtId="0" fontId="59" fillId="0" borderId="13" xfId="0" applyFont="1" applyBorder="1" applyAlignment="1">
      <alignment horizontal="center" vertical="center" wrapText="1"/>
    </xf>
    <xf numFmtId="0" fontId="68" fillId="13" borderId="12" xfId="57" applyFont="1" applyFill="1" applyBorder="1" applyAlignment="1">
      <alignment horizontal="center" vertical="center" wrapText="1"/>
    </xf>
    <xf numFmtId="0" fontId="9" fillId="14" borderId="12" xfId="57" applyFont="1" applyFill="1" applyBorder="1" applyAlignment="1">
      <alignment horizontal="center" vertical="center" wrapText="1"/>
    </xf>
    <xf numFmtId="0" fontId="68" fillId="11" borderId="12" xfId="57" applyFont="1" applyFill="1" applyBorder="1" applyAlignment="1">
      <alignment horizontal="center" vertical="center" wrapText="1"/>
    </xf>
    <xf numFmtId="0" fontId="9" fillId="10" borderId="12" xfId="57" applyFont="1" applyFill="1" applyBorder="1" applyAlignment="1">
      <alignment horizontal="center" vertical="center" wrapText="1"/>
    </xf>
  </cellXfs>
  <cellStyles count="370">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 2" xfId="362" xr:uid="{A41E1604-6DC7-472E-BF95-6D78BEE2D819}"/>
    <cellStyle name="£0,000.00" xfId="5" xr:uid="{00000000-0005-0000-0000-000007000000}"/>
    <cellStyle name="£0,000.00 2" xfId="363" xr:uid="{C3B9E70C-446F-432A-9217-EF19A96FB509}"/>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16" xfId="364" xr:uid="{CE1F009F-EC5B-4E22-B993-59E7E878720D}"/>
    <cellStyle name="Comma 2" xfId="31" xr:uid="{00000000-0005-0000-0000-000052000000}"/>
    <cellStyle name="Comma 2 10" xfId="365" xr:uid="{D16F14BC-72FE-4803-91E7-AA9035223FEE}"/>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3 5" xfId="366" xr:uid="{2232201E-2EAB-41D1-A16F-40ECFFF3B147}"/>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2 4" xfId="367" xr:uid="{493E4748-3863-4DAF-9316-FFC7183BD7D5}"/>
    <cellStyle name="Currency 3" xfId="42" xr:uid="{00000000-0005-0000-0000-000092000000}"/>
    <cellStyle name="Currency 3 2" xfId="43" xr:uid="{00000000-0005-0000-0000-000093000000}"/>
    <cellStyle name="Currency 3 2 2" xfId="243" xr:uid="{00000000-0005-0000-0000-000094000000}"/>
    <cellStyle name="Currency 3 3" xfId="368" xr:uid="{D9B6AFA6-9416-4529-BCED-C959088551DC}"/>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28" xfId="361" xr:uid="{BF5D68DC-6D47-455C-855A-3476CC093FE6}"/>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 5" xfId="369" xr:uid="{A662932F-0F4F-4D3C-88FB-A7297F929EC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FF99FF"/>
      <color rgb="FFE385A9"/>
      <color rgb="FFCCFF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6.png"/><Relationship Id="rId1" Type="http://schemas.openxmlformats.org/officeDocument/2006/relationships/image" Target="../media/image29.png"/><Relationship Id="rId4" Type="http://schemas.openxmlformats.org/officeDocument/2006/relationships/image" Target="../media/image3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166</xdr:row>
      <xdr:rowOff>0</xdr:rowOff>
    </xdr:from>
    <xdr:to>
      <xdr:col>95</xdr:col>
      <xdr:colOff>703873</xdr:colOff>
      <xdr:row>203</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164</xdr:row>
      <xdr:rowOff>0</xdr:rowOff>
    </xdr:from>
    <xdr:to>
      <xdr:col>7</xdr:col>
      <xdr:colOff>484599</xdr:colOff>
      <xdr:row>207</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320</xdr:row>
      <xdr:rowOff>0</xdr:rowOff>
    </xdr:from>
    <xdr:to>
      <xdr:col>33</xdr:col>
      <xdr:colOff>84952</xdr:colOff>
      <xdr:row>327</xdr:row>
      <xdr:rowOff>18906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68675" y="48777525"/>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37460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387</xdr:row>
      <xdr:rowOff>0</xdr:rowOff>
    </xdr:from>
    <xdr:to>
      <xdr:col>11</xdr:col>
      <xdr:colOff>485029</xdr:colOff>
      <xdr:row>433</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twoCellAnchor editAs="oneCell">
    <xdr:from>
      <xdr:col>1</xdr:col>
      <xdr:colOff>0</xdr:colOff>
      <xdr:row>187</xdr:row>
      <xdr:rowOff>0</xdr:rowOff>
    </xdr:from>
    <xdr:to>
      <xdr:col>10</xdr:col>
      <xdr:colOff>87057</xdr:colOff>
      <xdr:row>206</xdr:row>
      <xdr:rowOff>29008</xdr:rowOff>
    </xdr:to>
    <xdr:pic>
      <xdr:nvPicPr>
        <xdr:cNvPr id="4" name="Picture 3">
          <a:extLst>
            <a:ext uri="{FF2B5EF4-FFF2-40B4-BE49-F238E27FC236}">
              <a16:creationId xmlns:a16="http://schemas.microsoft.com/office/drawing/2014/main" id="{EF607AE4-9128-6256-1FEF-8CBDA4A3BE6D}"/>
            </a:ext>
          </a:extLst>
        </xdr:cNvPr>
        <xdr:cNvPicPr>
          <a:picLocks noChangeAspect="1"/>
        </xdr:cNvPicPr>
      </xdr:nvPicPr>
      <xdr:blipFill>
        <a:blip xmlns:r="http://schemas.openxmlformats.org/officeDocument/2006/relationships" r:embed="rId3"/>
        <a:stretch>
          <a:fillRect/>
        </a:stretch>
      </xdr:blipFill>
      <xdr:spPr>
        <a:xfrm>
          <a:off x="114300" y="30308550"/>
          <a:ext cx="9545382" cy="3105583"/>
        </a:xfrm>
        <a:prstGeom prst="rect">
          <a:avLst/>
        </a:prstGeom>
      </xdr:spPr>
    </xdr:pic>
    <xdr:clientData/>
  </xdr:twoCellAnchor>
  <xdr:twoCellAnchor editAs="oneCell">
    <xdr:from>
      <xdr:col>10</xdr:col>
      <xdr:colOff>0</xdr:colOff>
      <xdr:row>169</xdr:row>
      <xdr:rowOff>0</xdr:rowOff>
    </xdr:from>
    <xdr:to>
      <xdr:col>20</xdr:col>
      <xdr:colOff>363064</xdr:colOff>
      <xdr:row>214</xdr:row>
      <xdr:rowOff>153438</xdr:rowOff>
    </xdr:to>
    <xdr:pic>
      <xdr:nvPicPr>
        <xdr:cNvPr id="5" name="Picture 4">
          <a:extLst>
            <a:ext uri="{FF2B5EF4-FFF2-40B4-BE49-F238E27FC236}">
              <a16:creationId xmlns:a16="http://schemas.microsoft.com/office/drawing/2014/main" id="{99C292B5-CD07-55C3-71B2-3442D6D2FAD0}"/>
            </a:ext>
          </a:extLst>
        </xdr:cNvPr>
        <xdr:cNvPicPr>
          <a:picLocks noChangeAspect="1"/>
        </xdr:cNvPicPr>
      </xdr:nvPicPr>
      <xdr:blipFill>
        <a:blip xmlns:r="http://schemas.openxmlformats.org/officeDocument/2006/relationships" r:embed="rId4"/>
        <a:stretch>
          <a:fillRect/>
        </a:stretch>
      </xdr:blipFill>
      <xdr:spPr>
        <a:xfrm>
          <a:off x="9572625" y="27393900"/>
          <a:ext cx="7983064" cy="7440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loucestershirecc.sharepoint.com/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loucestershirecc.sharepoint.com/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loucestershirecc.sharepoint.com/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loucestershirecc.sharepoint.com/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loucestershirecc.sharepoint.com/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loucestershirecc.sharepoint.com/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gloucestershirecc.sharepoint.com/SCHOOLS/School%20Funding%20Reform%2012-13/14-15%20changes/DRAFT%20SUBMISSION/IM%20Portal%20downloads/Authority%20Proforma%20Tool%20Working/Draft%20Submission%20October%202013/Gloucestershire_APT1415-18jun13-v1_0_working_%20version_FINAL_B.xls?420A2E78" TargetMode="External"/><Relationship Id="rId1" Type="http://schemas.openxmlformats.org/officeDocument/2006/relationships/externalLinkPath" Target="file:///\\420A2E78\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loucestershirecc.sharepoint.com/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ucestershirecc.sharepoint.com/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gloucestershirecc.sharepoint.com/: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loucestershirecc.sharepoint.com/sites/FSchoolFunding/CFR%20Monitoring/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10.42578125" style="1" customWidth="1"/>
    <col min="9" max="9" width="29.7109375" style="1" bestFit="1" customWidth="1"/>
    <col min="10" max="96" width="9.140625" style="1"/>
  </cols>
  <sheetData>
    <row r="1" spans="1:96" ht="42" customHeight="1">
      <c r="B1" s="440" t="s">
        <v>1030</v>
      </c>
      <c r="C1" s="441"/>
      <c r="D1" s="441"/>
      <c r="E1" s="441"/>
      <c r="F1" s="441"/>
      <c r="G1" s="442"/>
    </row>
    <row r="2" spans="1:96" ht="63">
      <c r="A2" s="150"/>
      <c r="B2" s="179"/>
      <c r="C2" s="2" t="str">
        <f>IFERROR(IF($B$2="","Please Enter Schools LA Number in the Yellow Box",VLOOKUP(B2,'Actuals mapped to CFR'!$B$4:$C$135,2,FALSE)),"For Central Schools Only")</f>
        <v>Please Enter Schools LA Number in the Yellow Box</v>
      </c>
      <c r="D2" s="3" t="s">
        <v>982</v>
      </c>
      <c r="E2" s="3" t="s">
        <v>983</v>
      </c>
      <c r="F2" s="3" t="s">
        <v>1034</v>
      </c>
      <c r="G2" s="168" t="s">
        <v>0</v>
      </c>
      <c r="H2" s="10"/>
      <c r="I2" s="3" t="s">
        <v>1</v>
      </c>
    </row>
    <row r="3" spans="1:96" ht="12.75" customHeight="1">
      <c r="A3" s="68"/>
      <c r="B3" s="180"/>
      <c r="C3" s="4" t="s">
        <v>981</v>
      </c>
      <c r="D3" s="5"/>
      <c r="E3" s="5"/>
      <c r="F3" s="6"/>
      <c r="G3" s="6"/>
    </row>
    <row r="4" spans="1:96" ht="12.75" customHeight="1">
      <c r="A4" s="151"/>
      <c r="B4" s="181" t="s">
        <v>2</v>
      </c>
      <c r="C4" s="7" t="s">
        <v>3</v>
      </c>
      <c r="D4" s="9">
        <f>-IF($B$2="",0,VLOOKUP($B$2,'24 25 Actuals'!$A$1:$CK$206,3,FALSE))</f>
        <v>0</v>
      </c>
      <c r="E4" s="8">
        <f>D92</f>
        <v>0</v>
      </c>
      <c r="F4" s="9">
        <f>IF($B$2="",0,VLOOKUP($B$2,'Actuals mapped to CFR'!$B$4:$CG$135,3,FALSE))*-1</f>
        <v>0</v>
      </c>
      <c r="G4" s="171"/>
      <c r="H4" s="78"/>
      <c r="I4" s="10" t="s">
        <v>4</v>
      </c>
    </row>
    <row r="5" spans="1:96" ht="12.75" customHeight="1">
      <c r="A5" s="151"/>
      <c r="B5" s="182" t="s">
        <v>5</v>
      </c>
      <c r="C5" s="149" t="s">
        <v>6</v>
      </c>
      <c r="D5" s="9">
        <f>-IF($B$2="",0,VLOOKUP($B$2,'24 25 Actuals'!$A$1:$CD$206,4,FALSE))</f>
        <v>0</v>
      </c>
      <c r="E5" s="8">
        <f t="shared" ref="E5:E9" si="0">D93</f>
        <v>0</v>
      </c>
      <c r="F5" s="9">
        <f>IF($B$2="",0,VLOOKUP($B$2,'Actuals mapped to CFR'!$B$4:$CG$135,4,FALSE))*-1</f>
        <v>0</v>
      </c>
      <c r="G5" s="172"/>
      <c r="H5" s="78"/>
      <c r="I5" s="10"/>
    </row>
    <row r="6" spans="1:96" ht="12.75" customHeight="1">
      <c r="A6" s="151"/>
      <c r="B6" s="183" t="s">
        <v>7</v>
      </c>
      <c r="C6" s="11" t="s">
        <v>8</v>
      </c>
      <c r="D6" s="9">
        <f>-IF($B$2="",0,VLOOKUP($B$2,'24 25 Actuals'!$A$1:$CD$206,5,FALSE))</f>
        <v>0</v>
      </c>
      <c r="E6" s="8">
        <f t="shared" si="0"/>
        <v>0</v>
      </c>
      <c r="F6" s="9">
        <f>IF($B$2="",0,VLOOKUP($B$2,'Actuals mapped to CFR'!$B$4:$CG$135,5,FALSE))*-1</f>
        <v>0</v>
      </c>
      <c r="G6" s="15"/>
      <c r="I6" s="10" t="s">
        <v>9</v>
      </c>
      <c r="CQ6"/>
      <c r="CR6"/>
    </row>
    <row r="7" spans="1:96" ht="12.75" customHeight="1">
      <c r="A7" s="151"/>
      <c r="B7" s="183" t="s">
        <v>10</v>
      </c>
      <c r="C7" s="12" t="s">
        <v>11</v>
      </c>
      <c r="D7" s="9">
        <f>-IF($B$2="",0,VLOOKUP($B$2,'24 25 Actuals'!$A$1:$CD$206,6,FALSE))</f>
        <v>0</v>
      </c>
      <c r="E7" s="8">
        <f t="shared" si="0"/>
        <v>0</v>
      </c>
      <c r="F7" s="9">
        <f>IF($B$2="",0,VLOOKUP($B$2,'Actuals mapped to CFR'!$B$4:$CG$135,6,FALSE))*-1</f>
        <v>0</v>
      </c>
      <c r="G7" s="15"/>
      <c r="CQ7"/>
      <c r="CR7"/>
    </row>
    <row r="8" spans="1:96" ht="12.75" customHeight="1">
      <c r="A8" s="151"/>
      <c r="B8" s="184" t="s">
        <v>12</v>
      </c>
      <c r="C8" s="13" t="s">
        <v>13</v>
      </c>
      <c r="D8" s="9">
        <f>-IF($B$2="",0,VLOOKUP($B$2,'24 25 Actuals'!$A$1:$CD$206,7,FALSE))</f>
        <v>0</v>
      </c>
      <c r="E8" s="8">
        <f t="shared" si="0"/>
        <v>0</v>
      </c>
      <c r="F8" s="9">
        <f>IF($B$2="",0,VLOOKUP($B$2,'Actuals mapped to CFR'!$B$4:$CG$135,8,FALSE))*-1</f>
        <v>0</v>
      </c>
      <c r="G8" s="15"/>
      <c r="CQ8"/>
      <c r="CR8"/>
    </row>
    <row r="9" spans="1:96" ht="12.75" customHeight="1">
      <c r="A9" s="151"/>
      <c r="B9" s="185" t="s">
        <v>14</v>
      </c>
      <c r="C9" s="14" t="s">
        <v>15</v>
      </c>
      <c r="D9" s="9">
        <f>-IF($B$2="",0,VLOOKUP($B$2,'24 25 Actuals'!$A$1:$CD$206,8,FALSE))</f>
        <v>0</v>
      </c>
      <c r="E9" s="8">
        <f t="shared" si="0"/>
        <v>0</v>
      </c>
      <c r="F9" s="9">
        <f>IF($B$2="",0,VLOOKUP($B$2,'Actuals mapped to CFR'!$B$4:$CG$135,9,FALSE))*-1</f>
        <v>0</v>
      </c>
      <c r="G9" s="15"/>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-IF($B$2="",0,VLOOKUP($B$2,'24 25 Actuals'!$A$1:$CD$206,9,FALSE))</f>
        <v>0</v>
      </c>
      <c r="E12" s="8">
        <f>IF($B$2="",0,VLOOKUP($B$2,'2526 GBP Data input'!$A$4:$CX$229,17,FALSE))</f>
        <v>0</v>
      </c>
      <c r="F12" s="9">
        <f>IF($B$2="",0,VLOOKUP($B$2,'Actuals mapped to CFR'!$B$4:$CG$135,10,FALSE))*-1</f>
        <v>0</v>
      </c>
      <c r="G12" s="173" t="str">
        <f t="shared" ref="G12:G28" si="1">IF(E12=0,"",F12/E12)</f>
        <v/>
      </c>
      <c r="I12" s="24" t="str">
        <f>IF(AND(F12&gt;5,E12=0),"Actual but no Budget",IF(F12&gt;E12,"Actual to date Higher than Budget",""))</f>
        <v/>
      </c>
    </row>
    <row r="13" spans="1:96">
      <c r="A13" s="151"/>
      <c r="B13" s="183" t="s">
        <v>20</v>
      </c>
      <c r="C13" s="12" t="s">
        <v>21</v>
      </c>
      <c r="D13" s="9">
        <f>-IF($B$2="",0,VLOOKUP($B$2,'24 25 Actuals'!$A$1:$CD$206,10,FALSE))</f>
        <v>0</v>
      </c>
      <c r="E13" s="8">
        <f>IF($B$2="",0,VLOOKUP($B$2,'2526 GBP Data input'!$A$4:$CX$229,18,FALSE))</f>
        <v>0</v>
      </c>
      <c r="F13" s="9">
        <f>IF($B$2="",0,VLOOKUP($B$2,'Actuals mapped to CFR'!$B$4:$CG$135,11,FALSE))*-1</f>
        <v>0</v>
      </c>
      <c r="G13" s="174" t="str">
        <f t="shared" si="1"/>
        <v/>
      </c>
      <c r="I13" s="25" t="str">
        <f t="shared" ref="I13:I28" si="2">IF(AND(F13&gt;5,E13=0),"Actual but no Budget",IF(F13&gt;E13,"Actual to date Higher than Budget",""))</f>
        <v/>
      </c>
    </row>
    <row r="14" spans="1:96">
      <c r="A14" s="151"/>
      <c r="B14" s="183" t="s">
        <v>22</v>
      </c>
      <c r="C14" s="77" t="s">
        <v>23</v>
      </c>
      <c r="D14" s="9">
        <f>-IF($B$2="",0,VLOOKUP($B$2,'24 25 Actuals'!$A$1:$CD$206,11,FALSE))</f>
        <v>0</v>
      </c>
      <c r="E14" s="8">
        <f>IF($B$2="",0,VLOOKUP($B$2,'2526 GBP Data input'!$A$4:$CX$229,19,FALSE))</f>
        <v>0</v>
      </c>
      <c r="F14" s="9">
        <f>IF($B$2="",0,VLOOKUP($B$2,'Actuals mapped to CFR'!$B$4:$CG$135,12,FALSE))*-1</f>
        <v>0</v>
      </c>
      <c r="G14" s="174" t="str">
        <f t="shared" si="1"/>
        <v/>
      </c>
      <c r="I14" s="25" t="str">
        <f t="shared" si="2"/>
        <v/>
      </c>
      <c r="CQ14"/>
      <c r="CR14"/>
    </row>
    <row r="15" spans="1:96">
      <c r="A15" s="151"/>
      <c r="B15" s="183" t="s">
        <v>24</v>
      </c>
      <c r="C15" s="12" t="s">
        <v>25</v>
      </c>
      <c r="D15" s="9">
        <f>-IF($B$2="",0,VLOOKUP($B$2,'24 25 Actuals'!$A$1:$CD$206,12,FALSE))</f>
        <v>0</v>
      </c>
      <c r="E15" s="8">
        <f>IF($B$2="",0,VLOOKUP($B$2,'2526 GBP Data input'!$A$4:$CX$229,20,FALSE))</f>
        <v>0</v>
      </c>
      <c r="F15" s="9">
        <f>IF($B$2="",0,VLOOKUP($B$2,'Actuals mapped to CFR'!$B$4:$CG$135,13,FALSE))*-1</f>
        <v>0</v>
      </c>
      <c r="G15" s="174" t="str">
        <f t="shared" si="1"/>
        <v/>
      </c>
      <c r="I15" s="25" t="str">
        <f t="shared" si="2"/>
        <v/>
      </c>
    </row>
    <row r="16" spans="1:96">
      <c r="A16" s="151"/>
      <c r="B16" s="183" t="s">
        <v>26</v>
      </c>
      <c r="C16" s="77" t="s">
        <v>27</v>
      </c>
      <c r="D16" s="9">
        <f>-IF($B$2="",0,VLOOKUP($B$2,'24 25 Actuals'!$A$1:$CD$206,13,FALSE))</f>
        <v>0</v>
      </c>
      <c r="E16" s="8">
        <f>IF($B$2="",0,VLOOKUP($B$2,'2526 GBP Data input'!$A$4:$CX$229,21,FALSE))</f>
        <v>0</v>
      </c>
      <c r="F16" s="9">
        <f>IF($B$2="",0,VLOOKUP($B$2,'Actuals mapped to CFR'!$B$4:$CG$135,14,FALSE))*-1</f>
        <v>0</v>
      </c>
      <c r="G16" s="174" t="str">
        <f t="shared" si="1"/>
        <v/>
      </c>
      <c r="I16" s="25" t="str">
        <f t="shared" si="2"/>
        <v/>
      </c>
    </row>
    <row r="17" spans="1:96">
      <c r="A17" s="151"/>
      <c r="B17" s="183" t="s">
        <v>28</v>
      </c>
      <c r="C17" s="12" t="s">
        <v>29</v>
      </c>
      <c r="D17" s="9">
        <f>-IF($B$2="",0,VLOOKUP($B$2,'24 25 Actuals'!$A$1:$CD$206,14,FALSE))</f>
        <v>0</v>
      </c>
      <c r="E17" s="8">
        <f>IF($B$2="",0,VLOOKUP($B$2,'2526 GBP Data input'!$A$4:$CX$229,22,FALSE))</f>
        <v>0</v>
      </c>
      <c r="F17" s="9">
        <f>IF($B$2="",0,VLOOKUP($B$2,'Actuals mapped to CFR'!$B$4:$CG$135,15,FALSE))*-1</f>
        <v>0</v>
      </c>
      <c r="G17" s="174" t="str">
        <f t="shared" si="1"/>
        <v/>
      </c>
      <c r="I17" s="25" t="str">
        <f t="shared" si="2"/>
        <v/>
      </c>
    </row>
    <row r="18" spans="1:96">
      <c r="A18" s="151"/>
      <c r="B18" s="183" t="s">
        <v>30</v>
      </c>
      <c r="C18" s="158" t="s">
        <v>31</v>
      </c>
      <c r="D18" s="9">
        <f>-IF($B$2="",0,VLOOKUP($B$2,'24 25 Actuals'!$A$1:$CD$206,15,FALSE))</f>
        <v>0</v>
      </c>
      <c r="E18" s="8">
        <f>IF($B$2="",0,VLOOKUP($B$2,'2526 GBP Data input'!$A$4:$CX$229,23,FALSE))</f>
        <v>0</v>
      </c>
      <c r="F18" s="9">
        <f>IF($B$2="",0,VLOOKUP($B$2,'Actuals mapped to CFR'!$B$4:$CG$135,16,FALSE))*-1</f>
        <v>0</v>
      </c>
      <c r="G18" s="174" t="str">
        <f t="shared" si="1"/>
        <v/>
      </c>
      <c r="I18" s="25" t="str">
        <f t="shared" si="2"/>
        <v/>
      </c>
    </row>
    <row r="19" spans="1:96">
      <c r="A19" s="151"/>
      <c r="B19" s="183" t="s">
        <v>32</v>
      </c>
      <c r="C19" s="158" t="s">
        <v>33</v>
      </c>
      <c r="D19" s="9">
        <f>-IF($B$2="",0,VLOOKUP($B$2,'24 25 Actuals'!$A$1:$CD$206,16,FALSE))</f>
        <v>0</v>
      </c>
      <c r="E19" s="8">
        <f>IF($B$2="",0,VLOOKUP($B$2,'2526 GBP Data input'!$A$4:$CX$229,24,FALSE))</f>
        <v>0</v>
      </c>
      <c r="F19" s="9">
        <f>IF($B$2="",0,VLOOKUP($B$2,'Actuals mapped to CFR'!$B$4:$CG$135,17,FALSE))*-1</f>
        <v>0</v>
      </c>
      <c r="G19" s="174" t="str">
        <f t="shared" ref="G19" si="3">IF(E19=0,"",F19/E19)</f>
        <v/>
      </c>
      <c r="I19" s="25" t="str">
        <f t="shared" ref="I19" si="4">IF(AND(F19&gt;5,E19=0),"Actual but no Budget",IF(F19&gt;E19,"Actual to date Higher than Budget",""))</f>
        <v/>
      </c>
    </row>
    <row r="20" spans="1:96">
      <c r="A20" s="151"/>
      <c r="B20" s="189" t="s">
        <v>34</v>
      </c>
      <c r="C20" s="149" t="s">
        <v>35</v>
      </c>
      <c r="D20" s="9">
        <f>-IF($B$2="",0,VLOOKUP($B$2,'24 25 Actuals'!$A$1:$CD$206,17,FALSE))</f>
        <v>0</v>
      </c>
      <c r="E20" s="8">
        <f>IF($B$2="",0,VLOOKUP($B$2,'2526 GBP Data input'!$A$4:$CX$229,25,FALSE))</f>
        <v>0</v>
      </c>
      <c r="F20" s="9">
        <f>IF($B$2="",0,VLOOKUP($B$2,'Actuals mapped to CFR'!$B$4:$CG$135,18,FALSE))*-1</f>
        <v>0</v>
      </c>
      <c r="G20" s="174" t="str">
        <f t="shared" si="1"/>
        <v/>
      </c>
      <c r="I20" s="25" t="str">
        <f t="shared" si="2"/>
        <v/>
      </c>
    </row>
    <row r="21" spans="1:96">
      <c r="A21" s="151"/>
      <c r="B21" s="183" t="s">
        <v>36</v>
      </c>
      <c r="C21" s="158" t="s">
        <v>37</v>
      </c>
      <c r="D21" s="9">
        <f>-IF($B$2="",0,VLOOKUP($B$2,'24 25 Actuals'!$A$1:$CD$206,18,FALSE))</f>
        <v>0</v>
      </c>
      <c r="E21" s="8">
        <f>IF($B$2="",0,VLOOKUP($B$2,'2526 GBP Data input'!$A$4:$CX$229,26,FALSE))</f>
        <v>0</v>
      </c>
      <c r="F21" s="9">
        <f>IF($B$2="",0,VLOOKUP($B$2,'Actuals mapped to CFR'!$B$4:$CG$135,19,FALSE))*-1</f>
        <v>0</v>
      </c>
      <c r="G21" s="174" t="str">
        <f t="shared" si="1"/>
        <v/>
      </c>
      <c r="I21" s="25" t="str">
        <f t="shared" si="2"/>
        <v/>
      </c>
    </row>
    <row r="22" spans="1:96">
      <c r="A22" s="151"/>
      <c r="B22" s="183" t="s">
        <v>38</v>
      </c>
      <c r="C22" s="12" t="s">
        <v>39</v>
      </c>
      <c r="D22" s="9">
        <f>-IF($B$2="",0,VLOOKUP($B$2,'24 25 Actuals'!$A$1:$CD$206,19,FALSE))</f>
        <v>0</v>
      </c>
      <c r="E22" s="8">
        <f>IF($B$2="",0,VLOOKUP($B$2,'2526 GBP Data input'!$A$4:$CX$229,27,FALSE))</f>
        <v>0</v>
      </c>
      <c r="F22" s="9">
        <f>IF($B$2="",0,VLOOKUP($B$2,'Actuals mapped to CFR'!$B$4:$CG$135,20,FALSE))*-1</f>
        <v>0</v>
      </c>
      <c r="G22" s="174" t="str">
        <f t="shared" si="1"/>
        <v/>
      </c>
      <c r="I22" s="25" t="str">
        <f t="shared" si="2"/>
        <v/>
      </c>
    </row>
    <row r="23" spans="1:96">
      <c r="A23" s="151"/>
      <c r="B23" s="183" t="s">
        <v>40</v>
      </c>
      <c r="C23" s="12" t="s">
        <v>41</v>
      </c>
      <c r="D23" s="9">
        <f>-IF($B$2="",0,VLOOKUP($B$2,'24 25 Actuals'!$A$1:$CD$206,20,FALSE))</f>
        <v>0</v>
      </c>
      <c r="E23" s="8">
        <f>IF($B$2="",0,VLOOKUP($B$2,'2526 GBP Data input'!$A$4:$CX$229,28,FALSE))</f>
        <v>0</v>
      </c>
      <c r="F23" s="9">
        <f>IF($B$2="",0,VLOOKUP($B$2,'Actuals mapped to CFR'!$B$4:$CG$135,21,FALSE))*-1</f>
        <v>0</v>
      </c>
      <c r="G23" s="174" t="str">
        <f t="shared" si="1"/>
        <v/>
      </c>
      <c r="I23" s="25" t="str">
        <f t="shared" si="2"/>
        <v/>
      </c>
    </row>
    <row r="24" spans="1:96">
      <c r="A24" s="151"/>
      <c r="B24" s="183" t="s">
        <v>42</v>
      </c>
      <c r="C24" s="12" t="s">
        <v>43</v>
      </c>
      <c r="D24" s="9">
        <f>-IF($B$2="",0,VLOOKUP($B$2,'24 25 Actuals'!$A$1:$CD$206,21,FALSE))</f>
        <v>0</v>
      </c>
      <c r="E24" s="8">
        <f>IF($B$2="",0,VLOOKUP($B$2,'2526 GBP Data input'!$A$4:$CX$229,29,FALSE))</f>
        <v>0</v>
      </c>
      <c r="F24" s="9">
        <f>IF($B$2="",0,VLOOKUP($B$2,'Actuals mapped to CFR'!$B$4:$CG$135,22,FALSE))*-1</f>
        <v>0</v>
      </c>
      <c r="G24" s="174" t="str">
        <f t="shared" si="1"/>
        <v/>
      </c>
      <c r="I24" s="25" t="str">
        <f t="shared" si="2"/>
        <v/>
      </c>
    </row>
    <row r="25" spans="1:96">
      <c r="A25" s="151"/>
      <c r="B25" s="184" t="s">
        <v>44</v>
      </c>
      <c r="C25" s="13" t="s">
        <v>45</v>
      </c>
      <c r="D25" s="9">
        <f>-IF($B$2="",0,VLOOKUP($B$2,'24 25 Actuals'!$A$1:$CD$206,22,FALSE))</f>
        <v>0</v>
      </c>
      <c r="E25" s="8">
        <f>IF($B$2="",0,VLOOKUP($B$2,'2526 GBP Data input'!$A$4:$CX$229,30,FALSE))</f>
        <v>0</v>
      </c>
      <c r="F25" s="9">
        <f>IF($B$2="",0,VLOOKUP($B$2,'Actuals mapped to CFR'!$B$4:$CG$135,23,FALSE))*-1</f>
        <v>0</v>
      </c>
      <c r="G25" s="174" t="str">
        <f t="shared" si="1"/>
        <v/>
      </c>
      <c r="I25" s="25" t="str">
        <f t="shared" si="2"/>
        <v/>
      </c>
      <c r="CQ25"/>
      <c r="CR25"/>
    </row>
    <row r="26" spans="1:96">
      <c r="A26" s="151"/>
      <c r="B26" s="184" t="s">
        <v>46</v>
      </c>
      <c r="C26" s="26" t="s">
        <v>963</v>
      </c>
      <c r="D26" s="9">
        <f>-IF($B$2="",0,VLOOKUP($B$2,'24 25 Actuals'!$A$1:$CD$206,23,FALSE))</f>
        <v>0</v>
      </c>
      <c r="E26" s="8">
        <f>IF($B$2="",0,VLOOKUP($B$2,'2526 GBP Data input'!$A$4:$CX$229,31,FALSE))</f>
        <v>0</v>
      </c>
      <c r="F26" s="9">
        <f>IF($B$2="",0,VLOOKUP($B$2,'Actuals mapped to CFR'!$B$4:$CG$135,25,FALSE))*-1</f>
        <v>0</v>
      </c>
      <c r="G26" s="174" t="str">
        <f t="shared" si="1"/>
        <v/>
      </c>
      <c r="I26" s="25" t="str">
        <f t="shared" si="2"/>
        <v/>
      </c>
    </row>
    <row r="27" spans="1:96">
      <c r="A27" s="151"/>
      <c r="B27" s="184" t="s">
        <v>47</v>
      </c>
      <c r="C27" s="26" t="s">
        <v>48</v>
      </c>
      <c r="D27" s="9">
        <f>-IF($B$2="",0,VLOOKUP($B$2,'24 25 Actuals'!$A$1:$CD$206,24,FALSE))</f>
        <v>0</v>
      </c>
      <c r="E27" s="8">
        <f>IF($B$2="",0,VLOOKUP($B$2,'2526 GBP Data input'!$A$4:$CX$229,32,FALSE))</f>
        <v>0</v>
      </c>
      <c r="F27" s="9">
        <f>IF($B$2="",0,VLOOKUP($B$2,'Actuals mapped to CFR'!$B$4:$CG$135,26,FALSE))*-1</f>
        <v>0</v>
      </c>
      <c r="G27" s="174" t="str">
        <f t="shared" si="1"/>
        <v/>
      </c>
      <c r="I27" s="25" t="str">
        <f t="shared" si="2"/>
        <v/>
      </c>
    </row>
    <row r="28" spans="1:96">
      <c r="A28" s="151"/>
      <c r="B28" s="184" t="s">
        <v>49</v>
      </c>
      <c r="C28" s="26" t="s">
        <v>50</v>
      </c>
      <c r="D28" s="9">
        <f>-IF($B$2="",0,VLOOKUP($B$2,'24 25 Actuals'!$A$1:$CD$206,25,FALSE))</f>
        <v>0</v>
      </c>
      <c r="E28" s="8">
        <f>IF($B$2="",0,VLOOKUP($B$2,'2526 GBP Data input'!$A$4:$CX$229,33,FALSE))</f>
        <v>0</v>
      </c>
      <c r="F28" s="9">
        <f>IF($B$2="",0,VLOOKUP($B$2,'Actuals mapped to CFR'!$B$4:$CG$135,27,FALSE))*-1</f>
        <v>0</v>
      </c>
      <c r="G28" s="174" t="str">
        <f t="shared" si="1"/>
        <v/>
      </c>
      <c r="I28" s="27" t="str">
        <f t="shared" si="2"/>
        <v/>
      </c>
    </row>
    <row r="29" spans="1:96">
      <c r="A29" s="151"/>
      <c r="B29" s="412" t="s">
        <v>51</v>
      </c>
      <c r="C29" s="413" t="s">
        <v>52</v>
      </c>
      <c r="D29" s="334">
        <f>-IF($B$2="",0,VLOOKUP($B$2,'24 25 Actuals'!$A$1:$CD$206,26,FALSE))</f>
        <v>0</v>
      </c>
      <c r="E29" s="334">
        <f>IF($B$2="",0,VLOOKUP($B$2,'2526 GBP Data input'!$A$4:$CX$229,34,FALSE))</f>
        <v>0</v>
      </c>
      <c r="F29" s="334">
        <f>IF($B$2="",0,VLOOKUP($B$2,'Actuals mapped to CFR'!$B$4:$CG$135,28,FALSE))*-1</f>
        <v>0</v>
      </c>
      <c r="G29" s="336" t="str">
        <f>IF(E29=0,"",F29/E29)</f>
        <v/>
      </c>
      <c r="H29" s="1" t="s">
        <v>1017</v>
      </c>
      <c r="I29" s="27" t="str">
        <f>IF(AND(F29&gt;5,E29=0),"Actual but no Budget",IF(F29&gt;E29,"Actual to date Higher than Budget",""))</f>
        <v/>
      </c>
    </row>
    <row r="30" spans="1:96">
      <c r="A30" s="151"/>
      <c r="B30" s="412" t="s">
        <v>53</v>
      </c>
      <c r="C30" s="413" t="s">
        <v>54</v>
      </c>
      <c r="D30" s="334">
        <f>-IF($B$2="",0,VLOOKUP($B$2,'24 25 Actuals'!$A$1:$CD$206,27,FALSE))</f>
        <v>0</v>
      </c>
      <c r="E30" s="334">
        <f>IF($B$2="",0,VLOOKUP($B$2,'2526 GBP Data input'!$A$4:$CX$229,35,FALSE))</f>
        <v>0</v>
      </c>
      <c r="F30" s="334">
        <f>IF($B$2="",0,VLOOKUP($B$2,'Actuals mapped to CFR'!$B$4:$CG$135,29,FALSE))*-1</f>
        <v>0</v>
      </c>
      <c r="G30" s="336" t="str">
        <f>IF(E30=0,"",F30/E30)</f>
        <v/>
      </c>
      <c r="H30" s="1" t="s">
        <v>1017</v>
      </c>
      <c r="I30" s="27" t="str">
        <f>IF(AND(F30&gt;5,E30=0),"Actual but no Budget",IF(F30&gt;E30,"Actual to date Higher than Budget",""))</f>
        <v/>
      </c>
    </row>
    <row r="31" spans="1:96">
      <c r="A31" s="151"/>
      <c r="B31" s="412" t="s">
        <v>55</v>
      </c>
      <c r="C31" s="413" t="s">
        <v>56</v>
      </c>
      <c r="D31" s="334">
        <f>-IF($B$2="",0,VLOOKUP($B$2,'24 25 Actuals'!$A$1:$CD$206,28,FALSE))</f>
        <v>0</v>
      </c>
      <c r="E31" s="334">
        <f>IF($B$2="",0,VLOOKUP($B$2,'2526 GBP Data input'!$A$4:$CX$229,36,FALSE))</f>
        <v>0</v>
      </c>
      <c r="F31" s="334">
        <f>IF($B$2="",0,VLOOKUP($B$2,'Actuals mapped to CFR'!$B$4:$CG$135,30,FALSE))*-1</f>
        <v>0</v>
      </c>
      <c r="G31" s="336" t="str">
        <f>IF(E31=0,"",F31/E31)</f>
        <v/>
      </c>
      <c r="H31" s="1" t="s">
        <v>1017</v>
      </c>
      <c r="I31" s="27" t="str">
        <f>IF(AND(F31&gt;5,E31=0),"Actual but no Budget",IF(F31&gt;E31,"Actual to date Higher than Budget",""))</f>
        <v/>
      </c>
    </row>
    <row r="32" spans="1:96">
      <c r="A32" s="151"/>
      <c r="B32" s="412" t="s">
        <v>57</v>
      </c>
      <c r="C32" s="414" t="s">
        <v>58</v>
      </c>
      <c r="D32" s="334">
        <f>-IF($B$2="",0,VLOOKUP($B$2,'24 25 Actuals'!$A$1:$CD$206,29,FALSE))</f>
        <v>0</v>
      </c>
      <c r="E32" s="334">
        <f>IF($B$2="",0,VLOOKUP($B$2,'2526 GBP Data input'!$A$4:$CX$229,37,FALSE))</f>
        <v>0</v>
      </c>
      <c r="F32" s="334">
        <f>IF($B$2="",0,VLOOKUP($B$2,'Actuals mapped to CFR'!$B$4:$CG$135,31,FALSE))*-1</f>
        <v>0</v>
      </c>
      <c r="G32" s="336" t="str">
        <f>IF(E32=0,"",F32/E32)</f>
        <v/>
      </c>
      <c r="H32" s="1" t="s">
        <v>1017</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row>
    <row r="35" spans="1:96">
      <c r="A35" s="320"/>
      <c r="B35" s="181" t="s">
        <v>61</v>
      </c>
      <c r="C35" s="23" t="s">
        <v>62</v>
      </c>
      <c r="D35" s="9">
        <f>IF($B$2="",0,VLOOKUP($B$2,'24 25 Actuals'!$A$1:$CK$206,30,FALSE))</f>
        <v>0</v>
      </c>
      <c r="E35" s="8">
        <f>IF($B$2="",0,VLOOKUP($B$2,'2526 GBP Data input'!$A$4:$CX$229,40,FALSE))</f>
        <v>0</v>
      </c>
      <c r="F35" s="9">
        <f>IF($B$2="",0,VLOOKUP($B$2,'Actuals mapped to CFR'!$B$4:$CG$135,32,FALSE))</f>
        <v>0</v>
      </c>
      <c r="G35" s="173" t="str">
        <f t="shared" ref="G35:G74" si="5">IF(E35=0,"",F35/E35)</f>
        <v/>
      </c>
      <c r="H35" s="78"/>
      <c r="I35" s="24" t="str">
        <f t="shared" ref="I35:I90" si="6">IF(AND(F35&gt;5,E35=0),"Actual but no Budget",IF(F35&gt;E35,"Actual to date Higher than Budget",""))</f>
        <v/>
      </c>
    </row>
    <row r="36" spans="1:96">
      <c r="A36" s="320"/>
      <c r="B36" s="183" t="s">
        <v>63</v>
      </c>
      <c r="C36" s="12" t="s">
        <v>64</v>
      </c>
      <c r="D36" s="9">
        <f>IF($B$2="",0,VLOOKUP($B$2,'24 25 Actuals'!$A$1:$CD$206,31,FALSE))</f>
        <v>0</v>
      </c>
      <c r="E36" s="8">
        <f>IF($B$2="",0,VLOOKUP($B$2,'2526 GBP Data input'!$A$4:$CX$229,41,FALSE))</f>
        <v>0</v>
      </c>
      <c r="F36" s="9">
        <f>IF($B$2="",0,VLOOKUP($B$2,'Actuals mapped to CFR'!$B$4:$CG$135,33,FALSE))</f>
        <v>0</v>
      </c>
      <c r="G36" s="174" t="str">
        <f t="shared" si="5"/>
        <v/>
      </c>
      <c r="I36" s="25" t="str">
        <f t="shared" si="6"/>
        <v/>
      </c>
    </row>
    <row r="37" spans="1:96">
      <c r="A37" s="320"/>
      <c r="B37" s="183" t="s">
        <v>65</v>
      </c>
      <c r="C37" s="12" t="s">
        <v>66</v>
      </c>
      <c r="D37" s="9">
        <f>IF($B$2="",0,VLOOKUP($B$2,'24 25 Actuals'!$A$1:$CD$206,32,FALSE))</f>
        <v>0</v>
      </c>
      <c r="E37" s="8">
        <f>IF($B$2="",0,VLOOKUP($B$2,'2526 GBP Data input'!$A$4:$CX$229,42,FALSE))</f>
        <v>0</v>
      </c>
      <c r="F37" s="9">
        <f>IF($B$2="",0,VLOOKUP($B$2,'Actuals mapped to CFR'!$B$4:$CG$135,34,FALSE))</f>
        <v>0</v>
      </c>
      <c r="G37" s="174" t="str">
        <f t="shared" si="5"/>
        <v/>
      </c>
      <c r="I37" s="25" t="str">
        <f t="shared" si="6"/>
        <v/>
      </c>
    </row>
    <row r="38" spans="1:96">
      <c r="A38" s="320"/>
      <c r="B38" s="183" t="s">
        <v>67</v>
      </c>
      <c r="C38" s="12" t="s">
        <v>68</v>
      </c>
      <c r="D38" s="9">
        <f>IF($B$2="",0,VLOOKUP($B$2,'24 25 Actuals'!$A$1:$CD$206,33,FALSE))</f>
        <v>0</v>
      </c>
      <c r="E38" s="8">
        <f>IF($B$2="",0,VLOOKUP($B$2,'2526 GBP Data input'!$A$4:$CX$229,43,FALSE))</f>
        <v>0</v>
      </c>
      <c r="F38" s="9">
        <f>IF($B$2="",0,VLOOKUP($B$2,'Actuals mapped to CFR'!$B$4:$CG$135,35,FALSE))</f>
        <v>0</v>
      </c>
      <c r="G38" s="174" t="str">
        <f t="shared" si="5"/>
        <v/>
      </c>
      <c r="I38" s="25" t="str">
        <f t="shared" si="6"/>
        <v/>
      </c>
      <c r="O38" s="78"/>
    </row>
    <row r="39" spans="1:96">
      <c r="A39" s="320"/>
      <c r="B39" s="183" t="s">
        <v>69</v>
      </c>
      <c r="C39" s="12" t="s">
        <v>70</v>
      </c>
      <c r="D39" s="9">
        <f>IF($B$2="",0,VLOOKUP($B$2,'24 25 Actuals'!$A$1:$CD$206,34,FALSE))</f>
        <v>0</v>
      </c>
      <c r="E39" s="8">
        <f>IF($B$2="",0,VLOOKUP($B$2,'2526 GBP Data input'!$A$4:$CX$229,44,FALSE))</f>
        <v>0</v>
      </c>
      <c r="F39" s="9">
        <f>IF($B$2="",0,VLOOKUP($B$2,'Actuals mapped to CFR'!$B$4:$CG$135,36,FALSE))</f>
        <v>0</v>
      </c>
      <c r="G39" s="174" t="str">
        <f t="shared" si="5"/>
        <v/>
      </c>
      <c r="I39" s="25" t="str">
        <f t="shared" si="6"/>
        <v/>
      </c>
    </row>
    <row r="40" spans="1:96">
      <c r="A40" s="320"/>
      <c r="B40" s="183" t="s">
        <v>71</v>
      </c>
      <c r="C40" s="12" t="s">
        <v>72</v>
      </c>
      <c r="D40" s="9">
        <f>IF($B$2="",0,VLOOKUP($B$2,'24 25 Actuals'!$A$1:$CD$206,35,FALSE))</f>
        <v>0</v>
      </c>
      <c r="E40" s="8">
        <f>IF($B$2="",0,VLOOKUP($B$2,'2526 GBP Data input'!$A$4:$CX$229,45,FALSE))</f>
        <v>0</v>
      </c>
      <c r="F40" s="9">
        <f>IF($B$2="",0,VLOOKUP($B$2,'Actuals mapped to CFR'!$B$4:$CG$135,37,FALSE))</f>
        <v>0</v>
      </c>
      <c r="G40" s="174" t="str">
        <f t="shared" si="5"/>
        <v/>
      </c>
      <c r="I40" s="25" t="str">
        <f t="shared" si="6"/>
        <v/>
      </c>
    </row>
    <row r="41" spans="1:96">
      <c r="A41" s="320"/>
      <c r="B41" s="183" t="s">
        <v>73</v>
      </c>
      <c r="C41" s="12" t="s">
        <v>74</v>
      </c>
      <c r="D41" s="9">
        <f>IF($B$2="",0,VLOOKUP($B$2,'24 25 Actuals'!$A$1:$CD$206,36,FALSE))</f>
        <v>0</v>
      </c>
      <c r="E41" s="8">
        <f>IF($B$2="",0,VLOOKUP($B$2,'2526 GBP Data input'!$A$4:$CX$229,46,FALSE))</f>
        <v>0</v>
      </c>
      <c r="F41" s="9">
        <f>IF($B$2="",0,VLOOKUP($B$2,'Actuals mapped to CFR'!$B$4:$CG$135,38,FALSE))</f>
        <v>0</v>
      </c>
      <c r="G41" s="174" t="str">
        <f t="shared" si="5"/>
        <v/>
      </c>
      <c r="I41" s="25" t="str">
        <f t="shared" si="6"/>
        <v/>
      </c>
      <c r="CQ41"/>
      <c r="CR41"/>
    </row>
    <row r="42" spans="1:96">
      <c r="A42" s="320"/>
      <c r="B42" s="183" t="s">
        <v>75</v>
      </c>
      <c r="C42" s="12" t="s">
        <v>76</v>
      </c>
      <c r="D42" s="9">
        <f>IF($B$2="",0,VLOOKUP($B$2,'24 25 Actuals'!$A$1:$CD$206,37,FALSE))</f>
        <v>0</v>
      </c>
      <c r="E42" s="8">
        <f>IF($B$2="",0,VLOOKUP($B$2,'2526 GBP Data input'!$A$4:$CX$229,47,FALSE))</f>
        <v>0</v>
      </c>
      <c r="F42" s="9">
        <f>IF($B$2="",0,VLOOKUP($B$2,'Actuals mapped to CFR'!$B$4:$CG$135,39,FALSE))</f>
        <v>0</v>
      </c>
      <c r="G42" s="174" t="str">
        <f t="shared" si="5"/>
        <v/>
      </c>
      <c r="I42" s="25" t="str">
        <f t="shared" si="6"/>
        <v/>
      </c>
    </row>
    <row r="43" spans="1:96">
      <c r="A43" s="320"/>
      <c r="B43" s="183" t="s">
        <v>77</v>
      </c>
      <c r="C43" s="12" t="s">
        <v>78</v>
      </c>
      <c r="D43" s="9">
        <f>IF($B$2="",0,VLOOKUP($B$2,'24 25 Actuals'!$A$1:$CD$206,38,FALSE))</f>
        <v>0</v>
      </c>
      <c r="E43" s="8">
        <f>IF($B$2="",0,VLOOKUP($B$2,'2526 GBP Data input'!$A$4:$CX$229,48,FALSE))</f>
        <v>0</v>
      </c>
      <c r="F43" s="9">
        <f>IF($B$2="",0,VLOOKUP($B$2,'Actuals mapped to CFR'!$B$4:$CG$135,40,FALSE))</f>
        <v>0</v>
      </c>
      <c r="G43" s="174" t="str">
        <f t="shared" si="5"/>
        <v/>
      </c>
      <c r="I43" s="25" t="str">
        <f t="shared" si="6"/>
        <v/>
      </c>
    </row>
    <row r="44" spans="1:96">
      <c r="A44" s="320"/>
      <c r="B44" s="183" t="s">
        <v>79</v>
      </c>
      <c r="C44" s="12" t="s">
        <v>80</v>
      </c>
      <c r="D44" s="9">
        <f>IF($B$2="",0,VLOOKUP($B$2,'24 25 Actuals'!$A$1:$CD$206,39,FALSE))</f>
        <v>0</v>
      </c>
      <c r="E44" s="8">
        <f>IF($B$2="",0,VLOOKUP($B$2,'2526 GBP Data input'!$A$4:$CX$229,49,FALSE))</f>
        <v>0</v>
      </c>
      <c r="F44" s="9">
        <f>IF($B$2="",0,VLOOKUP($B$2,'Actuals mapped to CFR'!$B$4:$CG$135,41,FALSE))</f>
        <v>0</v>
      </c>
      <c r="G44" s="174" t="str">
        <f t="shared" si="5"/>
        <v/>
      </c>
      <c r="I44" s="25" t="str">
        <f t="shared" si="6"/>
        <v/>
      </c>
    </row>
    <row r="45" spans="1:96">
      <c r="A45" s="320"/>
      <c r="B45" s="183" t="s">
        <v>81</v>
      </c>
      <c r="C45" s="12" t="s">
        <v>82</v>
      </c>
      <c r="D45" s="9">
        <f>IF($B$2="",0,VLOOKUP($B$2,'24 25 Actuals'!$A$1:$CD$206,40,FALSE))</f>
        <v>0</v>
      </c>
      <c r="E45" s="8">
        <f>IF($B$2="",0,VLOOKUP($B$2,'2526 GBP Data input'!$A$4:$CX$229,50,FALSE))</f>
        <v>0</v>
      </c>
      <c r="F45" s="9">
        <f>IF($B$2="",0,VLOOKUP($B$2,'Actuals mapped to CFR'!$B$4:$CG$135,42,FALSE))</f>
        <v>0</v>
      </c>
      <c r="G45" s="174" t="str">
        <f t="shared" si="5"/>
        <v/>
      </c>
      <c r="I45" s="25" t="str">
        <f t="shared" si="6"/>
        <v/>
      </c>
    </row>
    <row r="46" spans="1:96">
      <c r="A46" s="320"/>
      <c r="B46" s="183" t="s">
        <v>83</v>
      </c>
      <c r="C46" s="12" t="s">
        <v>84</v>
      </c>
      <c r="D46" s="9">
        <f>IF($B$2="",0,VLOOKUP($B$2,'24 25 Actuals'!$A$1:$CD$206,41,FALSE))</f>
        <v>0</v>
      </c>
      <c r="E46" s="8">
        <f>IF($B$2="",0,VLOOKUP($B$2,'2526 GBP Data input'!$A$4:$CX$229,51,FALSE))</f>
        <v>0</v>
      </c>
      <c r="F46" s="9">
        <f>IF($B$2="",0,VLOOKUP($B$2,'Actuals mapped to CFR'!$B$4:$CG$135,43,FALSE))</f>
        <v>0</v>
      </c>
      <c r="G46" s="174" t="str">
        <f t="shared" si="5"/>
        <v/>
      </c>
      <c r="I46" s="25" t="str">
        <f t="shared" si="6"/>
        <v/>
      </c>
    </row>
    <row r="47" spans="1:96">
      <c r="A47" s="320"/>
      <c r="B47" s="183" t="s">
        <v>85</v>
      </c>
      <c r="C47" s="12" t="s">
        <v>86</v>
      </c>
      <c r="D47" s="9">
        <f>IF($B$2="",0,VLOOKUP($B$2,'24 25 Actuals'!$A$1:$CD$206,42,FALSE))</f>
        <v>0</v>
      </c>
      <c r="E47" s="8">
        <f>IF($B$2="",0,VLOOKUP($B$2,'2526 GBP Data input'!$A$4:$CX$229,52,FALSE))</f>
        <v>0</v>
      </c>
      <c r="F47" s="9">
        <f>IF($B$2="",0,VLOOKUP($B$2,'Actuals mapped to CFR'!$B$4:$CG$135,44,FALSE))</f>
        <v>0</v>
      </c>
      <c r="G47" s="174" t="str">
        <f t="shared" si="5"/>
        <v/>
      </c>
      <c r="I47" s="25" t="str">
        <f t="shared" si="6"/>
        <v/>
      </c>
    </row>
    <row r="48" spans="1:96">
      <c r="A48" s="320"/>
      <c r="B48" s="183" t="s">
        <v>87</v>
      </c>
      <c r="C48" s="12" t="s">
        <v>88</v>
      </c>
      <c r="D48" s="9">
        <f>IF($B$2="",0,VLOOKUP($B$2,'24 25 Actuals'!$A$1:$CD$206,43,FALSE))</f>
        <v>0</v>
      </c>
      <c r="E48" s="8">
        <f>IF($B$2="",0,VLOOKUP($B$2,'2526 GBP Data input'!$A$4:$CX$229,53,FALSE))</f>
        <v>0</v>
      </c>
      <c r="F48" s="9">
        <f>IF($B$2="",0,VLOOKUP($B$2,'Actuals mapped to CFR'!$B$4:$CG$135,45,FALSE))</f>
        <v>0</v>
      </c>
      <c r="G48" s="174" t="str">
        <f t="shared" si="5"/>
        <v/>
      </c>
      <c r="I48" s="25" t="str">
        <f t="shared" si="6"/>
        <v/>
      </c>
    </row>
    <row r="49" spans="1:9">
      <c r="A49" s="320"/>
      <c r="B49" s="183" t="s">
        <v>89</v>
      </c>
      <c r="C49" s="12" t="s">
        <v>90</v>
      </c>
      <c r="D49" s="9">
        <f>IF($B$2="",0,VLOOKUP($B$2,'24 25 Actuals'!$A$1:$CD$206,44,FALSE))</f>
        <v>0</v>
      </c>
      <c r="E49" s="8">
        <f>IF($B$2="",0,VLOOKUP($B$2,'2526 GBP Data input'!$A$4:$CX$229,54,FALSE))</f>
        <v>0</v>
      </c>
      <c r="F49" s="9">
        <f>IF($B$2="",0,VLOOKUP($B$2,'Actuals mapped to CFR'!$B$4:$CG$135,46,FALSE))</f>
        <v>0</v>
      </c>
      <c r="G49" s="174" t="str">
        <f t="shared" si="5"/>
        <v/>
      </c>
      <c r="I49" s="25" t="str">
        <f t="shared" si="6"/>
        <v/>
      </c>
    </row>
    <row r="50" spans="1:9">
      <c r="A50" s="320"/>
      <c r="B50" s="183" t="s">
        <v>91</v>
      </c>
      <c r="C50" s="12" t="s">
        <v>92</v>
      </c>
      <c r="D50" s="9">
        <f>IF($B$2="",0,VLOOKUP($B$2,'24 25 Actuals'!$A$1:$CD$206,45,FALSE))</f>
        <v>0</v>
      </c>
      <c r="E50" s="8">
        <f>IF($B$2="",0,VLOOKUP($B$2,'2526 GBP Data input'!$A$4:$CX$229,55,FALSE))</f>
        <v>0</v>
      </c>
      <c r="F50" s="9">
        <f>IF($B$2="",0,VLOOKUP($B$2,'Actuals mapped to CFR'!$B$4:$CG$135,47,FALSE))</f>
        <v>0</v>
      </c>
      <c r="G50" s="174" t="str">
        <f t="shared" si="5"/>
        <v/>
      </c>
      <c r="I50" s="25" t="str">
        <f t="shared" si="6"/>
        <v/>
      </c>
    </row>
    <row r="51" spans="1:9">
      <c r="A51" s="320"/>
      <c r="B51" s="183" t="s">
        <v>93</v>
      </c>
      <c r="C51" s="12" t="s">
        <v>94</v>
      </c>
      <c r="D51" s="9">
        <f>IF($B$2="",0,VLOOKUP($B$2,'24 25 Actuals'!$A$1:$CD$206,46,FALSE))</f>
        <v>0</v>
      </c>
      <c r="E51" s="8">
        <f>IF($B$2="",0,VLOOKUP($B$2,'2526 GBP Data input'!$A$4:$CX$229,56,FALSE))</f>
        <v>0</v>
      </c>
      <c r="F51" s="9">
        <f>IF($B$2="",0,VLOOKUP($B$2,'Actuals mapped to CFR'!$B$4:$CG$135,48,FALSE))</f>
        <v>0</v>
      </c>
      <c r="G51" s="174" t="str">
        <f t="shared" si="5"/>
        <v/>
      </c>
      <c r="I51" s="25" t="str">
        <f t="shared" si="6"/>
        <v/>
      </c>
    </row>
    <row r="52" spans="1:9">
      <c r="A52" s="320"/>
      <c r="B52" s="183" t="s">
        <v>95</v>
      </c>
      <c r="C52" s="12" t="s">
        <v>96</v>
      </c>
      <c r="D52" s="9">
        <f>IF($B$2="",0,VLOOKUP($B$2,'24 25 Actuals'!$A$1:$CD$206,47,FALSE))</f>
        <v>0</v>
      </c>
      <c r="E52" s="8">
        <f>IF($B$2="",0,VLOOKUP($B$2,'2526 GBP Data input'!$A$4:$CX$229,57,FALSE))</f>
        <v>0</v>
      </c>
      <c r="F52" s="9">
        <f>IF($B$2="",0,VLOOKUP($B$2,'Actuals mapped to CFR'!$B$4:$CG$135,49,FALSE))</f>
        <v>0</v>
      </c>
      <c r="G52" s="174" t="str">
        <f t="shared" si="5"/>
        <v/>
      </c>
      <c r="I52" s="25" t="str">
        <f t="shared" si="6"/>
        <v/>
      </c>
    </row>
    <row r="53" spans="1:9">
      <c r="A53" s="320"/>
      <c r="B53" s="183" t="s">
        <v>97</v>
      </c>
      <c r="C53" s="12" t="s">
        <v>98</v>
      </c>
      <c r="D53" s="9">
        <f>IF($B$2="",0,VLOOKUP($B$2,'24 25 Actuals'!$A$1:$CD$206,48,FALSE))</f>
        <v>0</v>
      </c>
      <c r="E53" s="8">
        <f>IF($B$2="",0,VLOOKUP($B$2,'2526 GBP Data input'!$A$4:$CX$229,58,FALSE))</f>
        <v>0</v>
      </c>
      <c r="F53" s="9">
        <f>IF($B$2="",0,VLOOKUP($B$2,'Actuals mapped to CFR'!$B$4:$CG$135,50,FALSE))</f>
        <v>0</v>
      </c>
      <c r="G53" s="174" t="str">
        <f t="shared" si="5"/>
        <v/>
      </c>
      <c r="I53" s="25" t="str">
        <f t="shared" si="6"/>
        <v/>
      </c>
    </row>
    <row r="54" spans="1:9">
      <c r="A54" s="320"/>
      <c r="B54" s="332" t="s">
        <v>99</v>
      </c>
      <c r="C54" s="333" t="s">
        <v>100</v>
      </c>
      <c r="D54" s="334">
        <f>IF($B$2="",0,VLOOKUP($B$2,'24 25 Actuals'!$A$1:$CD$206,49,FALSE))</f>
        <v>0</v>
      </c>
      <c r="E54" s="334"/>
      <c r="F54" s="335">
        <f>IF($B$2="",0,VLOOKUP($B$2,'Actuals mapped to CFR'!$B$4:$CG$135,51,FALSE))</f>
        <v>0</v>
      </c>
      <c r="G54" s="336" t="str">
        <f t="shared" ref="G54:G60" si="7">IF(E54=0,"",F54/E54)</f>
        <v/>
      </c>
      <c r="I54" s="25" t="str">
        <f t="shared" ref="I54:I60" si="8">IF(AND(F54&gt;5,E54=0),"Actual but no Budget",IF(F54&gt;E54,"Actual to date Higher than Budget",""))</f>
        <v/>
      </c>
    </row>
    <row r="55" spans="1:9">
      <c r="A55" s="320"/>
      <c r="B55" s="295" t="s">
        <v>790</v>
      </c>
      <c r="C55" s="296" t="s">
        <v>773</v>
      </c>
      <c r="D55" s="9">
        <f>IF($B$2="",0,VLOOKUP($B$2,'24 25 Actuals'!$A$1:$CD$206,50,FALSE))</f>
        <v>0</v>
      </c>
      <c r="E55" s="8">
        <f>IF($B$2="",0,VLOOKUP($B$2,'2526 GBP Data input'!$A$4:$CX$229,59,FALSE))</f>
        <v>0</v>
      </c>
      <c r="F55" s="9">
        <f>IF($B$2="",0,VLOOKUP($B$2,'Actuals mapped to CFR'!$B$4:$CG$135,52,FALSE))</f>
        <v>0</v>
      </c>
      <c r="G55" s="174" t="str">
        <f t="shared" ref="G55" si="9">IF(E55=0,"",F55/E55)</f>
        <v/>
      </c>
      <c r="I55" s="25" t="str">
        <f t="shared" ref="I55" si="10">IF(AND(F55&gt;5,E55=0),"Actual but no Budget",IF(F55&gt;E55,"Actual to date Higher than Budget",""))</f>
        <v/>
      </c>
    </row>
    <row r="56" spans="1:9">
      <c r="A56" s="320"/>
      <c r="B56" s="295" t="s">
        <v>791</v>
      </c>
      <c r="C56" s="296" t="s">
        <v>775</v>
      </c>
      <c r="D56" s="9">
        <f>IF($B$2="",0,VLOOKUP($B$2,'24 25 Actuals'!$A$1:$CD$206,51,FALSE))</f>
        <v>0</v>
      </c>
      <c r="E56" s="8">
        <f>IF($B$2="",0,VLOOKUP($B$2,'2526 GBP Data input'!$A$4:$CX$229,60,FALSE))</f>
        <v>0</v>
      </c>
      <c r="F56" s="9">
        <f>IF($B$2="",0,VLOOKUP($B$2,'Actuals mapped to CFR'!$B$4:$CG$135,53,FALSE))</f>
        <v>0</v>
      </c>
      <c r="G56" s="174" t="str">
        <f t="shared" si="7"/>
        <v/>
      </c>
      <c r="I56" s="25" t="str">
        <f t="shared" si="8"/>
        <v/>
      </c>
    </row>
    <row r="57" spans="1:9">
      <c r="A57" s="320"/>
      <c r="B57" s="295" t="s">
        <v>792</v>
      </c>
      <c r="C57" s="296" t="s">
        <v>777</v>
      </c>
      <c r="D57" s="9">
        <f>IF($B$2="",0,VLOOKUP($B$2,'24 25 Actuals'!$A$1:$CD$206,52,FALSE))</f>
        <v>0</v>
      </c>
      <c r="E57" s="8">
        <f>IF($B$2="",0,VLOOKUP($B$2,'2526 GBP Data input'!$A$4:$CX$229,61,FALSE))</f>
        <v>0</v>
      </c>
      <c r="F57" s="9">
        <f>IF($B$2="",0,VLOOKUP($B$2,'Actuals mapped to CFR'!$B$4:$CG$135,54,FALSE))</f>
        <v>0</v>
      </c>
      <c r="G57" s="174" t="str">
        <f t="shared" ref="G57" si="11">IF(E57=0,"",F57/E57)</f>
        <v/>
      </c>
      <c r="I57" s="25" t="str">
        <f t="shared" ref="I57" si="12">IF(AND(F57&gt;5,E57=0),"Actual but no Budget",IF(F57&gt;E57,"Actual to date Higher than Budget",""))</f>
        <v/>
      </c>
    </row>
    <row r="58" spans="1:9">
      <c r="A58" s="320"/>
      <c r="B58" s="295" t="s">
        <v>793</v>
      </c>
      <c r="C58" s="296" t="s">
        <v>780</v>
      </c>
      <c r="D58" s="9">
        <f>IF($B$2="",0,VLOOKUP($B$2,'24 25 Actuals'!$A$1:$CD$206,53,FALSE))</f>
        <v>0</v>
      </c>
      <c r="E58" s="8">
        <f>IF($B$2="",0,VLOOKUP($B$2,'2526 GBP Data input'!$A$4:$CX$229,62,FALSE))</f>
        <v>0</v>
      </c>
      <c r="F58" s="9">
        <f>IF($B$2="",0,VLOOKUP($B$2,'Actuals mapped to CFR'!$B$4:$CG$135,55,FALSE))</f>
        <v>0</v>
      </c>
      <c r="G58" s="174" t="str">
        <f t="shared" si="7"/>
        <v/>
      </c>
      <c r="I58" s="25" t="str">
        <f t="shared" si="8"/>
        <v/>
      </c>
    </row>
    <row r="59" spans="1:9">
      <c r="A59" s="320"/>
      <c r="B59" s="295" t="s">
        <v>794</v>
      </c>
      <c r="C59" s="296" t="s">
        <v>781</v>
      </c>
      <c r="D59" s="9">
        <f>IF($B$2="",0,VLOOKUP($B$2,'24 25 Actuals'!$A$1:$CD$206,54,FALSE))</f>
        <v>0</v>
      </c>
      <c r="E59" s="8">
        <f>IF($B$2="",0,VLOOKUP($B$2,'2526 GBP Data input'!$A$4:$CX$229,63,FALSE))</f>
        <v>0</v>
      </c>
      <c r="F59" s="9">
        <f>IF($B$2="",0,VLOOKUP($B$2,'Actuals mapped to CFR'!$B$4:$CG$135,56,FALSE))</f>
        <v>0</v>
      </c>
      <c r="G59" s="174" t="str">
        <f t="shared" ref="G59" si="13">IF(E59=0,"",F59/E59)</f>
        <v/>
      </c>
      <c r="I59" s="25" t="str">
        <f t="shared" ref="I59" si="14">IF(AND(F59&gt;5,E59=0),"Actual but no Budget",IF(F59&gt;E59,"Actual to date Higher than Budget",""))</f>
        <v/>
      </c>
    </row>
    <row r="60" spans="1:9">
      <c r="A60" s="320"/>
      <c r="B60" s="295" t="s">
        <v>795</v>
      </c>
      <c r="C60" s="296" t="s">
        <v>784</v>
      </c>
      <c r="D60" s="9">
        <f>IF($B$2="",0,VLOOKUP($B$2,'24 25 Actuals'!$A$1:$CD$206,55,FALSE))</f>
        <v>0</v>
      </c>
      <c r="E60" s="8">
        <f>IF($B$2="",0,VLOOKUP($B$2,'2526 GBP Data input'!$A$4:$CX$229,64,FALSE))</f>
        <v>0</v>
      </c>
      <c r="F60" s="9">
        <f>IF($B$2="",0,VLOOKUP($B$2,'Actuals mapped to CFR'!$B$4:$CG$135,57,FALSE))</f>
        <v>0</v>
      </c>
      <c r="G60" s="174" t="str">
        <f t="shared" si="7"/>
        <v/>
      </c>
      <c r="I60" s="25" t="str">
        <f t="shared" si="8"/>
        <v/>
      </c>
    </row>
    <row r="61" spans="1:9">
      <c r="A61" s="320"/>
      <c r="B61" s="295" t="s">
        <v>796</v>
      </c>
      <c r="C61" s="296" t="s">
        <v>785</v>
      </c>
      <c r="D61" s="9">
        <f>IF($B$2="",0,VLOOKUP($B$2,'24 25 Actuals'!$A$1:$CD$206,56,FALSE))</f>
        <v>0</v>
      </c>
      <c r="E61" s="8">
        <f>IF($B$2="",0,VLOOKUP($B$2,'2526 GBP Data input'!$A$4:$CX$229,65,FALSE))</f>
        <v>0</v>
      </c>
      <c r="F61" s="9">
        <f>IF($B$2="",0,VLOOKUP($B$2,'Actuals mapped to CFR'!$B$4:$CG$135,58,FALSE))</f>
        <v>0</v>
      </c>
      <c r="G61" s="174" t="str">
        <f t="shared" si="5"/>
        <v/>
      </c>
      <c r="I61" s="25" t="str">
        <f t="shared" si="6"/>
        <v/>
      </c>
    </row>
    <row r="62" spans="1:9">
      <c r="A62" s="320"/>
      <c r="B62" s="183" t="s">
        <v>101</v>
      </c>
      <c r="C62" s="12" t="s">
        <v>102</v>
      </c>
      <c r="D62" s="9">
        <f>IF($B$2="",0,VLOOKUP($B$2,'24 25 Actuals'!$A$1:$CD$206,57,FALSE))</f>
        <v>0</v>
      </c>
      <c r="E62" s="8">
        <f>IF($B$2="",0,VLOOKUP($B$2,'2526 GBP Data input'!$A$4:$CX$229,66,FALSE))</f>
        <v>0</v>
      </c>
      <c r="F62" s="9">
        <f>IF($B$2="",0,VLOOKUP($B$2,'Actuals mapped to CFR'!$B$4:$CG$135,59,FALSE))</f>
        <v>0</v>
      </c>
      <c r="G62" s="174" t="str">
        <f t="shared" si="5"/>
        <v/>
      </c>
      <c r="I62" s="25" t="str">
        <f t="shared" si="6"/>
        <v/>
      </c>
    </row>
    <row r="63" spans="1:9">
      <c r="A63" s="320"/>
      <c r="B63" s="183" t="s">
        <v>103</v>
      </c>
      <c r="C63" s="12" t="s">
        <v>104</v>
      </c>
      <c r="D63" s="9">
        <f>IF($B$2="",0,VLOOKUP($B$2,'24 25 Actuals'!$A$1:$CD$206,58,FALSE))</f>
        <v>0</v>
      </c>
      <c r="E63" s="8">
        <f>IF($B$2="",0,VLOOKUP($B$2,'2526 GBP Data input'!$A$4:$CX$229,67,FALSE))</f>
        <v>0</v>
      </c>
      <c r="F63" s="9">
        <f>IF($B$2="",0,VLOOKUP($B$2,'Actuals mapped to CFR'!$B$4:$CG$135,60,FALSE))</f>
        <v>0</v>
      </c>
      <c r="G63" s="174" t="str">
        <f t="shared" si="5"/>
        <v/>
      </c>
      <c r="I63" s="25" t="str">
        <f t="shared" si="6"/>
        <v/>
      </c>
    </row>
    <row r="64" spans="1:9">
      <c r="A64" s="320"/>
      <c r="B64" s="183" t="s">
        <v>105</v>
      </c>
      <c r="C64" s="12" t="s">
        <v>106</v>
      </c>
      <c r="D64" s="9">
        <f>IF($B$2="",0,VLOOKUP($B$2,'24 25 Actuals'!$A$1:$CD$206,59,FALSE))</f>
        <v>0</v>
      </c>
      <c r="E64" s="8">
        <f>IF($B$2="",0,VLOOKUP($B$2,'2526 GBP Data input'!$A$4:$CX$229,68,FALSE))</f>
        <v>0</v>
      </c>
      <c r="F64" s="9">
        <f>IF($B$2="",0,VLOOKUP($B$2,'Actuals mapped to CFR'!$B$4:$CG$135,61,FALSE))</f>
        <v>0</v>
      </c>
      <c r="G64" s="174" t="str">
        <f t="shared" si="5"/>
        <v/>
      </c>
      <c r="I64" s="25" t="str">
        <f t="shared" si="6"/>
        <v/>
      </c>
    </row>
    <row r="65" spans="1:96">
      <c r="A65" s="320"/>
      <c r="B65" s="183" t="s">
        <v>107</v>
      </c>
      <c r="C65" s="12" t="s">
        <v>108</v>
      </c>
      <c r="D65" s="9">
        <f>IF($B$2="",0,VLOOKUP($B$2,'24 25 Actuals'!$A$1:$CD$206,60,FALSE))</f>
        <v>0</v>
      </c>
      <c r="E65" s="8">
        <f>IF($B$2="",0,VLOOKUP($B$2,'2526 GBP Data input'!$A$4:$CX$229,69,FALSE))</f>
        <v>0</v>
      </c>
      <c r="F65" s="9">
        <f>IF($B$2="",0,VLOOKUP($B$2,'Actuals mapped to CFR'!$B$4:$CG$135,62,FALSE))</f>
        <v>0</v>
      </c>
      <c r="G65" s="174" t="str">
        <f t="shared" si="5"/>
        <v/>
      </c>
      <c r="I65" s="25" t="str">
        <f t="shared" si="6"/>
        <v/>
      </c>
    </row>
    <row r="66" spans="1:96">
      <c r="A66" s="320"/>
      <c r="B66" s="183" t="s">
        <v>109</v>
      </c>
      <c r="C66" s="12" t="s">
        <v>110</v>
      </c>
      <c r="D66" s="9">
        <f>IF($B$2="",0,VLOOKUP($B$2,'24 25 Actuals'!$A$1:$CD$206,61,FALSE))</f>
        <v>0</v>
      </c>
      <c r="E66" s="8">
        <f>IF($B$2="",0,VLOOKUP($B$2,'2526 GBP Data input'!$A$4:$CX$229,70,FALSE))</f>
        <v>0</v>
      </c>
      <c r="F66" s="9">
        <f>IF($B$2="",0,VLOOKUP($B$2,'Actuals mapped to CFR'!$B$4:$CG$135,63,FALSE))</f>
        <v>0</v>
      </c>
      <c r="G66" s="174" t="str">
        <f t="shared" si="5"/>
        <v/>
      </c>
      <c r="I66" s="25" t="str">
        <f t="shared" si="6"/>
        <v/>
      </c>
    </row>
    <row r="67" spans="1:96">
      <c r="A67" s="320"/>
      <c r="B67" s="183" t="s">
        <v>111</v>
      </c>
      <c r="C67" s="12" t="s">
        <v>112</v>
      </c>
      <c r="D67" s="9">
        <f>IF($B$2="",0,VLOOKUP($B$2,'24 25 Actuals'!$A$1:$CD$206,62,FALSE))</f>
        <v>0</v>
      </c>
      <c r="E67" s="8">
        <f>IF($B$2="",0,VLOOKUP($B$2,'2526 GBP Data input'!$A$4:$CX$229,71,FALSE))</f>
        <v>0</v>
      </c>
      <c r="F67" s="9">
        <f>IF($B$2="",0,VLOOKUP($B$2,'Actuals mapped to CFR'!$B$4:$CG$135,64,FALSE))</f>
        <v>0</v>
      </c>
      <c r="G67" s="174" t="str">
        <f t="shared" si="5"/>
        <v/>
      </c>
      <c r="I67" s="25" t="str">
        <f t="shared" si="6"/>
        <v/>
      </c>
    </row>
    <row r="68" spans="1:96">
      <c r="A68" s="320"/>
      <c r="B68" s="183" t="s">
        <v>113</v>
      </c>
      <c r="C68" s="12" t="s">
        <v>114</v>
      </c>
      <c r="D68" s="9">
        <f>IF($B$2="",0,VLOOKUP($B$2,'24 25 Actuals'!$A$1:$CD$206,63,FALSE))</f>
        <v>0</v>
      </c>
      <c r="E68" s="8">
        <f>IF($B$2="",0,VLOOKUP($B$2,'2526 GBP Data input'!$A$4:$CX$229,72,FALSE))</f>
        <v>0</v>
      </c>
      <c r="F68" s="9">
        <f>IF($B$2="",0,VLOOKUP($B$2,'Actuals mapped to CFR'!$B$4:$CG$135,65,FALSE))</f>
        <v>0</v>
      </c>
      <c r="G68" s="174" t="str">
        <f t="shared" si="5"/>
        <v/>
      </c>
      <c r="I68" s="25" t="str">
        <f t="shared" si="6"/>
        <v/>
      </c>
    </row>
    <row r="69" spans="1:96">
      <c r="A69" s="320"/>
      <c r="B69" s="226" t="s">
        <v>115</v>
      </c>
      <c r="C69" s="12" t="s">
        <v>116</v>
      </c>
      <c r="D69" s="9">
        <f>IF($B$2="",0,VLOOKUP($B$2,'24 25 Actuals'!$A$1:$CD$206,64,FALSE))</f>
        <v>0</v>
      </c>
      <c r="E69" s="8">
        <f>IF($B$2="",0,VLOOKUP($B$2,'2526 GBP Data input'!$A$4:$CX$229,73,FALSE))</f>
        <v>0</v>
      </c>
      <c r="F69" s="9">
        <f>IF($B$2="",0,VLOOKUP($B$2,'Actuals mapped to CFR'!$B$4:$CG$135,66,FALSE))</f>
        <v>0</v>
      </c>
      <c r="G69" s="174" t="str">
        <f t="shared" ref="G69" si="15">IF(E69=0,"",F69/E69)</f>
        <v/>
      </c>
      <c r="I69" s="25" t="str">
        <f t="shared" ref="I69" si="16">IF(AND(F69&gt;5,E69=0),"Actual but no Budget",IF(F69&gt;E69,"Actual to date Higher than Budget",""))</f>
        <v/>
      </c>
    </row>
    <row r="70" spans="1:96">
      <c r="A70" s="320"/>
      <c r="B70" s="183" t="s">
        <v>117</v>
      </c>
      <c r="C70" s="12" t="s">
        <v>118</v>
      </c>
      <c r="D70" s="9">
        <f>IF($B$2="",0,VLOOKUP($B$2,'24 25 Actuals'!$A$1:$CD$206,65,FALSE))</f>
        <v>0</v>
      </c>
      <c r="E70" s="8">
        <f>IF($B$2="",0,VLOOKUP($B$2,'2526 GBP Data input'!$A$4:$CX$229,75,FALSE))</f>
        <v>0</v>
      </c>
      <c r="F70" s="9">
        <f>IF($B$2="",0,VLOOKUP($B$2,'Actuals mapped to CFR'!$B$4:$CG$135,68,FALSE))</f>
        <v>0</v>
      </c>
      <c r="G70" s="174" t="str">
        <f t="shared" si="5"/>
        <v/>
      </c>
      <c r="I70" s="25" t="str">
        <f t="shared" si="6"/>
        <v/>
      </c>
    </row>
    <row r="71" spans="1:96" ht="12.75" customHeight="1">
      <c r="A71" s="320"/>
      <c r="B71" s="184" t="s">
        <v>119</v>
      </c>
      <c r="C71" s="13" t="s">
        <v>120</v>
      </c>
      <c r="D71" s="9">
        <f>IF($B$2="",0,VLOOKUP($B$2,'24 25 Actuals'!$A$1:$CD$206,66,FALSE))</f>
        <v>0</v>
      </c>
      <c r="E71" s="8">
        <f>IF($B$2="",0,VLOOKUP($B$2,'2526 GBP Data input'!$A$4:$CX$229,76,FALSE))</f>
        <v>0</v>
      </c>
      <c r="F71" s="9">
        <f>IF($B$2="",0,VLOOKUP($B$2,'Actuals mapped to CFR'!$B$4:$CG$135,69,FALSE))</f>
        <v>0</v>
      </c>
      <c r="G71" s="176" t="str">
        <f t="shared" si="5"/>
        <v/>
      </c>
      <c r="I71" s="25" t="str">
        <f t="shared" si="6"/>
        <v/>
      </c>
      <c r="CQ71"/>
      <c r="CR71"/>
    </row>
    <row r="72" spans="1:96">
      <c r="A72" s="320"/>
      <c r="B72" s="183" t="s">
        <v>121</v>
      </c>
      <c r="C72" s="26" t="s">
        <v>122</v>
      </c>
      <c r="D72" s="9">
        <f>IF($B$2="",0,VLOOKUP($B$2,'24 25 Actuals'!$A$1:$CD$206,67,FALSE))</f>
        <v>0</v>
      </c>
      <c r="E72" s="8">
        <f>IF($B$2="",0,VLOOKUP($B$2,'2526 GBP Data input'!$A$4:$CX$229,77,FALSE))</f>
        <v>0</v>
      </c>
      <c r="F72" s="9">
        <f>IF($B$2="",0,VLOOKUP($B$2,'Actuals mapped to CFR'!$B$4:$CG$135,70,FALSE))</f>
        <v>0</v>
      </c>
      <c r="G72" s="177" t="str">
        <f t="shared" si="5"/>
        <v/>
      </c>
      <c r="I72" s="25" t="str">
        <f t="shared" si="6"/>
        <v/>
      </c>
      <c r="CQ72"/>
      <c r="CR72"/>
    </row>
    <row r="73" spans="1:96">
      <c r="A73" s="320"/>
      <c r="B73" s="185" t="s">
        <v>123</v>
      </c>
      <c r="C73" s="26" t="s">
        <v>124</v>
      </c>
      <c r="D73" s="9">
        <f>IF($B$2="",0,VLOOKUP($B$2,'24 25 Actuals'!$A$1:$CD$206,68,FALSE))</f>
        <v>0</v>
      </c>
      <c r="E73" s="8">
        <f>IF($B$2="",0,VLOOKUP($B$2,'2526 GBP Data input'!$A$4:$CX$229,78,FALSE))</f>
        <v>0</v>
      </c>
      <c r="F73" s="9">
        <f>IF($B$2="",0,VLOOKUP($B$2,'Actuals mapped to CFR'!$B$4:$CG$135,71,FALSE))</f>
        <v>0</v>
      </c>
      <c r="G73" s="178" t="str">
        <f t="shared" si="5"/>
        <v/>
      </c>
      <c r="I73" s="27" t="str">
        <f t="shared" si="6"/>
        <v/>
      </c>
      <c r="CQ73"/>
      <c r="CR73"/>
    </row>
    <row r="74" spans="1:96">
      <c r="A74" s="320"/>
      <c r="B74" s="190"/>
      <c r="C74" s="31" t="s">
        <v>125</v>
      </c>
      <c r="D74" s="18">
        <f>SUM(D35:D73)</f>
        <v>0</v>
      </c>
      <c r="E74" s="17">
        <f>SUM(E35:E73)</f>
        <v>0</v>
      </c>
      <c r="F74" s="18">
        <f>SUM(F35:F73)</f>
        <v>0</v>
      </c>
      <c r="G74" s="175" t="str">
        <f t="shared" si="5"/>
        <v/>
      </c>
      <c r="H74" s="79"/>
      <c r="I74" s="29" t="str">
        <f t="shared" si="6"/>
        <v/>
      </c>
      <c r="CQ74"/>
      <c r="CR74"/>
    </row>
    <row r="75" spans="1:96" ht="12.75" customHeight="1">
      <c r="A75" s="58"/>
      <c r="B75" s="193"/>
      <c r="C75" s="32" t="s">
        <v>126</v>
      </c>
      <c r="D75" s="33"/>
      <c r="E75" s="33"/>
      <c r="F75" s="194"/>
      <c r="G75" s="34"/>
      <c r="CQ75"/>
      <c r="CR75"/>
    </row>
    <row r="76" spans="1:96">
      <c r="A76" s="320"/>
      <c r="B76" s="181" t="s">
        <v>127</v>
      </c>
      <c r="C76" s="35" t="s">
        <v>128</v>
      </c>
      <c r="D76" s="9">
        <f>IF($B$2="",0,VLOOKUP($B$2,'24 25 Actuals'!$A$1:$CD$206,69,FALSE))</f>
        <v>0</v>
      </c>
      <c r="E76" s="8">
        <f>IF($B$2="",0,VLOOKUP($B$2,'2526 GBP Data input'!$A$4:$CX$229,81,FALSE))</f>
        <v>0</v>
      </c>
      <c r="F76" s="9">
        <f>IF($B$2="",0,VLOOKUP($B$2,'Actuals mapped to CFR'!$B$4:$CG$135,72,FALSE))*-1</f>
        <v>0</v>
      </c>
      <c r="G76" s="173" t="str">
        <f>IF(E76=0,"",F76/E76)</f>
        <v/>
      </c>
      <c r="I76" s="24" t="str">
        <f>IF(AND(F76&gt;5,E76=0),"Actual but no Budget",IF(F76&gt;E76,"Actual to date Higher than Budget",""))</f>
        <v/>
      </c>
      <c r="CQ76"/>
      <c r="CR76"/>
    </row>
    <row r="77" spans="1:96">
      <c r="A77" s="320"/>
      <c r="B77" s="183" t="s">
        <v>129</v>
      </c>
      <c r="C77" s="26" t="s">
        <v>130</v>
      </c>
      <c r="D77" s="9">
        <f>-IF($B$2="",0,VLOOKUP($B$2,'24 25 Actuals'!$A$1:$CD$206,70,FALSE))</f>
        <v>0</v>
      </c>
      <c r="E77" s="8">
        <f>IF($B$2="",0,VLOOKUP($B$2,'2526 GBP Data input'!$A$4:$CX$229,82,FALSE))</f>
        <v>0</v>
      </c>
      <c r="F77" s="9">
        <f>IF($B$2="",0,VLOOKUP($B$2,'Actuals mapped to CFR'!$B$4:$CG$135,73,FALSE))*-1</f>
        <v>0</v>
      </c>
      <c r="G77" s="174" t="str">
        <f>IF(E77=0,"",F77/E77)</f>
        <v/>
      </c>
      <c r="I77" s="25" t="str">
        <f t="shared" si="6"/>
        <v/>
      </c>
      <c r="CQ77"/>
      <c r="CR77"/>
    </row>
    <row r="78" spans="1:96">
      <c r="A78" s="151"/>
      <c r="B78" s="184" t="s">
        <v>131</v>
      </c>
      <c r="C78" s="36" t="s">
        <v>132</v>
      </c>
      <c r="D78" s="9">
        <f>-IF($B$2="",0,VLOOKUP($B$2,'24 25 Actuals'!$A$1:$CD$206,71,FALSE))</f>
        <v>0</v>
      </c>
      <c r="E78" s="8">
        <f>IF($B$2="",0,VLOOKUP($B$2,'2526 GBP Data input'!$A$4:$CX$229,83,FALSE))</f>
        <v>0</v>
      </c>
      <c r="F78" s="9">
        <f>IF($B$2="",0,VLOOKUP($B$2,'Actuals mapped to CFR'!$B$4:$CG$135,74,FALSE))*-1</f>
        <v>0</v>
      </c>
      <c r="G78" s="176" t="str">
        <f>IF(E78=0,"",F78/E78)</f>
        <v/>
      </c>
      <c r="I78" s="37" t="str">
        <f t="shared" si="6"/>
        <v/>
      </c>
      <c r="CQ78"/>
      <c r="CR78"/>
    </row>
    <row r="79" spans="1:96">
      <c r="A79" s="151"/>
      <c r="B79" s="190"/>
      <c r="C79" s="28" t="s">
        <v>133</v>
      </c>
      <c r="D79" s="18">
        <f>SUM(D76:D78)</f>
        <v>0</v>
      </c>
      <c r="E79" s="17">
        <f>SUM(E76:E78)</f>
        <v>0</v>
      </c>
      <c r="F79" s="18">
        <f>SUM(F76:F78)</f>
        <v>0</v>
      </c>
      <c r="G79" s="175" t="str">
        <f>IF(E79=0,"",F79/E79)</f>
        <v/>
      </c>
      <c r="I79" s="29" t="str">
        <f t="shared" si="6"/>
        <v/>
      </c>
      <c r="CQ79"/>
      <c r="CR79"/>
    </row>
    <row r="80" spans="1:96" ht="12.75" customHeight="1">
      <c r="B80" s="193"/>
      <c r="C80" s="32" t="s">
        <v>134</v>
      </c>
      <c r="D80" s="33"/>
      <c r="E80" s="33"/>
      <c r="F80" s="194"/>
      <c r="G80" s="34"/>
      <c r="CQ80"/>
      <c r="CR80"/>
    </row>
    <row r="81" spans="1:96">
      <c r="A81" s="151"/>
      <c r="B81" s="181" t="s">
        <v>135</v>
      </c>
      <c r="C81" s="23" t="s">
        <v>136</v>
      </c>
      <c r="D81" s="9">
        <f>IF($B$2="",0,VLOOKUP($B$2,'24 25 Actuals'!$A$1:$CD$206,72,FALSE))</f>
        <v>0</v>
      </c>
      <c r="E81" s="8">
        <f>IF($B$2="",0,VLOOKUP($B$2,'2526 GBP Data input'!$A$4:$CX$229,86,FALSE))</f>
        <v>0</v>
      </c>
      <c r="F81" s="9">
        <f>IF($B$2="",0,VLOOKUP($B$2,'Actuals mapped to CFR'!$B$4:$CG$135,75,FALSE))</f>
        <v>0</v>
      </c>
      <c r="G81" s="173" t="str">
        <f>IF(E81=0,"",F81/E81)</f>
        <v/>
      </c>
      <c r="I81" s="24" t="str">
        <f t="shared" si="6"/>
        <v/>
      </c>
      <c r="CQ81"/>
      <c r="CR81"/>
    </row>
    <row r="82" spans="1:96">
      <c r="A82" s="151"/>
      <c r="B82" s="183" t="s">
        <v>137</v>
      </c>
      <c r="C82" s="12" t="s">
        <v>138</v>
      </c>
      <c r="D82" s="9">
        <f>IF($B$2="",0,VLOOKUP($B$2,'24 25 Actuals'!$A$1:$CD$206,73,FALSE))</f>
        <v>0</v>
      </c>
      <c r="E82" s="8">
        <f>IF($B$2="",0,VLOOKUP($B$2,'2526 GBP Data input'!$A$4:$CX$229,87,FALSE))</f>
        <v>0</v>
      </c>
      <c r="F82" s="9">
        <f>IF($B$2="",0,VLOOKUP($B$2,'Actuals mapped to CFR'!$B$4:$CG$135,76,FALSE))</f>
        <v>0</v>
      </c>
      <c r="G82" s="174" t="str">
        <f>IF(E82=0,"",F82/E82)</f>
        <v/>
      </c>
      <c r="I82" s="162" t="str">
        <f t="shared" si="6"/>
        <v/>
      </c>
      <c r="CQ82"/>
      <c r="CR82"/>
    </row>
    <row r="83" spans="1:96">
      <c r="A83" s="151"/>
      <c r="B83" s="183" t="s">
        <v>139</v>
      </c>
      <c r="C83" s="12" t="s">
        <v>140</v>
      </c>
      <c r="D83" s="9">
        <f>IF($B$2="",0,VLOOKUP($B$2,'24 25 Actuals'!$A$1:$CD$206,74,FALSE))</f>
        <v>0</v>
      </c>
      <c r="E83" s="8">
        <f>IF($B$2="",0,VLOOKUP($B$2,'2526 GBP Data input'!$A$4:$CX$229,88,FALSE))</f>
        <v>0</v>
      </c>
      <c r="F83" s="9">
        <f>IF($B$2="",0,VLOOKUP($B$2,'Actuals mapped to CFR'!$B$4:$CG$135,77,FALSE))</f>
        <v>0</v>
      </c>
      <c r="G83" s="174" t="str">
        <f>IF(E83=0,"",F83/E83)</f>
        <v/>
      </c>
      <c r="I83" s="25" t="str">
        <f t="shared" si="6"/>
        <v/>
      </c>
      <c r="CQ83"/>
      <c r="CR83"/>
    </row>
    <row r="84" spans="1:96">
      <c r="A84" s="151"/>
      <c r="B84" s="337" t="s">
        <v>141</v>
      </c>
      <c r="C84" s="338" t="s">
        <v>142</v>
      </c>
      <c r="D84" s="334">
        <f>IF($B$2="",0,VLOOKUP($B$2,'24 25 Actuals'!$A$1:$CD$206,75,FALSE))</f>
        <v>0</v>
      </c>
      <c r="E84" s="334"/>
      <c r="F84" s="334">
        <f>IF($B$2="",0,VLOOKUP($B$2,'Actuals mapped to CFR'!$B$4:$CG$135,78,FALSE))</f>
        <v>0</v>
      </c>
      <c r="G84" s="174" t="str">
        <f t="shared" ref="G84:G88" si="17">IF(E84=0,"",F84/E84)</f>
        <v/>
      </c>
      <c r="I84" s="37" t="str">
        <f t="shared" si="6"/>
        <v/>
      </c>
      <c r="CQ84"/>
      <c r="CR84"/>
    </row>
    <row r="85" spans="1:96">
      <c r="A85" s="151"/>
      <c r="B85" s="297" t="s">
        <v>809</v>
      </c>
      <c r="C85" s="409" t="s">
        <v>1009</v>
      </c>
      <c r="D85" s="9">
        <f>IF($B$2="",0,VLOOKUP($B$2,'24 25 Actuals'!$A$1:$CD$206,76,FALSE))</f>
        <v>0</v>
      </c>
      <c r="E85" s="8">
        <f>IF($B$2="",0,VLOOKUP($B$2,'2526 GBP Data input'!$A$4:$CX$229,89,FALSE))</f>
        <v>0</v>
      </c>
      <c r="F85" s="9">
        <f>IF($B$2="",0,VLOOKUP($B$2,'Actuals mapped to CFR'!$B$4:$CG$135,79,FALSE))</f>
        <v>0</v>
      </c>
      <c r="G85" s="174" t="str">
        <f t="shared" si="17"/>
        <v/>
      </c>
      <c r="I85" s="37" t="str">
        <f t="shared" ref="I85" si="18">IF(AND(F85&gt;5,E85=0),"Actual but no Budget",IF(F85&gt;E85,"Actual to date Higher than Budget",""))</f>
        <v/>
      </c>
      <c r="CQ85"/>
      <c r="CR85"/>
    </row>
    <row r="86" spans="1:96">
      <c r="A86" s="151"/>
      <c r="B86" s="297" t="s">
        <v>810</v>
      </c>
      <c r="C86" s="409" t="s">
        <v>1010</v>
      </c>
      <c r="D86" s="9">
        <f>IF($B$2="",0,VLOOKUP($B$2,'24 25 Actuals'!$A$1:$CD$206,77,FALSE))</f>
        <v>0</v>
      </c>
      <c r="E86" s="8">
        <f>IF($B$2="",0,VLOOKUP($B$2,'2526 GBP Data input'!$A$4:$CX$229,90,FALSE))</f>
        <v>0</v>
      </c>
      <c r="F86" s="9">
        <f>IF($B$2="",0,VLOOKUP($B$2,'Actuals mapped to CFR'!$B$4:$CG$135,80,FALSE))</f>
        <v>0</v>
      </c>
      <c r="G86" s="174" t="str">
        <f t="shared" si="17"/>
        <v/>
      </c>
      <c r="I86" s="37" t="str">
        <f t="shared" si="6"/>
        <v/>
      </c>
      <c r="CQ86"/>
      <c r="CR86"/>
    </row>
    <row r="87" spans="1:96">
      <c r="A87" s="151"/>
      <c r="B87" s="297" t="s">
        <v>811</v>
      </c>
      <c r="C87" s="409" t="s">
        <v>1011</v>
      </c>
      <c r="D87" s="9">
        <f>IF($B$2="",0,VLOOKUP($B$2,'24 25 Actuals'!$A$1:$CD$206,78,FALSE))</f>
        <v>0</v>
      </c>
      <c r="E87" s="8">
        <f>IF($B$2="",0,VLOOKUP($B$2,'2526 GBP Data input'!$A$4:$CX$229,91,FALSE))</f>
        <v>0</v>
      </c>
      <c r="F87" s="9">
        <f>IF($B$2="",0,VLOOKUP($B$2,'Actuals mapped to CFR'!$B$4:$CG$135,81,FALSE))</f>
        <v>0</v>
      </c>
      <c r="G87" s="174" t="str">
        <f t="shared" si="17"/>
        <v/>
      </c>
      <c r="I87" s="37" t="str">
        <f t="shared" si="6"/>
        <v/>
      </c>
      <c r="CQ87"/>
      <c r="CR87"/>
    </row>
    <row r="88" spans="1:96">
      <c r="A88" s="151"/>
      <c r="B88" s="297" t="s">
        <v>812</v>
      </c>
      <c r="C88" s="409" t="s">
        <v>1012</v>
      </c>
      <c r="D88" s="9">
        <f>IF($B$2="",0,VLOOKUP($B$2,'24 25 Actuals'!$A$1:$CD$206,79,FALSE))</f>
        <v>0</v>
      </c>
      <c r="E88" s="8">
        <f>IF($B$2="",0,VLOOKUP($B$2,'2526 GBP Data input'!$A$4:$CX$229,92,FALSE))</f>
        <v>0</v>
      </c>
      <c r="F88" s="9">
        <f>IF($B$2="",0,VLOOKUP($B$2,'Actuals mapped to CFR'!$B$4:$CG$135,82,FALSE))</f>
        <v>0</v>
      </c>
      <c r="G88" s="174" t="str">
        <f t="shared" si="17"/>
        <v/>
      </c>
      <c r="I88" s="37" t="str">
        <f t="shared" ref="I88" si="19">IF(AND(F88&gt;5,E88=0),"Actual but no Budget",IF(F88&gt;E88,"Actual to date Higher than Budget",""))</f>
        <v/>
      </c>
      <c r="CQ88"/>
      <c r="CR88"/>
    </row>
    <row r="89" spans="1:96">
      <c r="A89" s="151"/>
      <c r="B89" s="297" t="s">
        <v>813</v>
      </c>
      <c r="C89" s="409" t="s">
        <v>1013</v>
      </c>
      <c r="D89" s="9">
        <f>IF($B$2="",0,VLOOKUP($B$2,'24 25 Actuals'!$A$1:$CD$206,80,FALSE))</f>
        <v>0</v>
      </c>
      <c r="E89" s="8">
        <f>IF($B$2="",0,VLOOKUP($B$2,'2526 GBP Data input'!$A$4:$CX$229,93,FALSE))</f>
        <v>0</v>
      </c>
      <c r="F89" s="9">
        <f>IF($B$2="",0,VLOOKUP($B$2,'Actuals mapped to CFR'!$B$4:$CG$135,83,FALSE))</f>
        <v>0</v>
      </c>
      <c r="G89" s="174" t="str">
        <f>IF(E89=0,"",F89/E89)</f>
        <v/>
      </c>
      <c r="I89" s="37" t="str">
        <f t="shared" si="6"/>
        <v/>
      </c>
      <c r="CQ89"/>
      <c r="CR89"/>
    </row>
    <row r="90" spans="1:96">
      <c r="A90" s="151"/>
      <c r="B90" s="190"/>
      <c r="C90" s="28" t="s">
        <v>143</v>
      </c>
      <c r="D90" s="18">
        <f>SUM(D81:D89)</f>
        <v>0</v>
      </c>
      <c r="E90" s="17">
        <f>SUM(E81:E89)</f>
        <v>0</v>
      </c>
      <c r="F90" s="18">
        <f>SUM(F81:F89)</f>
        <v>0</v>
      </c>
      <c r="G90" s="175" t="str">
        <f>IF(E90=0,"",F90/E90)</f>
        <v/>
      </c>
      <c r="I90" s="29" t="str">
        <f t="shared" si="6"/>
        <v/>
      </c>
    </row>
    <row r="91" spans="1:96" ht="12.75" customHeight="1">
      <c r="B91" s="195"/>
      <c r="C91" s="38" t="s">
        <v>984</v>
      </c>
      <c r="D91" s="40"/>
      <c r="E91" s="39"/>
      <c r="F91" s="196"/>
      <c r="G91" s="41"/>
      <c r="CP91"/>
      <c r="CQ91"/>
      <c r="CR91"/>
    </row>
    <row r="92" spans="1:96" ht="12.75" customHeight="1">
      <c r="A92" s="151"/>
      <c r="B92" s="181" t="s">
        <v>2</v>
      </c>
      <c r="C92" s="42" t="s">
        <v>3</v>
      </c>
      <c r="D92" s="9">
        <f>IF($B$2="",0,VLOOKUP($B$2,'24 25 Actuals'!$A$1:$CU$206,92,FALSE))</f>
        <v>0</v>
      </c>
      <c r="E92" s="130">
        <f>IF($B$2="",0,VLOOKUP($B$2,'2526 GBP Data input'!$A$4:$CX$228,96,FALSE))</f>
        <v>0</v>
      </c>
      <c r="F92" s="197"/>
      <c r="G92" s="85"/>
      <c r="H92" s="78"/>
    </row>
    <row r="93" spans="1:96" ht="12.75" customHeight="1">
      <c r="A93" s="151"/>
      <c r="B93" s="189" t="s">
        <v>5</v>
      </c>
      <c r="C93" s="157" t="s">
        <v>6</v>
      </c>
      <c r="D93" s="9">
        <f>IF($B$2="",0,VLOOKUP($B$2,'24 25 Actuals'!$A$1:$CU$206,93,FALSE))</f>
        <v>0</v>
      </c>
      <c r="E93" s="303"/>
      <c r="F93" s="197"/>
      <c r="G93" s="159" t="s">
        <v>144</v>
      </c>
      <c r="H93" s="160"/>
      <c r="I93" s="142"/>
    </row>
    <row r="94" spans="1:96" ht="12.75" customHeight="1">
      <c r="A94" s="151"/>
      <c r="B94" s="183" t="s">
        <v>7</v>
      </c>
      <c r="C94" s="44" t="s">
        <v>8</v>
      </c>
      <c r="D94" s="9">
        <f>IF($B$2="",0,VLOOKUP($B$2,'24 25 Actuals'!$A$1:$CU$206,94,FALSE))</f>
        <v>0</v>
      </c>
      <c r="E94" s="130">
        <f>IF($B$2="",0,VLOOKUP($B$2,'2526 GBP Data input'!$A$4:$CX$228,98,FALSE))</f>
        <v>0</v>
      </c>
      <c r="F94" s="198"/>
      <c r="G94" s="159" t="s">
        <v>145</v>
      </c>
      <c r="H94" s="142"/>
      <c r="I94" s="142"/>
      <c r="CQ94"/>
      <c r="CR94"/>
    </row>
    <row r="95" spans="1:96" ht="12.75" customHeight="1">
      <c r="A95" s="151"/>
      <c r="B95" s="183" t="s">
        <v>10</v>
      </c>
      <c r="C95" s="26" t="s">
        <v>146</v>
      </c>
      <c r="D95" s="9">
        <f>IF($B$2="",0,VLOOKUP($B$2,'24 25 Actuals'!$A$1:$CU$206,95,FALSE))</f>
        <v>0</v>
      </c>
      <c r="E95" s="130">
        <f>IF($B$2="",0,VLOOKUP($B$2,'2526 GBP Data input'!$A$4:$CX$228,99,FALSE))</f>
        <v>0</v>
      </c>
      <c r="F95" s="197"/>
      <c r="G95" s="159" t="s">
        <v>147</v>
      </c>
      <c r="H95" s="142"/>
      <c r="I95" s="142"/>
      <c r="CQ95"/>
      <c r="CR95"/>
    </row>
    <row r="96" spans="1:96" ht="12.75" customHeight="1">
      <c r="A96" s="151"/>
      <c r="B96" s="184" t="s">
        <v>12</v>
      </c>
      <c r="C96" s="36" t="s">
        <v>148</v>
      </c>
      <c r="D96" s="9">
        <f>IF($B$2="",0,VLOOKUP($B$2,'24 25 Actuals'!$A$1:$CU$206,96,FALSE))</f>
        <v>0</v>
      </c>
      <c r="E96" s="303"/>
      <c r="F96" s="199"/>
      <c r="G96" s="43"/>
      <c r="CQ96"/>
      <c r="CR96"/>
    </row>
    <row r="97" spans="1:96" ht="12.75" customHeight="1">
      <c r="A97" s="151"/>
      <c r="B97" s="183" t="s">
        <v>14</v>
      </c>
      <c r="C97" s="12" t="s">
        <v>15</v>
      </c>
      <c r="D97" s="9">
        <f>IF($B$2="",0,VLOOKUP($B$2,'24 25 Actuals'!$A$1:$CU$206,97,FALSE))</f>
        <v>0</v>
      </c>
      <c r="E97" s="130">
        <f>IF($B$2="",0,VLOOKUP($B$2,'2526 GBP Data input'!$A$4:$CX$228,101,FALSE))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rJfwM8qWw0wmHd5oat7OQAkYeeo8iPEK2TWPIDheQzCDy9IliuMnc61D6LSGVi8K3OX0BTt5dmq9fbVOh1T9Kg==" saltValue="xpAzz8RLbZl86c86F95dyw=="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3:I33 G70:I74 E79 H6:I11 D91 D75 D80:I80 G98:I98 H40:I40 G81:I81 G76:I79 H13:I18 F93:F95 H93:I95 G90:I90 G82:H82 H20:I28 G61:I68 G41:I53 H83:I83 H89:I89 I32"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3"/>
  <sheetViews>
    <sheetView topLeftCell="A170" workbookViewId="0">
      <selection activeCell="Z1" sqref="Z1:AC1048576"/>
    </sheetView>
  </sheetViews>
  <sheetFormatPr defaultRowHeight="12.75"/>
  <cols>
    <col min="16" max="16" width="11.5703125" customWidth="1"/>
    <col min="18" max="18" width="28.140625" customWidth="1"/>
    <col min="19" max="19" width="18.42578125" customWidth="1"/>
  </cols>
  <sheetData>
    <row r="1" spans="1:20" ht="15.75">
      <c r="A1" s="53" t="s">
        <v>441</v>
      </c>
      <c r="B1" s="53"/>
      <c r="C1" s="54"/>
      <c r="D1" s="54"/>
      <c r="E1" s="54"/>
      <c r="F1" s="54"/>
      <c r="G1" s="54"/>
      <c r="H1" s="54"/>
      <c r="I1" s="54"/>
      <c r="J1" s="54"/>
      <c r="K1" s="54"/>
      <c r="L1" s="54"/>
      <c r="M1" s="54"/>
      <c r="N1" s="54"/>
    </row>
    <row r="2" spans="1:20">
      <c r="P2" s="46" t="s">
        <v>442</v>
      </c>
    </row>
    <row r="3" spans="1:20">
      <c r="A3" s="49" t="s">
        <v>443</v>
      </c>
      <c r="B3" s="50"/>
      <c r="C3" s="46"/>
      <c r="D3" s="51" t="s">
        <v>444</v>
      </c>
      <c r="E3" s="50"/>
      <c r="F3" s="46"/>
      <c r="G3" s="51" t="s">
        <v>445</v>
      </c>
      <c r="H3" s="50"/>
      <c r="I3" s="46"/>
      <c r="J3" s="52" t="s">
        <v>446</v>
      </c>
      <c r="K3" s="46"/>
      <c r="M3" s="52" t="s">
        <v>447</v>
      </c>
      <c r="N3" s="46"/>
    </row>
    <row r="4" spans="1:20">
      <c r="A4" s="48" t="s">
        <v>428</v>
      </c>
      <c r="B4" s="48" t="s">
        <v>427</v>
      </c>
      <c r="C4" s="46"/>
      <c r="D4" s="48" t="s">
        <v>428</v>
      </c>
      <c r="E4" s="48" t="s">
        <v>427</v>
      </c>
      <c r="F4" s="46"/>
      <c r="G4" s="48" t="s">
        <v>428</v>
      </c>
      <c r="H4" s="48" t="s">
        <v>427</v>
      </c>
      <c r="I4" s="46"/>
      <c r="J4" s="48" t="s">
        <v>428</v>
      </c>
      <c r="K4" s="48" t="s">
        <v>427</v>
      </c>
      <c r="M4" s="48" t="s">
        <v>428</v>
      </c>
      <c r="N4" s="48" t="s">
        <v>427</v>
      </c>
      <c r="P4" s="57" t="s">
        <v>448</v>
      </c>
      <c r="Q4" s="57" t="s">
        <v>449</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346</v>
      </c>
    </row>
    <row r="6" spans="1:20">
      <c r="A6">
        <v>1105</v>
      </c>
      <c r="B6" s="140">
        <v>101521</v>
      </c>
      <c r="C6" s="87"/>
      <c r="D6">
        <v>605</v>
      </c>
      <c r="E6" t="str">
        <f t="shared" ref="E6:E32" si="3">107&amp;D6</f>
        <v>107605</v>
      </c>
      <c r="G6">
        <v>709</v>
      </c>
      <c r="H6" t="str">
        <f t="shared" si="0"/>
        <v>107709</v>
      </c>
      <c r="J6" s="298">
        <v>801</v>
      </c>
      <c r="K6" s="298" t="str">
        <f t="shared" si="1"/>
        <v>107801</v>
      </c>
      <c r="M6">
        <v>906</v>
      </c>
      <c r="N6" t="str">
        <f t="shared" si="2"/>
        <v>107906</v>
      </c>
      <c r="P6" s="120">
        <v>10012</v>
      </c>
      <c r="Q6" s="108" t="s">
        <v>346</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413</v>
      </c>
      <c r="P7" s="120">
        <v>10014</v>
      </c>
      <c r="Q7" s="108" t="s">
        <v>346</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346</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346</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346</v>
      </c>
      <c r="R10" t="s">
        <v>450</v>
      </c>
      <c r="S10" s="137" t="s">
        <v>153</v>
      </c>
      <c r="T10" t="s">
        <v>451</v>
      </c>
    </row>
    <row r="11" spans="1:20">
      <c r="A11">
        <v>145</v>
      </c>
      <c r="B11" s="140">
        <v>107145</v>
      </c>
      <c r="C11" s="87"/>
      <c r="D11">
        <v>620</v>
      </c>
      <c r="E11" t="str">
        <f t="shared" si="3"/>
        <v>107620</v>
      </c>
      <c r="G11">
        <v>724</v>
      </c>
      <c r="H11" t="str">
        <f t="shared" si="0"/>
        <v>107724</v>
      </c>
      <c r="J11" s="298">
        <v>810</v>
      </c>
      <c r="K11" s="298" t="str">
        <f t="shared" si="1"/>
        <v>107810</v>
      </c>
      <c r="M11">
        <v>926</v>
      </c>
      <c r="N11" t="str">
        <f>107&amp;M11</f>
        <v>107926</v>
      </c>
      <c r="P11" s="133">
        <v>10022</v>
      </c>
      <c r="Q11" s="108" t="s">
        <v>346</v>
      </c>
      <c r="R11" t="s">
        <v>452</v>
      </c>
      <c r="S11" s="137" t="s">
        <v>153</v>
      </c>
      <c r="T11" t="s">
        <v>451</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346</v>
      </c>
      <c r="R12" t="s">
        <v>453</v>
      </c>
      <c r="S12" s="137" t="s">
        <v>153</v>
      </c>
      <c r="T12" t="s">
        <v>451</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346</v>
      </c>
      <c r="R13" t="s">
        <v>454</v>
      </c>
      <c r="S13" s="137" t="s">
        <v>153</v>
      </c>
      <c r="T13" t="s">
        <v>451</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346</v>
      </c>
      <c r="R14" t="s">
        <v>455</v>
      </c>
      <c r="S14" s="137" t="s">
        <v>153</v>
      </c>
      <c r="T14" t="s">
        <v>451</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346</v>
      </c>
      <c r="R15" t="s">
        <v>456</v>
      </c>
      <c r="S15" s="137" t="s">
        <v>153</v>
      </c>
      <c r="T15" t="s">
        <v>451</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344</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344</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344</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369</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344</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344</v>
      </c>
    </row>
    <row r="22" spans="1:20">
      <c r="A22">
        <v>553</v>
      </c>
      <c r="B22" s="140">
        <v>107553</v>
      </c>
      <c r="C22" s="87"/>
      <c r="D22">
        <v>671</v>
      </c>
      <c r="E22" t="str">
        <f t="shared" si="3"/>
        <v>107671</v>
      </c>
      <c r="G22">
        <v>749</v>
      </c>
      <c r="H22" t="str">
        <f t="shared" si="5"/>
        <v>107749</v>
      </c>
      <c r="J22" s="298">
        <v>835</v>
      </c>
      <c r="K22" s="298" t="str">
        <f t="shared" si="1"/>
        <v>107835</v>
      </c>
      <c r="M22">
        <v>952</v>
      </c>
      <c r="N22" t="str">
        <f t="shared" si="4"/>
        <v>107952</v>
      </c>
      <c r="P22" s="108">
        <v>10111</v>
      </c>
      <c r="Q22" s="108" t="s">
        <v>345</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345</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345</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345</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345</v>
      </c>
    </row>
    <row r="27" spans="1:20">
      <c r="A27">
        <v>569</v>
      </c>
      <c r="B27" s="140">
        <v>107569</v>
      </c>
      <c r="C27" s="87"/>
      <c r="D27">
        <v>683</v>
      </c>
      <c r="E27" t="str">
        <f t="shared" si="3"/>
        <v>107683</v>
      </c>
      <c r="G27">
        <v>765</v>
      </c>
      <c r="H27" t="str">
        <f t="shared" si="6"/>
        <v>107765</v>
      </c>
      <c r="J27">
        <v>851</v>
      </c>
      <c r="K27" t="str">
        <f t="shared" si="1"/>
        <v>107851</v>
      </c>
      <c r="P27" s="108">
        <v>10121</v>
      </c>
      <c r="Q27" s="108" t="s">
        <v>346</v>
      </c>
    </row>
    <row r="28" spans="1:20">
      <c r="A28" s="132">
        <v>574</v>
      </c>
      <c r="B28" s="251">
        <v>107574</v>
      </c>
      <c r="C28" s="87"/>
      <c r="D28">
        <v>686</v>
      </c>
      <c r="E28" t="str">
        <f t="shared" si="3"/>
        <v>107686</v>
      </c>
      <c r="G28">
        <v>766</v>
      </c>
      <c r="H28" t="str">
        <f t="shared" si="6"/>
        <v>107766</v>
      </c>
      <c r="J28">
        <v>852</v>
      </c>
      <c r="K28" t="str">
        <f t="shared" si="1"/>
        <v>107852</v>
      </c>
      <c r="P28" s="108">
        <v>10122</v>
      </c>
      <c r="Q28" s="108" t="s">
        <v>346</v>
      </c>
    </row>
    <row r="29" spans="1:20">
      <c r="A29">
        <v>578</v>
      </c>
      <c r="B29" s="140">
        <v>107578</v>
      </c>
      <c r="C29" s="87"/>
      <c r="D29">
        <v>691</v>
      </c>
      <c r="E29" t="str">
        <f t="shared" si="3"/>
        <v>107691</v>
      </c>
      <c r="G29">
        <v>767</v>
      </c>
      <c r="H29" t="str">
        <f t="shared" si="6"/>
        <v>107767</v>
      </c>
      <c r="J29">
        <v>853</v>
      </c>
      <c r="K29" t="str">
        <f t="shared" si="1"/>
        <v>107853</v>
      </c>
      <c r="P29" s="108">
        <v>10124</v>
      </c>
      <c r="Q29" s="108" t="s">
        <v>346</v>
      </c>
    </row>
    <row r="30" spans="1:20">
      <c r="A30">
        <v>579</v>
      </c>
      <c r="B30" s="140">
        <v>107579</v>
      </c>
      <c r="C30" s="87"/>
      <c r="D30">
        <v>693</v>
      </c>
      <c r="E30" t="str">
        <f t="shared" si="3"/>
        <v>107693</v>
      </c>
      <c r="G30">
        <v>768</v>
      </c>
      <c r="H30" t="str">
        <f t="shared" si="6"/>
        <v>107768</v>
      </c>
      <c r="J30">
        <v>862</v>
      </c>
      <c r="K30" t="str">
        <f t="shared" si="1"/>
        <v>107862</v>
      </c>
      <c r="P30" s="108">
        <v>10128</v>
      </c>
      <c r="Q30" s="108" t="s">
        <v>346</v>
      </c>
    </row>
    <row r="31" spans="1:20">
      <c r="A31">
        <v>580</v>
      </c>
      <c r="B31" s="140">
        <v>107580</v>
      </c>
      <c r="C31" s="87"/>
      <c r="D31">
        <v>694</v>
      </c>
      <c r="E31" t="str">
        <f t="shared" si="3"/>
        <v>107694</v>
      </c>
      <c r="G31">
        <v>769</v>
      </c>
      <c r="H31" t="str">
        <f t="shared" si="6"/>
        <v>107769</v>
      </c>
      <c r="J31">
        <v>881</v>
      </c>
      <c r="K31" t="str">
        <f t="shared" si="1"/>
        <v>107881</v>
      </c>
      <c r="P31" s="108">
        <v>10129</v>
      </c>
      <c r="Q31" s="108" t="s">
        <v>346</v>
      </c>
    </row>
    <row r="32" spans="1:20">
      <c r="A32">
        <v>582</v>
      </c>
      <c r="B32" s="140">
        <v>107582</v>
      </c>
      <c r="C32" s="87"/>
      <c r="D32">
        <v>695</v>
      </c>
      <c r="E32" t="str">
        <f t="shared" si="3"/>
        <v>107695</v>
      </c>
      <c r="G32">
        <v>771</v>
      </c>
      <c r="H32" t="str">
        <f t="shared" si="6"/>
        <v>107771</v>
      </c>
      <c r="J32">
        <v>886</v>
      </c>
      <c r="K32" t="str">
        <f t="shared" si="1"/>
        <v>107886</v>
      </c>
      <c r="P32" s="133">
        <v>10131</v>
      </c>
      <c r="Q32" s="108" t="s">
        <v>346</v>
      </c>
      <c r="R32" t="s">
        <v>457</v>
      </c>
      <c r="S32" s="137" t="s">
        <v>153</v>
      </c>
      <c r="T32" t="s">
        <v>451</v>
      </c>
    </row>
    <row r="33" spans="1:20">
      <c r="A33">
        <v>583</v>
      </c>
      <c r="B33" s="140">
        <v>107583</v>
      </c>
      <c r="C33" s="87"/>
      <c r="D33">
        <v>699</v>
      </c>
      <c r="E33" t="str">
        <f>107&amp;D33</f>
        <v>107699</v>
      </c>
      <c r="G33">
        <v>775</v>
      </c>
      <c r="H33" t="str">
        <f t="shared" si="6"/>
        <v>107775</v>
      </c>
      <c r="J33">
        <v>887</v>
      </c>
      <c r="K33" t="str">
        <f t="shared" si="1"/>
        <v>107887</v>
      </c>
      <c r="P33" s="134">
        <v>10132</v>
      </c>
      <c r="Q33" s="108" t="s">
        <v>346</v>
      </c>
      <c r="R33" s="58" t="s">
        <v>458</v>
      </c>
      <c r="S33" s="137" t="s">
        <v>153</v>
      </c>
      <c r="T33" t="s">
        <v>451</v>
      </c>
    </row>
    <row r="34" spans="1:20">
      <c r="A34">
        <v>585</v>
      </c>
      <c r="B34" s="140">
        <v>107585</v>
      </c>
      <c r="C34" s="87"/>
      <c r="G34">
        <v>776</v>
      </c>
      <c r="H34" t="str">
        <f t="shared" si="6"/>
        <v>107776</v>
      </c>
      <c r="J34">
        <v>888</v>
      </c>
      <c r="K34" t="str">
        <f t="shared" si="1"/>
        <v>107888</v>
      </c>
      <c r="P34" s="134">
        <v>10135</v>
      </c>
      <c r="Q34" s="109" t="s">
        <v>369</v>
      </c>
      <c r="R34" s="58" t="s">
        <v>459</v>
      </c>
      <c r="S34" s="137" t="s">
        <v>153</v>
      </c>
      <c r="T34" t="s">
        <v>451</v>
      </c>
    </row>
    <row r="35" spans="1:20">
      <c r="A35">
        <v>586</v>
      </c>
      <c r="B35" s="140">
        <v>107586</v>
      </c>
      <c r="C35" s="87"/>
      <c r="G35">
        <v>777</v>
      </c>
      <c r="H35" t="str">
        <f t="shared" si="6"/>
        <v>107777</v>
      </c>
      <c r="J35">
        <v>890</v>
      </c>
      <c r="K35" t="str">
        <f t="shared" si="1"/>
        <v>107890</v>
      </c>
      <c r="P35" s="133">
        <v>10138</v>
      </c>
      <c r="Q35" s="108" t="s">
        <v>346</v>
      </c>
      <c r="R35" t="s">
        <v>460</v>
      </c>
      <c r="S35" s="137" t="s">
        <v>153</v>
      </c>
      <c r="T35" t="s">
        <v>451</v>
      </c>
    </row>
    <row r="36" spans="1:20">
      <c r="A36">
        <v>587</v>
      </c>
      <c r="B36" s="140">
        <v>107587</v>
      </c>
      <c r="C36" s="87"/>
      <c r="G36">
        <v>779</v>
      </c>
      <c r="H36" t="str">
        <f t="shared" si="6"/>
        <v>107779</v>
      </c>
      <c r="J36">
        <v>891</v>
      </c>
      <c r="K36" t="str">
        <f t="shared" si="1"/>
        <v>107891</v>
      </c>
      <c r="P36" s="133">
        <v>10139</v>
      </c>
      <c r="Q36" s="108" t="s">
        <v>346</v>
      </c>
      <c r="R36" t="s">
        <v>461</v>
      </c>
      <c r="S36" s="137" t="s">
        <v>153</v>
      </c>
      <c r="T36" t="s">
        <v>451</v>
      </c>
    </row>
    <row r="37" spans="1:20">
      <c r="A37">
        <v>592</v>
      </c>
      <c r="B37" s="140">
        <v>107592</v>
      </c>
      <c r="C37" s="87"/>
      <c r="G37">
        <v>781</v>
      </c>
      <c r="H37" t="str">
        <f t="shared" si="6"/>
        <v>107781</v>
      </c>
      <c r="J37">
        <v>892</v>
      </c>
      <c r="K37" t="str">
        <f t="shared" si="1"/>
        <v>107892</v>
      </c>
      <c r="P37" s="108">
        <v>10151</v>
      </c>
      <c r="Q37" s="108" t="s">
        <v>346</v>
      </c>
    </row>
    <row r="38" spans="1:20">
      <c r="A38">
        <v>593</v>
      </c>
      <c r="B38" s="140">
        <v>107593</v>
      </c>
      <c r="C38" s="87"/>
      <c r="G38">
        <v>782</v>
      </c>
      <c r="H38" t="str">
        <f t="shared" si="6"/>
        <v>107782</v>
      </c>
      <c r="J38">
        <v>898</v>
      </c>
      <c r="K38" t="str">
        <f t="shared" si="1"/>
        <v>107898</v>
      </c>
      <c r="P38" s="108">
        <v>10152</v>
      </c>
      <c r="Q38" s="108" t="s">
        <v>346</v>
      </c>
    </row>
    <row r="39" spans="1:20">
      <c r="A39">
        <v>594</v>
      </c>
      <c r="B39" s="140">
        <v>107594</v>
      </c>
      <c r="C39" s="87"/>
      <c r="G39">
        <v>784</v>
      </c>
      <c r="H39" t="str">
        <f t="shared" si="6"/>
        <v>107784</v>
      </c>
      <c r="P39" s="108">
        <v>10154</v>
      </c>
      <c r="Q39" s="108" t="s">
        <v>346</v>
      </c>
    </row>
    <row r="40" spans="1:20">
      <c r="A40">
        <v>596</v>
      </c>
      <c r="B40" s="140">
        <v>107596</v>
      </c>
      <c r="C40" s="87"/>
      <c r="G40">
        <v>786</v>
      </c>
      <c r="H40" t="str">
        <f t="shared" si="6"/>
        <v>107786</v>
      </c>
      <c r="P40" s="108">
        <v>10158</v>
      </c>
      <c r="Q40" s="108" t="s">
        <v>346</v>
      </c>
    </row>
    <row r="41" spans="1:20">
      <c r="A41">
        <v>598</v>
      </c>
      <c r="B41" s="140">
        <v>107598</v>
      </c>
      <c r="G41">
        <v>787</v>
      </c>
      <c r="H41" t="str">
        <f t="shared" si="6"/>
        <v>107787</v>
      </c>
      <c r="J41" s="58"/>
      <c r="P41" s="108">
        <v>10159</v>
      </c>
      <c r="Q41" s="108" t="s">
        <v>346</v>
      </c>
    </row>
    <row r="42" spans="1:20">
      <c r="A42">
        <v>599</v>
      </c>
      <c r="B42" s="227">
        <v>107599</v>
      </c>
      <c r="G42">
        <v>789</v>
      </c>
      <c r="H42" t="str">
        <f t="shared" si="6"/>
        <v>107789</v>
      </c>
      <c r="P42" s="108">
        <v>10161</v>
      </c>
      <c r="Q42" s="108" t="s">
        <v>346</v>
      </c>
    </row>
    <row r="43" spans="1:20">
      <c r="B43" s="167"/>
      <c r="G43">
        <v>791</v>
      </c>
      <c r="H43" t="str">
        <f t="shared" si="6"/>
        <v>107791</v>
      </c>
      <c r="P43" s="108">
        <v>10162</v>
      </c>
      <c r="Q43" s="108" t="s">
        <v>346</v>
      </c>
    </row>
    <row r="44" spans="1:20">
      <c r="B44" s="167"/>
      <c r="G44">
        <v>793</v>
      </c>
      <c r="H44" t="str">
        <f t="shared" si="6"/>
        <v>107793</v>
      </c>
      <c r="P44" s="108">
        <v>10164</v>
      </c>
      <c r="Q44" s="108" t="s">
        <v>346</v>
      </c>
    </row>
    <row r="45" spans="1:20">
      <c r="G45">
        <v>797</v>
      </c>
      <c r="H45" t="str">
        <f t="shared" si="6"/>
        <v>107797</v>
      </c>
      <c r="P45" s="108">
        <v>10168</v>
      </c>
      <c r="Q45" s="108" t="s">
        <v>346</v>
      </c>
    </row>
    <row r="46" spans="1:20">
      <c r="G46">
        <v>798</v>
      </c>
      <c r="H46" t="str">
        <f t="shared" si="6"/>
        <v>107798</v>
      </c>
      <c r="P46" s="108">
        <v>10169</v>
      </c>
      <c r="Q46" s="108" t="s">
        <v>346</v>
      </c>
    </row>
    <row r="47" spans="1:20">
      <c r="P47" s="108">
        <v>10171</v>
      </c>
      <c r="Q47" s="108" t="s">
        <v>350</v>
      </c>
    </row>
    <row r="48" spans="1:20">
      <c r="P48" s="108">
        <v>10172</v>
      </c>
      <c r="Q48" s="108" t="s">
        <v>350</v>
      </c>
    </row>
    <row r="49" spans="2:17">
      <c r="P49" s="108">
        <v>10174</v>
      </c>
      <c r="Q49" s="108" t="s">
        <v>350</v>
      </c>
    </row>
    <row r="50" spans="2:17">
      <c r="P50" s="108">
        <v>10178</v>
      </c>
      <c r="Q50" s="108" t="s">
        <v>350</v>
      </c>
    </row>
    <row r="51" spans="2:17">
      <c r="P51" s="108">
        <v>10179</v>
      </c>
      <c r="Q51" s="108" t="s">
        <v>350</v>
      </c>
    </row>
    <row r="52" spans="2:17">
      <c r="I52" s="58"/>
      <c r="P52" s="108">
        <v>10181</v>
      </c>
      <c r="Q52" s="108" t="s">
        <v>350</v>
      </c>
    </row>
    <row r="53" spans="2:17">
      <c r="B53">
        <v>107125</v>
      </c>
      <c r="I53" s="58"/>
      <c r="P53" s="108">
        <v>10182</v>
      </c>
      <c r="Q53" s="108" t="s">
        <v>350</v>
      </c>
    </row>
    <row r="54" spans="2:17">
      <c r="B54">
        <v>107127</v>
      </c>
      <c r="G54">
        <v>107912</v>
      </c>
      <c r="H54" s="58" t="s">
        <v>462</v>
      </c>
      <c r="I54" s="58"/>
      <c r="P54" s="108">
        <v>10184</v>
      </c>
      <c r="Q54" s="108" t="s">
        <v>350</v>
      </c>
    </row>
    <row r="55" spans="2:17">
      <c r="B55">
        <v>107137</v>
      </c>
      <c r="G55">
        <v>107780</v>
      </c>
      <c r="H55" s="58" t="s">
        <v>463</v>
      </c>
      <c r="I55" s="58"/>
      <c r="P55" s="108">
        <v>10188</v>
      </c>
      <c r="Q55" s="108" t="s">
        <v>350</v>
      </c>
    </row>
    <row r="56" spans="2:17">
      <c r="B56">
        <v>107139</v>
      </c>
      <c r="G56">
        <v>107681</v>
      </c>
      <c r="H56" s="58" t="s">
        <v>464</v>
      </c>
      <c r="I56" s="58"/>
      <c r="P56" s="108">
        <v>10189</v>
      </c>
      <c r="Q56" s="108" t="s">
        <v>350</v>
      </c>
    </row>
    <row r="57" spans="2:17">
      <c r="B57">
        <v>107141</v>
      </c>
      <c r="G57">
        <v>107606</v>
      </c>
      <c r="H57" s="58" t="s">
        <v>465</v>
      </c>
      <c r="I57" s="58"/>
      <c r="P57" s="108">
        <v>10191</v>
      </c>
      <c r="Q57" s="108" t="s">
        <v>350</v>
      </c>
    </row>
    <row r="58" spans="2:17">
      <c r="B58">
        <v>107145</v>
      </c>
      <c r="G58">
        <v>107584</v>
      </c>
      <c r="H58" s="58" t="s">
        <v>466</v>
      </c>
      <c r="P58" s="108">
        <v>10192</v>
      </c>
      <c r="Q58" s="108" t="s">
        <v>350</v>
      </c>
    </row>
    <row r="59" spans="2:17">
      <c r="B59">
        <v>107526</v>
      </c>
      <c r="G59">
        <v>107727</v>
      </c>
      <c r="H59" s="58" t="s">
        <v>467</v>
      </c>
      <c r="I59" s="58"/>
      <c r="P59" s="108">
        <v>10194</v>
      </c>
      <c r="Q59" s="108" t="s">
        <v>350</v>
      </c>
    </row>
    <row r="60" spans="2:17">
      <c r="B60">
        <v>107529</v>
      </c>
      <c r="G60">
        <v>107902</v>
      </c>
      <c r="H60" s="58" t="s">
        <v>468</v>
      </c>
      <c r="I60" s="58"/>
      <c r="P60" s="108">
        <v>10198</v>
      </c>
      <c r="Q60" s="108" t="s">
        <v>350</v>
      </c>
    </row>
    <row r="61" spans="2:17">
      <c r="B61">
        <v>107530</v>
      </c>
      <c r="G61">
        <v>107945</v>
      </c>
      <c r="H61" s="58" t="s">
        <v>469</v>
      </c>
      <c r="P61" s="108">
        <v>10199</v>
      </c>
      <c r="Q61" s="108" t="s">
        <v>350</v>
      </c>
    </row>
    <row r="62" spans="2:17">
      <c r="B62">
        <v>107531</v>
      </c>
      <c r="G62" s="132">
        <v>107692</v>
      </c>
      <c r="H62" s="58" t="s">
        <v>470</v>
      </c>
      <c r="P62" s="108">
        <v>10201</v>
      </c>
      <c r="Q62" s="108" t="s">
        <v>346</v>
      </c>
    </row>
    <row r="63" spans="2:17">
      <c r="B63">
        <v>107534</v>
      </c>
      <c r="G63" s="132">
        <v>107939</v>
      </c>
      <c r="H63" s="58" t="s">
        <v>471</v>
      </c>
      <c r="P63" s="108">
        <v>10202</v>
      </c>
      <c r="Q63" s="108" t="s">
        <v>346</v>
      </c>
    </row>
    <row r="64" spans="2:17">
      <c r="B64">
        <v>107535</v>
      </c>
      <c r="G64" s="132">
        <v>107614</v>
      </c>
      <c r="H64" s="58" t="s">
        <v>472</v>
      </c>
      <c r="P64" s="108">
        <v>10204</v>
      </c>
      <c r="Q64" s="108" t="s">
        <v>346</v>
      </c>
    </row>
    <row r="65" spans="2:20">
      <c r="B65">
        <v>107536</v>
      </c>
      <c r="G65" s="132">
        <v>107548</v>
      </c>
      <c r="H65" s="58" t="s">
        <v>473</v>
      </c>
      <c r="P65" s="133">
        <v>10205</v>
      </c>
      <c r="Q65" s="108" t="s">
        <v>346</v>
      </c>
      <c r="R65" t="s">
        <v>474</v>
      </c>
      <c r="S65" s="137" t="s">
        <v>153</v>
      </c>
      <c r="T65" t="s">
        <v>451</v>
      </c>
    </row>
    <row r="66" spans="2:20">
      <c r="B66">
        <v>107538</v>
      </c>
      <c r="G66" s="132">
        <v>107719</v>
      </c>
      <c r="H66" s="58" t="s">
        <v>475</v>
      </c>
      <c r="P66" s="108">
        <v>10208</v>
      </c>
      <c r="Q66" s="108" t="s">
        <v>346</v>
      </c>
    </row>
    <row r="67" spans="2:20">
      <c r="B67" s="140">
        <v>107539</v>
      </c>
      <c r="G67" s="142">
        <v>107137</v>
      </c>
      <c r="H67" t="s">
        <v>476</v>
      </c>
      <c r="P67" s="108">
        <v>10209</v>
      </c>
      <c r="Q67" s="108" t="s">
        <v>346</v>
      </c>
    </row>
    <row r="68" spans="2:20">
      <c r="B68">
        <v>107547</v>
      </c>
      <c r="G68" s="142">
        <v>107954</v>
      </c>
      <c r="H68" t="s">
        <v>477</v>
      </c>
      <c r="P68" s="133">
        <v>10211</v>
      </c>
      <c r="Q68" s="108" t="s">
        <v>346</v>
      </c>
      <c r="R68" t="s">
        <v>478</v>
      </c>
      <c r="S68" s="137" t="s">
        <v>153</v>
      </c>
      <c r="T68" t="s">
        <v>451</v>
      </c>
    </row>
    <row r="69" spans="2:20">
      <c r="B69">
        <v>107551</v>
      </c>
      <c r="G69" s="142">
        <v>666</v>
      </c>
      <c r="H69" t="s">
        <v>479</v>
      </c>
      <c r="P69" s="108">
        <v>10231</v>
      </c>
      <c r="Q69" s="108" t="s">
        <v>346</v>
      </c>
    </row>
    <row r="70" spans="2:20">
      <c r="B70">
        <v>107553</v>
      </c>
      <c r="G70">
        <v>107581</v>
      </c>
      <c r="H70" t="s">
        <v>480</v>
      </c>
      <c r="P70" s="108">
        <v>10232</v>
      </c>
      <c r="Q70" s="108" t="s">
        <v>346</v>
      </c>
    </row>
    <row r="71" spans="2:20">
      <c r="B71">
        <v>107558</v>
      </c>
      <c r="G71" s="132">
        <v>107628</v>
      </c>
      <c r="H71" s="58" t="s">
        <v>481</v>
      </c>
      <c r="P71" s="108">
        <v>10234</v>
      </c>
      <c r="Q71" s="108" t="s">
        <v>346</v>
      </c>
    </row>
    <row r="72" spans="2:20">
      <c r="B72">
        <v>107559</v>
      </c>
      <c r="G72" s="132">
        <v>143</v>
      </c>
      <c r="H72" s="58" t="s">
        <v>482</v>
      </c>
      <c r="P72" s="108">
        <v>10238</v>
      </c>
      <c r="Q72" s="108" t="s">
        <v>346</v>
      </c>
    </row>
    <row r="73" spans="2:20">
      <c r="B73">
        <v>107564</v>
      </c>
      <c r="G73" s="132">
        <v>107141</v>
      </c>
      <c r="H73" s="58" t="s">
        <v>483</v>
      </c>
      <c r="P73" s="108">
        <v>10239</v>
      </c>
      <c r="Q73" s="108" t="s">
        <v>346</v>
      </c>
    </row>
    <row r="74" spans="2:20">
      <c r="B74">
        <v>107565</v>
      </c>
      <c r="G74" s="132">
        <v>107795</v>
      </c>
      <c r="H74" s="58" t="s">
        <v>484</v>
      </c>
      <c r="P74" s="108">
        <v>10241</v>
      </c>
      <c r="Q74" s="108" t="s">
        <v>374</v>
      </c>
    </row>
    <row r="75" spans="2:20">
      <c r="B75">
        <v>107567</v>
      </c>
      <c r="P75" s="108">
        <v>10242</v>
      </c>
      <c r="Q75" s="108" t="s">
        <v>374</v>
      </c>
    </row>
    <row r="76" spans="2:20">
      <c r="B76">
        <v>107569</v>
      </c>
      <c r="P76" s="108">
        <v>10244</v>
      </c>
      <c r="Q76" s="108" t="s">
        <v>374</v>
      </c>
    </row>
    <row r="77" spans="2:20">
      <c r="B77">
        <v>107574</v>
      </c>
      <c r="P77" s="108">
        <v>10248</v>
      </c>
      <c r="Q77" s="108" t="s">
        <v>374</v>
      </c>
    </row>
    <row r="78" spans="2:20">
      <c r="B78">
        <v>107578</v>
      </c>
      <c r="P78" s="108">
        <v>10249</v>
      </c>
      <c r="Q78" s="108" t="s">
        <v>374</v>
      </c>
    </row>
    <row r="79" spans="2:20">
      <c r="B79">
        <v>107579</v>
      </c>
      <c r="P79" s="108">
        <v>10251</v>
      </c>
      <c r="Q79" s="108" t="s">
        <v>346</v>
      </c>
    </row>
    <row r="80" spans="2:20">
      <c r="B80">
        <v>107580</v>
      </c>
      <c r="P80" s="108">
        <v>10252</v>
      </c>
      <c r="Q80" s="108" t="s">
        <v>346</v>
      </c>
    </row>
    <row r="81" spans="2:17">
      <c r="B81">
        <v>107581</v>
      </c>
      <c r="P81" s="108">
        <v>10254</v>
      </c>
      <c r="Q81" s="108" t="s">
        <v>346</v>
      </c>
    </row>
    <row r="82" spans="2:17">
      <c r="B82">
        <v>107582</v>
      </c>
      <c r="P82" s="108">
        <v>10258</v>
      </c>
      <c r="Q82" s="108" t="s">
        <v>346</v>
      </c>
    </row>
    <row r="83" spans="2:17">
      <c r="B83">
        <v>107583</v>
      </c>
      <c r="P83" s="108">
        <v>10259</v>
      </c>
      <c r="Q83" s="108" t="s">
        <v>346</v>
      </c>
    </row>
    <row r="84" spans="2:17">
      <c r="B84">
        <v>107585</v>
      </c>
      <c r="P84" s="108">
        <v>10261</v>
      </c>
      <c r="Q84" s="108" t="s">
        <v>350</v>
      </c>
    </row>
    <row r="85" spans="2:17">
      <c r="B85">
        <v>107586</v>
      </c>
      <c r="P85" s="108">
        <v>10262</v>
      </c>
      <c r="Q85" s="108" t="s">
        <v>350</v>
      </c>
    </row>
    <row r="86" spans="2:17">
      <c r="B86">
        <v>107587</v>
      </c>
      <c r="P86" s="108">
        <v>10264</v>
      </c>
      <c r="Q86" s="108" t="s">
        <v>350</v>
      </c>
    </row>
    <row r="87" spans="2:17">
      <c r="B87">
        <v>107592</v>
      </c>
      <c r="P87" s="108">
        <v>10268</v>
      </c>
      <c r="Q87" s="108" t="s">
        <v>350</v>
      </c>
    </row>
    <row r="88" spans="2:17">
      <c r="B88">
        <v>107593</v>
      </c>
      <c r="P88" s="108">
        <v>10269</v>
      </c>
      <c r="Q88" s="108" t="s">
        <v>350</v>
      </c>
    </row>
    <row r="89" spans="2:17">
      <c r="B89">
        <v>107594</v>
      </c>
      <c r="P89" s="108">
        <v>10271</v>
      </c>
      <c r="Q89" s="108" t="s">
        <v>350</v>
      </c>
    </row>
    <row r="90" spans="2:17">
      <c r="B90">
        <v>107596</v>
      </c>
      <c r="P90" s="108">
        <v>10272</v>
      </c>
      <c r="Q90" s="108" t="s">
        <v>350</v>
      </c>
    </row>
    <row r="91" spans="2:17">
      <c r="B91">
        <v>107598</v>
      </c>
      <c r="P91" s="108">
        <v>10274</v>
      </c>
      <c r="Q91" s="108" t="s">
        <v>350</v>
      </c>
    </row>
    <row r="92" spans="2:17">
      <c r="B92">
        <v>107599</v>
      </c>
      <c r="P92" s="108">
        <v>10278</v>
      </c>
      <c r="Q92" s="108" t="s">
        <v>350</v>
      </c>
    </row>
    <row r="93" spans="2:17">
      <c r="B93" s="165">
        <v>101520</v>
      </c>
      <c r="P93" s="108">
        <v>10279</v>
      </c>
      <c r="Q93" s="108" t="s">
        <v>350</v>
      </c>
    </row>
    <row r="94" spans="2:17">
      <c r="B94" s="165">
        <v>101521</v>
      </c>
      <c r="P94" s="108">
        <v>10281</v>
      </c>
      <c r="Q94" s="108" t="s">
        <v>350</v>
      </c>
    </row>
    <row r="95" spans="2:17">
      <c r="B95" s="165">
        <v>101522</v>
      </c>
      <c r="P95" s="108">
        <v>10282</v>
      </c>
      <c r="Q95" s="108" t="s">
        <v>350</v>
      </c>
    </row>
    <row r="96" spans="2:17">
      <c r="B96">
        <v>107603</v>
      </c>
      <c r="P96" s="108">
        <v>10284</v>
      </c>
      <c r="Q96" s="108" t="s">
        <v>350</v>
      </c>
    </row>
    <row r="97" spans="2:20">
      <c r="B97">
        <v>107605</v>
      </c>
      <c r="P97" s="108">
        <v>10288</v>
      </c>
      <c r="Q97" s="108" t="s">
        <v>350</v>
      </c>
    </row>
    <row r="98" spans="2:20">
      <c r="B98">
        <v>107609</v>
      </c>
      <c r="P98" s="108">
        <v>10289</v>
      </c>
      <c r="Q98" s="108" t="s">
        <v>350</v>
      </c>
    </row>
    <row r="99" spans="2:20">
      <c r="B99">
        <v>107610</v>
      </c>
      <c r="P99" s="133">
        <v>10305</v>
      </c>
      <c r="Q99" s="108" t="s">
        <v>350</v>
      </c>
      <c r="R99" t="s">
        <v>485</v>
      </c>
      <c r="S99" s="136" t="s">
        <v>153</v>
      </c>
      <c r="T99" t="s">
        <v>486</v>
      </c>
    </row>
    <row r="100" spans="2:20">
      <c r="B100">
        <v>107616</v>
      </c>
      <c r="P100" s="133">
        <v>10315</v>
      </c>
      <c r="Q100" s="108" t="s">
        <v>350</v>
      </c>
      <c r="R100" t="s">
        <v>487</v>
      </c>
      <c r="S100" s="136" t="s">
        <v>153</v>
      </c>
      <c r="T100" t="s">
        <v>486</v>
      </c>
    </row>
    <row r="101" spans="2:20">
      <c r="B101">
        <v>107619</v>
      </c>
      <c r="P101" s="108">
        <v>10401</v>
      </c>
      <c r="Q101" s="108" t="s">
        <v>350</v>
      </c>
    </row>
    <row r="102" spans="2:20">
      <c r="B102">
        <v>107620</v>
      </c>
      <c r="P102" s="108">
        <v>10402</v>
      </c>
      <c r="Q102" s="108" t="s">
        <v>350</v>
      </c>
    </row>
    <row r="103" spans="2:20">
      <c r="B103">
        <v>107622</v>
      </c>
      <c r="P103" s="108">
        <v>10404</v>
      </c>
      <c r="Q103" s="108" t="s">
        <v>350</v>
      </c>
    </row>
    <row r="104" spans="2:20">
      <c r="B104">
        <v>107628</v>
      </c>
      <c r="P104" s="108">
        <v>10408</v>
      </c>
      <c r="Q104" s="108" t="s">
        <v>350</v>
      </c>
    </row>
    <row r="105" spans="2:20">
      <c r="B105">
        <v>107632</v>
      </c>
      <c r="P105" s="108">
        <v>10409</v>
      </c>
      <c r="Q105" s="108" t="s">
        <v>350</v>
      </c>
    </row>
    <row r="106" spans="2:20">
      <c r="B106">
        <v>107633</v>
      </c>
      <c r="P106" s="133">
        <v>10411</v>
      </c>
      <c r="Q106" s="108" t="s">
        <v>350</v>
      </c>
      <c r="R106" t="s">
        <v>488</v>
      </c>
      <c r="S106" s="136" t="s">
        <v>153</v>
      </c>
      <c r="T106" t="s">
        <v>486</v>
      </c>
    </row>
    <row r="107" spans="2:20">
      <c r="B107">
        <v>107635</v>
      </c>
      <c r="P107" s="133">
        <v>10418</v>
      </c>
      <c r="Q107" s="108" t="s">
        <v>350</v>
      </c>
      <c r="R107" t="s">
        <v>489</v>
      </c>
      <c r="S107" s="136" t="s">
        <v>153</v>
      </c>
      <c r="T107" t="s">
        <v>486</v>
      </c>
    </row>
    <row r="108" spans="2:20">
      <c r="B108">
        <v>107640</v>
      </c>
      <c r="P108" s="133">
        <v>10419</v>
      </c>
      <c r="Q108" s="108" t="s">
        <v>350</v>
      </c>
      <c r="R108" t="s">
        <v>490</v>
      </c>
      <c r="S108" s="136" t="s">
        <v>153</v>
      </c>
      <c r="T108" t="s">
        <v>486</v>
      </c>
    </row>
    <row r="109" spans="2:20">
      <c r="B109">
        <v>107643</v>
      </c>
      <c r="P109" s="133">
        <v>10421</v>
      </c>
      <c r="Q109" s="108" t="s">
        <v>350</v>
      </c>
      <c r="R109" t="s">
        <v>491</v>
      </c>
      <c r="S109" s="136" t="s">
        <v>153</v>
      </c>
      <c r="T109" t="s">
        <v>486</v>
      </c>
    </row>
    <row r="110" spans="2:20">
      <c r="B110">
        <v>107656</v>
      </c>
      <c r="P110" s="133">
        <v>10429</v>
      </c>
      <c r="Q110" s="108" t="s">
        <v>350</v>
      </c>
      <c r="R110" t="s">
        <v>492</v>
      </c>
      <c r="S110" s="136" t="s">
        <v>153</v>
      </c>
      <c r="T110" t="s">
        <v>486</v>
      </c>
    </row>
    <row r="111" spans="2:20">
      <c r="B111">
        <v>107657</v>
      </c>
      <c r="P111" s="108">
        <v>10451</v>
      </c>
      <c r="Q111" s="108" t="s">
        <v>350</v>
      </c>
    </row>
    <row r="112" spans="2:20">
      <c r="B112">
        <v>107665</v>
      </c>
      <c r="P112" s="108">
        <v>10452</v>
      </c>
      <c r="Q112" s="108" t="s">
        <v>350</v>
      </c>
    </row>
    <row r="113" spans="2:20">
      <c r="B113">
        <v>107667</v>
      </c>
      <c r="P113" s="133">
        <v>10453</v>
      </c>
      <c r="Q113" s="108" t="s">
        <v>350</v>
      </c>
      <c r="R113" t="s">
        <v>493</v>
      </c>
      <c r="S113" s="136" t="s">
        <v>153</v>
      </c>
      <c r="T113" t="s">
        <v>486</v>
      </c>
    </row>
    <row r="114" spans="2:20">
      <c r="B114">
        <v>107671</v>
      </c>
      <c r="P114" s="108">
        <v>10454</v>
      </c>
      <c r="Q114" s="108" t="s">
        <v>350</v>
      </c>
    </row>
    <row r="115" spans="2:20">
      <c r="B115">
        <v>107672</v>
      </c>
      <c r="P115" s="108">
        <v>10458</v>
      </c>
      <c r="Q115" s="108" t="s">
        <v>350</v>
      </c>
    </row>
    <row r="116" spans="2:20">
      <c r="B116">
        <v>107677</v>
      </c>
      <c r="P116" s="108">
        <v>10459</v>
      </c>
      <c r="Q116" s="108" t="s">
        <v>350</v>
      </c>
    </row>
    <row r="117" spans="2:20">
      <c r="B117">
        <v>107678</v>
      </c>
      <c r="P117" s="133">
        <v>10471</v>
      </c>
      <c r="Q117" s="108" t="s">
        <v>350</v>
      </c>
      <c r="R117" t="s">
        <v>494</v>
      </c>
      <c r="S117" s="136" t="s">
        <v>153</v>
      </c>
      <c r="T117" t="s">
        <v>486</v>
      </c>
    </row>
    <row r="118" spans="2:20">
      <c r="B118">
        <v>107682</v>
      </c>
      <c r="P118" s="133">
        <v>10478</v>
      </c>
      <c r="Q118" s="108" t="s">
        <v>350</v>
      </c>
      <c r="R118" t="s">
        <v>495</v>
      </c>
      <c r="S118" s="136" t="s">
        <v>153</v>
      </c>
      <c r="T118" t="s">
        <v>486</v>
      </c>
    </row>
    <row r="119" spans="2:20">
      <c r="B119">
        <v>107683</v>
      </c>
      <c r="P119" s="133">
        <v>10479</v>
      </c>
      <c r="Q119" s="108" t="s">
        <v>350</v>
      </c>
      <c r="R119" t="s">
        <v>496</v>
      </c>
      <c r="S119" s="136" t="s">
        <v>153</v>
      </c>
      <c r="T119" t="s">
        <v>486</v>
      </c>
    </row>
    <row r="120" spans="2:20">
      <c r="B120">
        <v>107686</v>
      </c>
      <c r="P120" s="131">
        <v>10805</v>
      </c>
      <c r="Q120" s="108" t="s">
        <v>350</v>
      </c>
      <c r="R120" t="s">
        <v>815</v>
      </c>
      <c r="S120" s="136" t="s">
        <v>153</v>
      </c>
      <c r="T120" t="s">
        <v>486</v>
      </c>
    </row>
    <row r="121" spans="2:20">
      <c r="B121">
        <v>107691</v>
      </c>
      <c r="P121" s="133">
        <v>10811</v>
      </c>
      <c r="Q121" s="108" t="s">
        <v>350</v>
      </c>
      <c r="R121" t="s">
        <v>497</v>
      </c>
      <c r="S121" s="136" t="s">
        <v>153</v>
      </c>
      <c r="T121" t="s">
        <v>486</v>
      </c>
    </row>
    <row r="122" spans="2:20">
      <c r="B122">
        <v>107693</v>
      </c>
      <c r="P122" s="133">
        <v>10812</v>
      </c>
      <c r="Q122" s="108" t="s">
        <v>350</v>
      </c>
      <c r="R122" t="s">
        <v>498</v>
      </c>
      <c r="S122" s="136" t="s">
        <v>153</v>
      </c>
      <c r="T122" t="s">
        <v>486</v>
      </c>
    </row>
    <row r="123" spans="2:20">
      <c r="B123">
        <v>107694</v>
      </c>
      <c r="P123" s="133">
        <v>10814</v>
      </c>
      <c r="Q123" s="108" t="s">
        <v>350</v>
      </c>
      <c r="R123" t="s">
        <v>499</v>
      </c>
      <c r="S123" s="136" t="s">
        <v>153</v>
      </c>
      <c r="T123" t="s">
        <v>486</v>
      </c>
    </row>
    <row r="124" spans="2:20">
      <c r="B124">
        <v>107695</v>
      </c>
      <c r="P124" s="133">
        <v>10818</v>
      </c>
      <c r="Q124" s="108" t="s">
        <v>350</v>
      </c>
      <c r="R124" t="s">
        <v>500</v>
      </c>
      <c r="S124" s="136" t="s">
        <v>153</v>
      </c>
      <c r="T124" t="s">
        <v>486</v>
      </c>
    </row>
    <row r="125" spans="2:20">
      <c r="B125">
        <v>107699</v>
      </c>
      <c r="P125" s="133">
        <v>10819</v>
      </c>
      <c r="Q125" s="108" t="s">
        <v>350</v>
      </c>
      <c r="R125" t="s">
        <v>501</v>
      </c>
      <c r="S125" s="136" t="s">
        <v>153</v>
      </c>
      <c r="T125" t="s">
        <v>486</v>
      </c>
    </row>
    <row r="126" spans="2:20">
      <c r="B126">
        <v>107702</v>
      </c>
      <c r="P126" s="133">
        <v>10821</v>
      </c>
      <c r="Q126" s="108" t="s">
        <v>350</v>
      </c>
      <c r="R126" t="s">
        <v>502</v>
      </c>
      <c r="S126" s="136" t="s">
        <v>153</v>
      </c>
      <c r="T126" t="s">
        <v>486</v>
      </c>
    </row>
    <row r="127" spans="2:20">
      <c r="B127">
        <v>107709</v>
      </c>
      <c r="P127" s="134">
        <v>10822</v>
      </c>
      <c r="Q127" s="108" t="s">
        <v>350</v>
      </c>
      <c r="R127" s="58" t="s">
        <v>503</v>
      </c>
      <c r="S127" s="136" t="s">
        <v>153</v>
      </c>
      <c r="T127" t="s">
        <v>486</v>
      </c>
    </row>
    <row r="128" spans="2:20">
      <c r="B128">
        <v>107710</v>
      </c>
      <c r="P128" s="134">
        <v>10824</v>
      </c>
      <c r="Q128" s="108" t="s">
        <v>350</v>
      </c>
      <c r="R128" s="58" t="s">
        <v>504</v>
      </c>
      <c r="S128" s="136"/>
    </row>
    <row r="129" spans="2:20">
      <c r="B129">
        <v>107714</v>
      </c>
      <c r="P129" s="133">
        <v>10828</v>
      </c>
      <c r="Q129" s="108" t="s">
        <v>350</v>
      </c>
      <c r="R129" t="s">
        <v>505</v>
      </c>
      <c r="S129" s="136" t="s">
        <v>153</v>
      </c>
      <c r="T129" t="s">
        <v>486</v>
      </c>
    </row>
    <row r="130" spans="2:20">
      <c r="B130">
        <v>107717</v>
      </c>
      <c r="P130" s="133">
        <v>10829</v>
      </c>
      <c r="Q130" s="108" t="s">
        <v>350</v>
      </c>
      <c r="R130" t="s">
        <v>506</v>
      </c>
      <c r="S130" s="136" t="s">
        <v>153</v>
      </c>
      <c r="T130" t="s">
        <v>486</v>
      </c>
    </row>
    <row r="131" spans="2:20">
      <c r="B131">
        <v>107720</v>
      </c>
      <c r="P131" s="108">
        <v>10831</v>
      </c>
      <c r="Q131" s="108" t="s">
        <v>348</v>
      </c>
    </row>
    <row r="132" spans="2:20">
      <c r="B132">
        <v>107721</v>
      </c>
      <c r="P132" s="108">
        <v>10832</v>
      </c>
      <c r="Q132" s="108" t="s">
        <v>348</v>
      </c>
    </row>
    <row r="133" spans="2:20">
      <c r="B133">
        <v>107724</v>
      </c>
      <c r="P133" s="108">
        <v>10834</v>
      </c>
      <c r="Q133" s="108" t="s">
        <v>348</v>
      </c>
    </row>
    <row r="134" spans="2:20">
      <c r="B134">
        <v>107726</v>
      </c>
      <c r="P134" s="108">
        <v>10835</v>
      </c>
      <c r="Q134" s="108" t="s">
        <v>431</v>
      </c>
      <c r="S134" s="136" t="s">
        <v>153</v>
      </c>
    </row>
    <row r="135" spans="2:20">
      <c r="B135">
        <v>107728</v>
      </c>
      <c r="P135" s="108">
        <v>10838</v>
      </c>
      <c r="Q135" s="108" t="s">
        <v>348</v>
      </c>
    </row>
    <row r="136" spans="2:20">
      <c r="B136">
        <v>107730</v>
      </c>
      <c r="P136" s="108">
        <v>10839</v>
      </c>
      <c r="Q136" s="108" t="s">
        <v>348</v>
      </c>
    </row>
    <row r="137" spans="2:20">
      <c r="B137">
        <v>107731</v>
      </c>
      <c r="P137" s="108">
        <v>10841</v>
      </c>
      <c r="Q137" s="108" t="s">
        <v>347</v>
      </c>
    </row>
    <row r="138" spans="2:20">
      <c r="B138">
        <v>107732</v>
      </c>
      <c r="P138" s="108">
        <v>10842</v>
      </c>
      <c r="Q138" s="108" t="s">
        <v>347</v>
      </c>
    </row>
    <row r="139" spans="2:20">
      <c r="B139">
        <v>107733</v>
      </c>
      <c r="P139" s="108">
        <v>10844</v>
      </c>
      <c r="Q139" s="108" t="s">
        <v>347</v>
      </c>
    </row>
    <row r="140" spans="2:20">
      <c r="B140">
        <v>107734</v>
      </c>
      <c r="P140" s="133">
        <v>10845</v>
      </c>
      <c r="Q140" s="108" t="s">
        <v>347</v>
      </c>
      <c r="R140" t="s">
        <v>507</v>
      </c>
      <c r="S140" s="136" t="s">
        <v>153</v>
      </c>
      <c r="T140" t="s">
        <v>508</v>
      </c>
    </row>
    <row r="141" spans="2:20">
      <c r="B141">
        <v>107735</v>
      </c>
      <c r="P141" s="108">
        <v>10848</v>
      </c>
      <c r="Q141" s="108" t="s">
        <v>347</v>
      </c>
    </row>
    <row r="142" spans="2:20">
      <c r="B142">
        <v>107742</v>
      </c>
      <c r="P142" s="108">
        <v>10849</v>
      </c>
      <c r="Q142" s="108" t="s">
        <v>347</v>
      </c>
    </row>
    <row r="143" spans="2:20">
      <c r="B143">
        <v>107743</v>
      </c>
      <c r="P143" s="108">
        <v>10851</v>
      </c>
      <c r="Q143" s="108" t="s">
        <v>349</v>
      </c>
    </row>
    <row r="144" spans="2:20">
      <c r="B144">
        <v>107749</v>
      </c>
      <c r="P144" s="108">
        <v>10852</v>
      </c>
      <c r="Q144" s="108" t="s">
        <v>349</v>
      </c>
    </row>
    <row r="145" spans="2:20">
      <c r="B145">
        <v>107754</v>
      </c>
      <c r="P145" s="108">
        <v>10854</v>
      </c>
      <c r="Q145" s="108" t="s">
        <v>349</v>
      </c>
    </row>
    <row r="146" spans="2:20">
      <c r="B146">
        <v>107759</v>
      </c>
      <c r="P146" s="108">
        <v>10858</v>
      </c>
      <c r="Q146" s="108" t="s">
        <v>349</v>
      </c>
    </row>
    <row r="147" spans="2:20">
      <c r="B147">
        <v>107763</v>
      </c>
      <c r="P147" s="108">
        <v>10859</v>
      </c>
      <c r="Q147" s="108" t="s">
        <v>349</v>
      </c>
    </row>
    <row r="148" spans="2:20">
      <c r="B148">
        <v>107764</v>
      </c>
      <c r="P148" s="108">
        <v>10861</v>
      </c>
      <c r="Q148" s="108" t="s">
        <v>347</v>
      </c>
    </row>
    <row r="149" spans="2:20">
      <c r="B149">
        <v>107765</v>
      </c>
      <c r="P149" s="108">
        <v>10862</v>
      </c>
      <c r="Q149" s="108" t="s">
        <v>347</v>
      </c>
    </row>
    <row r="150" spans="2:20">
      <c r="B150">
        <v>107766</v>
      </c>
      <c r="P150" s="108">
        <v>10864</v>
      </c>
      <c r="Q150" s="108" t="s">
        <v>347</v>
      </c>
    </row>
    <row r="151" spans="2:20">
      <c r="B151">
        <v>107767</v>
      </c>
      <c r="P151" s="108">
        <v>10868</v>
      </c>
      <c r="Q151" s="108" t="s">
        <v>347</v>
      </c>
    </row>
    <row r="152" spans="2:20">
      <c r="B152">
        <v>107768</v>
      </c>
      <c r="P152" s="108">
        <v>10869</v>
      </c>
      <c r="Q152" s="108" t="s">
        <v>347</v>
      </c>
    </row>
    <row r="153" spans="2:20">
      <c r="B153">
        <v>107769</v>
      </c>
      <c r="P153" s="108">
        <v>10881</v>
      </c>
      <c r="Q153" s="108" t="s">
        <v>350</v>
      </c>
    </row>
    <row r="154" spans="2:20">
      <c r="B154">
        <v>107771</v>
      </c>
      <c r="P154" s="108">
        <v>10882</v>
      </c>
      <c r="Q154" s="108" t="s">
        <v>350</v>
      </c>
    </row>
    <row r="155" spans="2:20">
      <c r="B155">
        <v>107775</v>
      </c>
      <c r="P155" s="108">
        <v>10884</v>
      </c>
      <c r="Q155" s="108" t="s">
        <v>350</v>
      </c>
    </row>
    <row r="156" spans="2:20">
      <c r="B156">
        <v>107776</v>
      </c>
      <c r="P156" s="108">
        <v>10888</v>
      </c>
      <c r="Q156" s="108" t="s">
        <v>350</v>
      </c>
    </row>
    <row r="157" spans="2:20">
      <c r="B157">
        <v>107777</v>
      </c>
      <c r="P157" s="108">
        <v>10889</v>
      </c>
      <c r="Q157" s="108" t="s">
        <v>350</v>
      </c>
    </row>
    <row r="158" spans="2:20">
      <c r="B158">
        <v>107779</v>
      </c>
      <c r="P158" s="133">
        <v>10891</v>
      </c>
      <c r="Q158" s="109" t="s">
        <v>350</v>
      </c>
      <c r="R158" t="s">
        <v>509</v>
      </c>
      <c r="S158" s="136" t="s">
        <v>153</v>
      </c>
      <c r="T158" t="s">
        <v>486</v>
      </c>
    </row>
    <row r="159" spans="2:20">
      <c r="B159">
        <v>107781</v>
      </c>
      <c r="P159" s="133">
        <v>10894</v>
      </c>
      <c r="Q159" s="109" t="s">
        <v>350</v>
      </c>
      <c r="R159" t="s">
        <v>510</v>
      </c>
      <c r="S159" s="136" t="s">
        <v>153</v>
      </c>
      <c r="T159" t="s">
        <v>486</v>
      </c>
    </row>
    <row r="160" spans="2:20">
      <c r="B160">
        <v>107782</v>
      </c>
      <c r="P160" s="133">
        <v>10898</v>
      </c>
      <c r="Q160" s="109" t="s">
        <v>350</v>
      </c>
      <c r="R160" t="s">
        <v>511</v>
      </c>
      <c r="S160" s="136" t="s">
        <v>153</v>
      </c>
      <c r="T160" t="s">
        <v>486</v>
      </c>
    </row>
    <row r="161" spans="2:20">
      <c r="B161">
        <v>107784</v>
      </c>
      <c r="P161" s="133">
        <v>10899</v>
      </c>
      <c r="Q161" s="109" t="s">
        <v>350</v>
      </c>
      <c r="R161" t="s">
        <v>512</v>
      </c>
      <c r="S161" s="136" t="s">
        <v>153</v>
      </c>
      <c r="T161" t="s">
        <v>486</v>
      </c>
    </row>
    <row r="162" spans="2:20">
      <c r="B162">
        <v>107786</v>
      </c>
      <c r="P162" s="108">
        <v>10901</v>
      </c>
      <c r="Q162" s="108" t="s">
        <v>350</v>
      </c>
    </row>
    <row r="163" spans="2:20">
      <c r="B163">
        <v>107787</v>
      </c>
      <c r="P163" s="108">
        <v>10902</v>
      </c>
      <c r="Q163" s="108" t="s">
        <v>350</v>
      </c>
    </row>
    <row r="164" spans="2:20">
      <c r="B164">
        <v>107789</v>
      </c>
      <c r="P164" s="108">
        <v>10904</v>
      </c>
      <c r="Q164" s="108" t="s">
        <v>350</v>
      </c>
    </row>
    <row r="165" spans="2:20">
      <c r="B165">
        <v>107791</v>
      </c>
      <c r="P165" s="108">
        <v>10908</v>
      </c>
      <c r="Q165" s="108" t="s">
        <v>350</v>
      </c>
    </row>
    <row r="166" spans="2:20">
      <c r="B166">
        <v>107793</v>
      </c>
      <c r="P166" s="108">
        <v>10909</v>
      </c>
      <c r="Q166" s="108" t="s">
        <v>350</v>
      </c>
    </row>
    <row r="167" spans="2:20">
      <c r="B167">
        <v>107795</v>
      </c>
      <c r="P167" s="134">
        <v>11000</v>
      </c>
      <c r="Q167" s="108" t="s">
        <v>350</v>
      </c>
      <c r="R167" t="s">
        <v>513</v>
      </c>
      <c r="S167" s="136" t="s">
        <v>153</v>
      </c>
      <c r="T167" t="s">
        <v>486</v>
      </c>
    </row>
    <row r="168" spans="2:20">
      <c r="B168">
        <v>107797</v>
      </c>
      <c r="P168" s="108">
        <v>11010</v>
      </c>
      <c r="Q168" s="108" t="s">
        <v>350</v>
      </c>
    </row>
    <row r="169" spans="2:20">
      <c r="B169">
        <v>107798</v>
      </c>
      <c r="P169" s="108">
        <v>11018</v>
      </c>
      <c r="Q169" s="108" t="s">
        <v>350</v>
      </c>
    </row>
    <row r="170" spans="2:20">
      <c r="B170">
        <v>107800</v>
      </c>
      <c r="P170" s="108">
        <v>11019</v>
      </c>
      <c r="Q170" s="108" t="s">
        <v>350</v>
      </c>
    </row>
    <row r="171" spans="2:20">
      <c r="B171">
        <v>107801</v>
      </c>
      <c r="P171" s="108">
        <v>11020</v>
      </c>
      <c r="Q171" s="108" t="s">
        <v>351</v>
      </c>
    </row>
    <row r="172" spans="2:20">
      <c r="B172">
        <v>107803</v>
      </c>
      <c r="P172" s="108">
        <v>11030</v>
      </c>
      <c r="Q172" s="108" t="s">
        <v>351</v>
      </c>
    </row>
    <row r="173" spans="2:20">
      <c r="B173">
        <v>107805</v>
      </c>
      <c r="P173" s="133">
        <v>11040</v>
      </c>
      <c r="Q173" s="108" t="s">
        <v>351</v>
      </c>
      <c r="R173" t="s">
        <v>514</v>
      </c>
      <c r="S173" s="136" t="s">
        <v>153</v>
      </c>
      <c r="T173" t="s">
        <v>515</v>
      </c>
    </row>
    <row r="174" spans="2:20">
      <c r="B174">
        <v>107806</v>
      </c>
      <c r="P174" s="108">
        <v>11050</v>
      </c>
      <c r="Q174" s="108" t="s">
        <v>351</v>
      </c>
    </row>
    <row r="175" spans="2:20">
      <c r="B175">
        <v>107808</v>
      </c>
      <c r="P175" s="134">
        <v>11070</v>
      </c>
      <c r="Q175" s="133" t="s">
        <v>351</v>
      </c>
      <c r="R175" s="58" t="s">
        <v>1014</v>
      </c>
    </row>
    <row r="176" spans="2:20">
      <c r="B176">
        <v>107810</v>
      </c>
      <c r="P176" s="108">
        <v>11080</v>
      </c>
      <c r="Q176" s="108" t="s">
        <v>351</v>
      </c>
    </row>
    <row r="177" spans="2:20">
      <c r="B177">
        <v>107811</v>
      </c>
      <c r="P177" s="108">
        <v>11090</v>
      </c>
      <c r="Q177" s="108" t="s">
        <v>351</v>
      </c>
    </row>
    <row r="178" spans="2:20">
      <c r="B178">
        <v>107812</v>
      </c>
      <c r="P178" s="108">
        <v>11100</v>
      </c>
      <c r="Q178" s="108" t="s">
        <v>351</v>
      </c>
    </row>
    <row r="179" spans="2:20">
      <c r="B179">
        <v>107815</v>
      </c>
      <c r="P179" s="108">
        <v>11110</v>
      </c>
      <c r="Q179" s="108" t="s">
        <v>351</v>
      </c>
    </row>
    <row r="180" spans="2:20">
      <c r="B180">
        <v>107816</v>
      </c>
      <c r="P180" s="108">
        <v>11120</v>
      </c>
      <c r="Q180" s="108" t="s">
        <v>351</v>
      </c>
    </row>
    <row r="181" spans="2:20">
      <c r="B181">
        <v>107817</v>
      </c>
      <c r="P181" s="134">
        <v>11125</v>
      </c>
      <c r="Q181" s="133" t="s">
        <v>351</v>
      </c>
      <c r="R181" s="58" t="s">
        <v>1015</v>
      </c>
      <c r="S181" s="136" t="s">
        <v>153</v>
      </c>
      <c r="T181" t="s">
        <v>515</v>
      </c>
    </row>
    <row r="182" spans="2:20">
      <c r="B182">
        <v>107818</v>
      </c>
      <c r="P182" s="108">
        <v>11140</v>
      </c>
      <c r="Q182" s="108" t="s">
        <v>351</v>
      </c>
    </row>
    <row r="183" spans="2:20">
      <c r="B183">
        <v>107819</v>
      </c>
      <c r="P183" s="108">
        <v>11150</v>
      </c>
      <c r="Q183" s="108" t="s">
        <v>352</v>
      </c>
      <c r="R183" t="s">
        <v>516</v>
      </c>
      <c r="S183" s="136" t="s">
        <v>153</v>
      </c>
      <c r="T183" t="s">
        <v>517</v>
      </c>
    </row>
    <row r="184" spans="2:20">
      <c r="B184">
        <v>107825</v>
      </c>
      <c r="P184" s="133">
        <v>11160</v>
      </c>
      <c r="Q184" s="108" t="s">
        <v>348</v>
      </c>
    </row>
    <row r="185" spans="2:20">
      <c r="B185">
        <v>107827</v>
      </c>
      <c r="P185" s="108">
        <v>11170</v>
      </c>
      <c r="Q185" s="108" t="s">
        <v>354</v>
      </c>
    </row>
    <row r="186" spans="2:20">
      <c r="B186">
        <v>107829</v>
      </c>
      <c r="P186" s="108">
        <v>11680</v>
      </c>
      <c r="Q186" s="108" t="s">
        <v>351</v>
      </c>
      <c r="R186" t="s">
        <v>518</v>
      </c>
      <c r="S186" s="136" t="s">
        <v>153</v>
      </c>
      <c r="T186" t="s">
        <v>515</v>
      </c>
    </row>
    <row r="187" spans="2:20">
      <c r="B187">
        <v>107835</v>
      </c>
      <c r="P187" s="133">
        <v>11700</v>
      </c>
      <c r="Q187" s="108" t="s">
        <v>351</v>
      </c>
      <c r="R187" t="s">
        <v>519</v>
      </c>
      <c r="S187" s="136" t="s">
        <v>153</v>
      </c>
      <c r="T187" t="s">
        <v>515</v>
      </c>
    </row>
    <row r="188" spans="2:20">
      <c r="B188">
        <v>107837</v>
      </c>
      <c r="P188" s="133">
        <v>11710</v>
      </c>
      <c r="Q188" s="108" t="s">
        <v>351</v>
      </c>
    </row>
    <row r="189" spans="2:20">
      <c r="B189">
        <v>107838</v>
      </c>
      <c r="P189" s="108">
        <v>11720</v>
      </c>
      <c r="Q189" s="109" t="s">
        <v>351</v>
      </c>
      <c r="R189" t="s">
        <v>520</v>
      </c>
      <c r="S189" s="136" t="s">
        <v>153</v>
      </c>
      <c r="T189" t="s">
        <v>515</v>
      </c>
    </row>
    <row r="190" spans="2:20">
      <c r="B190">
        <v>107842</v>
      </c>
      <c r="P190" s="133">
        <v>11760</v>
      </c>
      <c r="Q190" s="108" t="s">
        <v>351</v>
      </c>
    </row>
    <row r="191" spans="2:20">
      <c r="B191">
        <v>107845</v>
      </c>
      <c r="P191" s="108">
        <v>11770</v>
      </c>
      <c r="Q191" s="109" t="s">
        <v>351</v>
      </c>
    </row>
    <row r="192" spans="2:20">
      <c r="B192">
        <v>107851</v>
      </c>
      <c r="P192" s="108">
        <v>11775</v>
      </c>
      <c r="Q192" s="109" t="s">
        <v>351</v>
      </c>
    </row>
    <row r="193" spans="2:22">
      <c r="B193">
        <v>107852</v>
      </c>
      <c r="P193" s="108">
        <v>13035</v>
      </c>
      <c r="Q193" s="108" t="s">
        <v>370</v>
      </c>
      <c r="R193" t="s">
        <v>521</v>
      </c>
      <c r="S193" s="136" t="s">
        <v>153</v>
      </c>
      <c r="T193" t="s">
        <v>486</v>
      </c>
    </row>
    <row r="194" spans="2:22">
      <c r="B194">
        <v>107853</v>
      </c>
      <c r="P194" s="133">
        <v>13041</v>
      </c>
      <c r="Q194" s="108" t="s">
        <v>350</v>
      </c>
      <c r="R194" t="s">
        <v>522</v>
      </c>
      <c r="S194" s="136" t="s">
        <v>153</v>
      </c>
      <c r="T194" t="s">
        <v>486</v>
      </c>
    </row>
    <row r="195" spans="2:22">
      <c r="B195">
        <v>107862</v>
      </c>
      <c r="P195" s="133">
        <v>13048</v>
      </c>
      <c r="Q195" s="108" t="s">
        <v>350</v>
      </c>
      <c r="R195" t="s">
        <v>523</v>
      </c>
      <c r="S195" s="136" t="s">
        <v>153</v>
      </c>
      <c r="T195" t="s">
        <v>486</v>
      </c>
    </row>
    <row r="196" spans="2:22">
      <c r="B196">
        <v>107881</v>
      </c>
      <c r="P196" s="133">
        <v>13049</v>
      </c>
      <c r="Q196" s="108" t="s">
        <v>350</v>
      </c>
      <c r="R196" t="s">
        <v>523</v>
      </c>
      <c r="S196" s="136" t="s">
        <v>153</v>
      </c>
      <c r="T196" t="s">
        <v>486</v>
      </c>
    </row>
    <row r="197" spans="2:22">
      <c r="B197">
        <v>107886</v>
      </c>
      <c r="P197" s="134">
        <v>19997</v>
      </c>
      <c r="Q197" s="108" t="s">
        <v>350</v>
      </c>
      <c r="R197" t="s">
        <v>524</v>
      </c>
      <c r="S197" s="136" t="s">
        <v>153</v>
      </c>
    </row>
    <row r="198" spans="2:22">
      <c r="B198">
        <v>107887</v>
      </c>
      <c r="P198" s="431">
        <v>19999</v>
      </c>
      <c r="Q198" s="429" t="s">
        <v>350</v>
      </c>
      <c r="R198" s="433" t="s">
        <v>1027</v>
      </c>
      <c r="S198" s="432"/>
      <c r="T198" s="430"/>
      <c r="U198" s="430"/>
      <c r="V198" s="430"/>
    </row>
    <row r="199" spans="2:22">
      <c r="B199">
        <v>107888</v>
      </c>
      <c r="P199" s="133">
        <v>20020</v>
      </c>
      <c r="Q199" s="108" t="s">
        <v>355</v>
      </c>
      <c r="R199" t="s">
        <v>526</v>
      </c>
      <c r="S199" s="136" t="s">
        <v>153</v>
      </c>
      <c r="T199" t="s">
        <v>525</v>
      </c>
    </row>
    <row r="200" spans="2:22">
      <c r="B200">
        <v>107890</v>
      </c>
      <c r="P200" s="133">
        <v>20030</v>
      </c>
      <c r="Q200" s="108" t="s">
        <v>355</v>
      </c>
      <c r="R200" t="s">
        <v>527</v>
      </c>
      <c r="S200" s="136" t="s">
        <v>153</v>
      </c>
      <c r="T200" t="s">
        <v>525</v>
      </c>
    </row>
    <row r="201" spans="2:22">
      <c r="B201">
        <v>107891</v>
      </c>
      <c r="P201" s="133">
        <v>20040</v>
      </c>
      <c r="Q201" s="108" t="s">
        <v>355</v>
      </c>
    </row>
    <row r="202" spans="2:22">
      <c r="B202">
        <v>107892</v>
      </c>
      <c r="P202" s="108">
        <v>20060</v>
      </c>
      <c r="Q202" s="108" t="s">
        <v>355</v>
      </c>
      <c r="R202" t="s">
        <v>528</v>
      </c>
      <c r="S202" s="136" t="s">
        <v>153</v>
      </c>
      <c r="T202" t="s">
        <v>525</v>
      </c>
    </row>
    <row r="203" spans="2:22">
      <c r="B203">
        <v>107898</v>
      </c>
      <c r="P203" s="133">
        <v>20070</v>
      </c>
      <c r="Q203" s="108" t="s">
        <v>355</v>
      </c>
      <c r="R203" t="s">
        <v>529</v>
      </c>
      <c r="S203" s="136" t="s">
        <v>153</v>
      </c>
      <c r="T203" t="s">
        <v>525</v>
      </c>
    </row>
    <row r="204" spans="2:22">
      <c r="B204">
        <v>107900</v>
      </c>
      <c r="P204" s="133">
        <v>20080</v>
      </c>
      <c r="Q204" s="108" t="s">
        <v>355</v>
      </c>
      <c r="R204" t="s">
        <v>530</v>
      </c>
      <c r="S204" s="136" t="s">
        <v>153</v>
      </c>
      <c r="T204" t="s">
        <v>525</v>
      </c>
    </row>
    <row r="205" spans="2:22">
      <c r="B205">
        <v>107902</v>
      </c>
      <c r="P205" s="133">
        <v>20090</v>
      </c>
      <c r="Q205" s="108" t="s">
        <v>355</v>
      </c>
      <c r="R205" t="s">
        <v>531</v>
      </c>
      <c r="S205" s="136" t="s">
        <v>153</v>
      </c>
      <c r="T205" t="s">
        <v>525</v>
      </c>
    </row>
    <row r="206" spans="2:22">
      <c r="B206">
        <v>107906</v>
      </c>
      <c r="P206" s="133">
        <v>20100</v>
      </c>
      <c r="Q206" s="108" t="s">
        <v>355</v>
      </c>
    </row>
    <row r="207" spans="2:22">
      <c r="B207">
        <v>107912</v>
      </c>
      <c r="P207" s="108">
        <v>20110</v>
      </c>
      <c r="Q207" s="108" t="s">
        <v>356</v>
      </c>
      <c r="R207" t="s">
        <v>532</v>
      </c>
      <c r="S207" s="136" t="s">
        <v>153</v>
      </c>
      <c r="T207" t="s">
        <v>533</v>
      </c>
    </row>
    <row r="208" spans="2:22">
      <c r="B208">
        <v>107921</v>
      </c>
      <c r="P208" s="133">
        <v>20120</v>
      </c>
      <c r="Q208" s="108" t="s">
        <v>356</v>
      </c>
    </row>
    <row r="209" spans="2:20">
      <c r="B209">
        <v>107924</v>
      </c>
      <c r="P209" s="108">
        <v>20130</v>
      </c>
      <c r="Q209" s="108" t="s">
        <v>380</v>
      </c>
      <c r="R209" t="s">
        <v>808</v>
      </c>
    </row>
    <row r="210" spans="2:20">
      <c r="B210">
        <v>107925</v>
      </c>
      <c r="P210" s="108">
        <v>20140</v>
      </c>
      <c r="Q210" s="108" t="s">
        <v>382</v>
      </c>
      <c r="R210" s="142" t="s">
        <v>786</v>
      </c>
      <c r="S210" s="142" t="s">
        <v>134</v>
      </c>
      <c r="T210" s="142"/>
    </row>
    <row r="211" spans="2:20">
      <c r="B211">
        <v>107926</v>
      </c>
      <c r="P211" s="291">
        <v>20141</v>
      </c>
      <c r="Q211" s="121" t="s">
        <v>800</v>
      </c>
      <c r="R211" s="142" t="s">
        <v>787</v>
      </c>
      <c r="S211" s="142" t="s">
        <v>134</v>
      </c>
      <c r="T211" s="142"/>
    </row>
    <row r="212" spans="2:20">
      <c r="B212">
        <v>107928</v>
      </c>
      <c r="P212" s="291">
        <v>20142</v>
      </c>
      <c r="Q212" s="121" t="s">
        <v>788</v>
      </c>
      <c r="R212" s="142" t="s">
        <v>797</v>
      </c>
      <c r="S212" s="142" t="s">
        <v>134</v>
      </c>
      <c r="T212" s="142"/>
    </row>
    <row r="213" spans="2:20">
      <c r="B213">
        <v>107929</v>
      </c>
      <c r="P213" s="291">
        <v>20143</v>
      </c>
      <c r="Q213" s="121" t="s">
        <v>789</v>
      </c>
      <c r="R213" s="142" t="s">
        <v>798</v>
      </c>
      <c r="S213" s="142" t="s">
        <v>134</v>
      </c>
      <c r="T213" s="142"/>
    </row>
    <row r="214" spans="2:20">
      <c r="B214">
        <v>107933</v>
      </c>
      <c r="P214" s="291">
        <v>20144</v>
      </c>
      <c r="Q214" s="121" t="s">
        <v>801</v>
      </c>
      <c r="R214" s="142" t="s">
        <v>799</v>
      </c>
      <c r="S214" s="142" t="s">
        <v>134</v>
      </c>
      <c r="T214" s="142"/>
    </row>
    <row r="215" spans="2:20">
      <c r="B215">
        <v>107935</v>
      </c>
      <c r="P215" s="291">
        <v>20145</v>
      </c>
      <c r="Q215" s="121" t="s">
        <v>802</v>
      </c>
    </row>
    <row r="216" spans="2:20">
      <c r="B216">
        <v>107936</v>
      </c>
      <c r="P216" s="108">
        <v>20190</v>
      </c>
      <c r="Q216" s="108" t="s">
        <v>380</v>
      </c>
    </row>
    <row r="217" spans="2:20">
      <c r="B217">
        <v>107937</v>
      </c>
      <c r="P217" s="108">
        <v>20200</v>
      </c>
      <c r="Q217" s="108" t="s">
        <v>361</v>
      </c>
      <c r="R217" t="s">
        <v>534</v>
      </c>
      <c r="S217" s="136" t="s">
        <v>153</v>
      </c>
      <c r="T217" t="s">
        <v>525</v>
      </c>
    </row>
    <row r="218" spans="2:20">
      <c r="B218">
        <v>107940</v>
      </c>
      <c r="P218" s="134">
        <v>20801</v>
      </c>
      <c r="Q218" s="109" t="s">
        <v>355</v>
      </c>
      <c r="R218" t="s">
        <v>535</v>
      </c>
      <c r="S218" s="136" t="s">
        <v>153</v>
      </c>
      <c r="T218" t="s">
        <v>525</v>
      </c>
    </row>
    <row r="219" spans="2:20">
      <c r="B219">
        <v>107941</v>
      </c>
      <c r="P219" s="133">
        <v>20840</v>
      </c>
      <c r="Q219" s="108" t="s">
        <v>355</v>
      </c>
    </row>
    <row r="220" spans="2:20">
      <c r="B220">
        <v>107945</v>
      </c>
      <c r="P220" s="108">
        <v>21010</v>
      </c>
      <c r="Q220" s="108" t="s">
        <v>359</v>
      </c>
    </row>
    <row r="221" spans="2:20">
      <c r="B221">
        <v>107947</v>
      </c>
      <c r="P221" s="108">
        <v>21020</v>
      </c>
      <c r="Q221" s="108" t="s">
        <v>359</v>
      </c>
    </row>
    <row r="222" spans="2:20">
      <c r="B222">
        <v>107948</v>
      </c>
      <c r="P222" s="108">
        <v>21030</v>
      </c>
      <c r="Q222" s="108" t="s">
        <v>359</v>
      </c>
    </row>
    <row r="223" spans="2:20">
      <c r="B223">
        <v>107952</v>
      </c>
      <c r="P223" s="108">
        <v>22000</v>
      </c>
      <c r="Q223" s="108" t="s">
        <v>361</v>
      </c>
    </row>
    <row r="224" spans="2:20">
      <c r="B224">
        <v>107954</v>
      </c>
      <c r="P224" s="108">
        <v>22030</v>
      </c>
      <c r="Q224" s="108" t="s">
        <v>361</v>
      </c>
    </row>
    <row r="225" spans="2:20">
      <c r="B225">
        <v>107956</v>
      </c>
      <c r="P225" s="108">
        <v>22050</v>
      </c>
      <c r="Q225" s="108" t="s">
        <v>361</v>
      </c>
    </row>
    <row r="226" spans="2:20">
      <c r="B226">
        <v>107958</v>
      </c>
      <c r="P226" s="108">
        <v>22400</v>
      </c>
      <c r="Q226" s="108" t="s">
        <v>360</v>
      </c>
    </row>
    <row r="227" spans="2:20">
      <c r="B227">
        <v>107959</v>
      </c>
      <c r="P227" s="108">
        <v>22700</v>
      </c>
      <c r="Q227" s="108" t="s">
        <v>358</v>
      </c>
      <c r="R227" t="s">
        <v>536</v>
      </c>
      <c r="S227" s="136" t="s">
        <v>153</v>
      </c>
      <c r="T227" t="s">
        <v>525</v>
      </c>
    </row>
    <row r="228" spans="2:20">
      <c r="P228" s="133">
        <v>23010</v>
      </c>
      <c r="Q228" s="108" t="s">
        <v>355</v>
      </c>
    </row>
    <row r="229" spans="2:20">
      <c r="P229" s="108">
        <v>23020</v>
      </c>
      <c r="Q229" s="108" t="s">
        <v>361</v>
      </c>
      <c r="R229" t="s">
        <v>537</v>
      </c>
      <c r="S229" s="136" t="s">
        <v>153</v>
      </c>
      <c r="T229" t="s">
        <v>538</v>
      </c>
    </row>
    <row r="230" spans="2:20">
      <c r="P230" s="133">
        <v>25010</v>
      </c>
      <c r="Q230" s="108" t="s">
        <v>357</v>
      </c>
    </row>
    <row r="231" spans="2:20">
      <c r="P231" s="108">
        <v>25020</v>
      </c>
      <c r="Q231" s="108" t="s">
        <v>357</v>
      </c>
    </row>
    <row r="232" spans="2:20">
      <c r="P232" s="108">
        <v>25030</v>
      </c>
      <c r="Q232" s="108" t="s">
        <v>361</v>
      </c>
      <c r="R232" t="s">
        <v>539</v>
      </c>
      <c r="S232" s="136" t="s">
        <v>153</v>
      </c>
      <c r="T232" t="s">
        <v>538</v>
      </c>
    </row>
    <row r="233" spans="2:20">
      <c r="P233" s="133">
        <v>25040</v>
      </c>
      <c r="Q233" s="108" t="s">
        <v>357</v>
      </c>
    </row>
    <row r="234" spans="2:20">
      <c r="P234" s="108">
        <v>25710</v>
      </c>
      <c r="Q234" s="108" t="s">
        <v>366</v>
      </c>
      <c r="R234" t="s">
        <v>540</v>
      </c>
      <c r="S234" s="136" t="s">
        <v>153</v>
      </c>
      <c r="T234" t="s">
        <v>541</v>
      </c>
    </row>
    <row r="235" spans="2:20">
      <c r="P235" s="133">
        <v>25720</v>
      </c>
      <c r="Q235" s="108" t="s">
        <v>366</v>
      </c>
      <c r="R235" s="58" t="s">
        <v>542</v>
      </c>
      <c r="S235" s="136" t="s">
        <v>153</v>
      </c>
      <c r="T235" t="s">
        <v>541</v>
      </c>
    </row>
    <row r="236" spans="2:20">
      <c r="P236" s="134">
        <v>25800</v>
      </c>
      <c r="Q236" s="108" t="s">
        <v>366</v>
      </c>
    </row>
    <row r="237" spans="2:20">
      <c r="P237" s="108">
        <v>30010</v>
      </c>
      <c r="Q237" s="108" t="s">
        <v>381</v>
      </c>
    </row>
    <row r="238" spans="2:20">
      <c r="P238" s="108">
        <v>30011</v>
      </c>
      <c r="Q238" s="108" t="s">
        <v>381</v>
      </c>
      <c r="R238" t="s">
        <v>543</v>
      </c>
      <c r="S238" s="136" t="s">
        <v>153</v>
      </c>
      <c r="T238" t="s">
        <v>525</v>
      </c>
    </row>
    <row r="239" spans="2:20">
      <c r="P239" s="133">
        <v>30020</v>
      </c>
      <c r="Q239" s="108" t="s">
        <v>355</v>
      </c>
      <c r="R239" t="s">
        <v>544</v>
      </c>
      <c r="S239" s="136" t="s">
        <v>153</v>
      </c>
      <c r="T239" t="s">
        <v>545</v>
      </c>
    </row>
    <row r="240" spans="2:20">
      <c r="P240" s="133">
        <v>30030</v>
      </c>
      <c r="Q240" s="108" t="s">
        <v>362</v>
      </c>
      <c r="R240" t="s">
        <v>546</v>
      </c>
      <c r="S240" s="136" t="s">
        <v>153</v>
      </c>
      <c r="T240" t="s">
        <v>545</v>
      </c>
    </row>
    <row r="241" spans="16:20">
      <c r="P241" s="133">
        <v>30070</v>
      </c>
      <c r="Q241" s="108" t="s">
        <v>362</v>
      </c>
      <c r="R241" t="s">
        <v>547</v>
      </c>
      <c r="S241" s="136" t="s">
        <v>153</v>
      </c>
      <c r="T241" t="s">
        <v>545</v>
      </c>
    </row>
    <row r="242" spans="16:20">
      <c r="P242" s="133">
        <v>30120</v>
      </c>
      <c r="Q242" s="108" t="s">
        <v>362</v>
      </c>
    </row>
    <row r="243" spans="16:20">
      <c r="P243" s="108">
        <v>30160</v>
      </c>
      <c r="Q243" s="108" t="s">
        <v>362</v>
      </c>
      <c r="R243" t="s">
        <v>548</v>
      </c>
      <c r="S243" s="136" t="s">
        <v>153</v>
      </c>
      <c r="T243" t="s">
        <v>525</v>
      </c>
    </row>
    <row r="244" spans="16:20">
      <c r="P244" s="133">
        <v>30190</v>
      </c>
      <c r="Q244" s="108" t="s">
        <v>355</v>
      </c>
      <c r="R244" t="s">
        <v>549</v>
      </c>
      <c r="S244" s="136" t="s">
        <v>153</v>
      </c>
      <c r="T244" t="s">
        <v>525</v>
      </c>
    </row>
    <row r="245" spans="16:20">
      <c r="P245" s="134">
        <v>30191</v>
      </c>
      <c r="Q245" s="109" t="s">
        <v>355</v>
      </c>
      <c r="R245" t="s">
        <v>550</v>
      </c>
      <c r="S245" s="136" t="s">
        <v>153</v>
      </c>
      <c r="T245" t="s">
        <v>545</v>
      </c>
    </row>
    <row r="246" spans="16:20">
      <c r="P246" s="133">
        <v>30192</v>
      </c>
      <c r="Q246" s="108" t="s">
        <v>362</v>
      </c>
    </row>
    <row r="247" spans="16:20">
      <c r="P247" s="108">
        <v>32010</v>
      </c>
      <c r="Q247" s="108" t="s">
        <v>351</v>
      </c>
      <c r="R247" t="s">
        <v>551</v>
      </c>
      <c r="S247" s="136" t="s">
        <v>153</v>
      </c>
      <c r="T247" t="s">
        <v>515</v>
      </c>
    </row>
    <row r="248" spans="16:20">
      <c r="P248" s="133">
        <v>32012</v>
      </c>
      <c r="Q248" s="108" t="s">
        <v>351</v>
      </c>
      <c r="R248" t="s">
        <v>552</v>
      </c>
      <c r="S248" s="136" t="s">
        <v>153</v>
      </c>
      <c r="T248" t="s">
        <v>515</v>
      </c>
    </row>
    <row r="249" spans="16:20">
      <c r="P249" s="133">
        <v>32060</v>
      </c>
      <c r="Q249" s="108" t="s">
        <v>351</v>
      </c>
      <c r="R249" t="s">
        <v>553</v>
      </c>
      <c r="S249" s="136" t="s">
        <v>153</v>
      </c>
      <c r="T249" t="s">
        <v>515</v>
      </c>
    </row>
    <row r="250" spans="16:20">
      <c r="P250" s="133">
        <v>33000</v>
      </c>
      <c r="Q250" s="108" t="s">
        <v>351</v>
      </c>
      <c r="R250" t="s">
        <v>554</v>
      </c>
      <c r="S250" s="136" t="s">
        <v>153</v>
      </c>
      <c r="T250" t="s">
        <v>515</v>
      </c>
    </row>
    <row r="251" spans="16:20">
      <c r="P251" s="133">
        <v>33010</v>
      </c>
      <c r="Q251" s="108" t="s">
        <v>351</v>
      </c>
    </row>
    <row r="252" spans="16:20">
      <c r="P252" s="108">
        <v>33020</v>
      </c>
      <c r="Q252" s="108" t="s">
        <v>351</v>
      </c>
    </row>
    <row r="253" spans="16:20">
      <c r="P253" s="108">
        <v>34010</v>
      </c>
      <c r="Q253" s="108" t="s">
        <v>366</v>
      </c>
      <c r="R253" s="58" t="s">
        <v>555</v>
      </c>
      <c r="S253" s="136" t="s">
        <v>153</v>
      </c>
    </row>
    <row r="254" spans="16:20">
      <c r="P254" s="134">
        <v>34800</v>
      </c>
      <c r="Q254" s="154" t="s">
        <v>366</v>
      </c>
      <c r="R254" t="s">
        <v>556</v>
      </c>
      <c r="S254" s="136" t="s">
        <v>153</v>
      </c>
      <c r="T254" t="s">
        <v>515</v>
      </c>
    </row>
    <row r="255" spans="16:20">
      <c r="P255" s="133">
        <v>35000</v>
      </c>
      <c r="Q255" s="108" t="s">
        <v>351</v>
      </c>
      <c r="R255" t="s">
        <v>557</v>
      </c>
      <c r="S255" s="136" t="s">
        <v>153</v>
      </c>
      <c r="T255" t="s">
        <v>515</v>
      </c>
    </row>
    <row r="256" spans="16:20">
      <c r="P256" s="133">
        <v>35010</v>
      </c>
      <c r="Q256" s="108" t="s">
        <v>351</v>
      </c>
      <c r="R256" t="s">
        <v>558</v>
      </c>
      <c r="S256" s="136" t="s">
        <v>153</v>
      </c>
      <c r="T256" t="s">
        <v>515</v>
      </c>
    </row>
    <row r="257" spans="5:22">
      <c r="E257" s="58"/>
      <c r="H257" s="245"/>
      <c r="P257" s="133">
        <v>35020</v>
      </c>
      <c r="Q257" s="108" t="s">
        <v>351</v>
      </c>
      <c r="R257" t="s">
        <v>559</v>
      </c>
      <c r="S257" s="136" t="s">
        <v>153</v>
      </c>
      <c r="T257" t="s">
        <v>515</v>
      </c>
    </row>
    <row r="258" spans="5:22">
      <c r="E258" s="58"/>
      <c r="H258" s="245"/>
      <c r="P258" s="133">
        <v>35030</v>
      </c>
      <c r="Q258" s="108" t="s">
        <v>351</v>
      </c>
      <c r="R258" s="58" t="s">
        <v>560</v>
      </c>
      <c r="S258" s="136" t="s">
        <v>153</v>
      </c>
      <c r="T258" t="s">
        <v>515</v>
      </c>
    </row>
    <row r="259" spans="5:22">
      <c r="E259" s="58"/>
      <c r="H259" s="245"/>
      <c r="P259" s="134">
        <v>35040</v>
      </c>
      <c r="Q259" s="108" t="s">
        <v>351</v>
      </c>
    </row>
    <row r="260" spans="5:22">
      <c r="E260" s="58"/>
      <c r="H260" s="245"/>
      <c r="P260" s="108">
        <v>40000</v>
      </c>
      <c r="Q260" s="108" t="s">
        <v>365</v>
      </c>
      <c r="R260" t="s">
        <v>814</v>
      </c>
      <c r="S260" t="s">
        <v>134</v>
      </c>
    </row>
    <row r="261" spans="5:22" ht="15">
      <c r="E261" s="58"/>
      <c r="H261" s="245"/>
      <c r="P261" s="216">
        <v>40001</v>
      </c>
      <c r="Q261" s="216" t="s">
        <v>382</v>
      </c>
      <c r="R261" s="132" t="s">
        <v>807</v>
      </c>
      <c r="S261" s="132" t="s">
        <v>134</v>
      </c>
      <c r="T261" s="422" t="s">
        <v>141</v>
      </c>
      <c r="U261" s="423">
        <v>40001</v>
      </c>
      <c r="V261" s="421" t="s">
        <v>1017</v>
      </c>
    </row>
    <row r="262" spans="5:22">
      <c r="E262" s="58"/>
      <c r="H262" s="245"/>
      <c r="P262" s="291">
        <v>40002</v>
      </c>
      <c r="Q262" s="121" t="s">
        <v>800</v>
      </c>
      <c r="R262" s="142" t="s">
        <v>806</v>
      </c>
      <c r="S262" s="142" t="s">
        <v>134</v>
      </c>
    </row>
    <row r="263" spans="5:22">
      <c r="P263" s="291">
        <v>40003</v>
      </c>
      <c r="Q263" s="121" t="s">
        <v>788</v>
      </c>
      <c r="R263" s="142" t="s">
        <v>805</v>
      </c>
      <c r="S263" s="142" t="s">
        <v>134</v>
      </c>
    </row>
    <row r="264" spans="5:22">
      <c r="P264" s="291">
        <v>40004</v>
      </c>
      <c r="Q264" s="121" t="s">
        <v>789</v>
      </c>
      <c r="R264" s="142" t="s">
        <v>804</v>
      </c>
      <c r="S264" s="142" t="s">
        <v>134</v>
      </c>
    </row>
    <row r="265" spans="5:22">
      <c r="P265" s="291">
        <v>40005</v>
      </c>
      <c r="Q265" s="121" t="s">
        <v>801</v>
      </c>
      <c r="R265" s="142" t="s">
        <v>803</v>
      </c>
      <c r="S265" s="142" t="s">
        <v>134</v>
      </c>
    </row>
    <row r="266" spans="5:22">
      <c r="P266" s="291">
        <v>40006</v>
      </c>
      <c r="Q266" s="121" t="s">
        <v>802</v>
      </c>
      <c r="R266" t="s">
        <v>561</v>
      </c>
      <c r="S266" s="136" t="s">
        <v>153</v>
      </c>
      <c r="T266" t="s">
        <v>545</v>
      </c>
    </row>
    <row r="267" spans="5:22">
      <c r="P267" s="133">
        <v>40150</v>
      </c>
      <c r="Q267" s="108" t="s">
        <v>362</v>
      </c>
      <c r="R267" s="58" t="s">
        <v>562</v>
      </c>
      <c r="S267" s="136" t="s">
        <v>153</v>
      </c>
      <c r="T267" t="s">
        <v>545</v>
      </c>
    </row>
    <row r="268" spans="5:22">
      <c r="P268" s="134">
        <v>40210</v>
      </c>
      <c r="Q268" s="108" t="s">
        <v>362</v>
      </c>
    </row>
    <row r="269" spans="5:22">
      <c r="P269" s="108">
        <v>40280</v>
      </c>
      <c r="Q269" s="108" t="s">
        <v>362</v>
      </c>
    </row>
    <row r="270" spans="5:22">
      <c r="P270" s="118">
        <v>40450</v>
      </c>
      <c r="Q270" s="109" t="s">
        <v>351</v>
      </c>
      <c r="R270" s="58" t="s">
        <v>563</v>
      </c>
      <c r="S270" s="136" t="s">
        <v>153</v>
      </c>
      <c r="T270" s="58" t="s">
        <v>564</v>
      </c>
    </row>
    <row r="271" spans="5:22">
      <c r="P271" s="134">
        <v>40511</v>
      </c>
      <c r="Q271" s="109" t="s">
        <v>361</v>
      </c>
    </row>
    <row r="272" spans="5:22">
      <c r="P272" s="108">
        <v>40510</v>
      </c>
      <c r="Q272" s="109" t="s">
        <v>362</v>
      </c>
      <c r="R272" t="s">
        <v>565</v>
      </c>
      <c r="S272" s="136" t="s">
        <v>153</v>
      </c>
      <c r="T272" t="s">
        <v>515</v>
      </c>
    </row>
    <row r="273" spans="16:20">
      <c r="P273" s="108">
        <v>40540</v>
      </c>
      <c r="Q273" s="108" t="s">
        <v>365</v>
      </c>
    </row>
    <row r="274" spans="16:20">
      <c r="P274" s="133">
        <v>41020</v>
      </c>
      <c r="Q274" s="108" t="s">
        <v>351</v>
      </c>
    </row>
    <row r="275" spans="16:20">
      <c r="P275" s="108">
        <v>41500</v>
      </c>
      <c r="Q275" s="108" t="s">
        <v>365</v>
      </c>
    </row>
    <row r="276" spans="16:20">
      <c r="P276" s="108">
        <v>42000</v>
      </c>
      <c r="Q276" s="108" t="s">
        <v>365</v>
      </c>
      <c r="R276" s="58" t="s">
        <v>566</v>
      </c>
    </row>
    <row r="277" spans="16:20">
      <c r="P277" s="108">
        <v>42040</v>
      </c>
      <c r="Q277" s="108" t="s">
        <v>362</v>
      </c>
      <c r="S277" s="136" t="s">
        <v>153</v>
      </c>
    </row>
    <row r="278" spans="16:20">
      <c r="P278" s="134">
        <v>43000</v>
      </c>
      <c r="Q278" s="108" t="s">
        <v>431</v>
      </c>
      <c r="R278" t="s">
        <v>567</v>
      </c>
      <c r="S278" s="136" t="s">
        <v>153</v>
      </c>
      <c r="T278" t="s">
        <v>568</v>
      </c>
    </row>
    <row r="279" spans="16:20">
      <c r="P279" s="108">
        <v>43010</v>
      </c>
      <c r="Q279" s="108" t="s">
        <v>431</v>
      </c>
      <c r="R279" t="s">
        <v>569</v>
      </c>
      <c r="S279" s="136" t="s">
        <v>153</v>
      </c>
    </row>
    <row r="280" spans="16:20">
      <c r="P280" s="135">
        <v>43020</v>
      </c>
      <c r="Q280" s="108" t="s">
        <v>365</v>
      </c>
    </row>
    <row r="281" spans="16:20">
      <c r="P281" s="108">
        <v>43040</v>
      </c>
      <c r="Q281" s="108" t="s">
        <v>370</v>
      </c>
      <c r="R281" t="s">
        <v>570</v>
      </c>
      <c r="S281" s="136" t="s">
        <v>153</v>
      </c>
      <c r="T281" t="s">
        <v>564</v>
      </c>
    </row>
    <row r="282" spans="16:20">
      <c r="P282" s="134">
        <v>43110</v>
      </c>
      <c r="Q282" s="109" t="s">
        <v>370</v>
      </c>
    </row>
    <row r="283" spans="16:20">
      <c r="P283" s="108">
        <v>43120</v>
      </c>
      <c r="Q283" s="108" t="s">
        <v>364</v>
      </c>
    </row>
    <row r="284" spans="16:20">
      <c r="P284" s="133">
        <v>43150</v>
      </c>
      <c r="Q284" s="108" t="s">
        <v>361</v>
      </c>
    </row>
    <row r="285" spans="16:20">
      <c r="P285" s="108">
        <v>44000</v>
      </c>
      <c r="Q285" s="108" t="s">
        <v>365</v>
      </c>
    </row>
    <row r="286" spans="16:20">
      <c r="P286" s="108">
        <v>44100</v>
      </c>
      <c r="Q286" s="108" t="s">
        <v>365</v>
      </c>
      <c r="R286" s="58" t="s">
        <v>571</v>
      </c>
      <c r="S286" s="136" t="s">
        <v>153</v>
      </c>
      <c r="T286" t="s">
        <v>572</v>
      </c>
    </row>
    <row r="287" spans="16:20">
      <c r="P287" s="135">
        <v>44180</v>
      </c>
      <c r="Q287" s="108" t="s">
        <v>365</v>
      </c>
      <c r="R287" t="s">
        <v>573</v>
      </c>
      <c r="S287" s="136" t="s">
        <v>153</v>
      </c>
      <c r="T287" t="s">
        <v>572</v>
      </c>
    </row>
    <row r="288" spans="16:20">
      <c r="P288" s="135">
        <v>44200</v>
      </c>
      <c r="Q288" s="108" t="s">
        <v>365</v>
      </c>
    </row>
    <row r="289" spans="16:23" ht="15.75">
      <c r="P289" s="216">
        <v>44280</v>
      </c>
      <c r="Q289" s="216" t="s">
        <v>363</v>
      </c>
      <c r="R289" s="132" t="s">
        <v>773</v>
      </c>
      <c r="S289" s="265" t="s">
        <v>153</v>
      </c>
      <c r="T289" s="422" t="s">
        <v>99</v>
      </c>
      <c r="U289" s="423">
        <v>44280</v>
      </c>
      <c r="V289" s="421" t="s">
        <v>1017</v>
      </c>
      <c r="W289" s="424" t="s">
        <v>1025</v>
      </c>
    </row>
    <row r="290" spans="16:23">
      <c r="P290" s="291">
        <v>44281</v>
      </c>
      <c r="Q290" s="121" t="s">
        <v>772</v>
      </c>
      <c r="R290" s="142" t="s">
        <v>773</v>
      </c>
      <c r="S290" s="292" t="s">
        <v>153</v>
      </c>
    </row>
    <row r="291" spans="16:23">
      <c r="P291" s="291">
        <v>44282</v>
      </c>
      <c r="Q291" s="121" t="s">
        <v>774</v>
      </c>
      <c r="R291" s="142" t="s">
        <v>775</v>
      </c>
      <c r="S291" s="292" t="s">
        <v>153</v>
      </c>
    </row>
    <row r="292" spans="16:23" ht="15.75">
      <c r="P292" s="216">
        <v>44600</v>
      </c>
      <c r="Q292" s="216" t="s">
        <v>363</v>
      </c>
      <c r="R292" s="132" t="s">
        <v>777</v>
      </c>
      <c r="S292" s="265" t="s">
        <v>153</v>
      </c>
      <c r="T292" s="422" t="s">
        <v>99</v>
      </c>
      <c r="U292" s="423">
        <v>44600</v>
      </c>
      <c r="V292" s="421" t="s">
        <v>1017</v>
      </c>
      <c r="W292" s="424" t="s">
        <v>1026</v>
      </c>
    </row>
    <row r="293" spans="16:23">
      <c r="P293" s="291">
        <v>44601</v>
      </c>
      <c r="Q293" s="121" t="s">
        <v>776</v>
      </c>
      <c r="R293" s="142" t="s">
        <v>777</v>
      </c>
      <c r="S293" s="292" t="s">
        <v>153</v>
      </c>
    </row>
    <row r="294" spans="16:23">
      <c r="P294" s="291">
        <v>44602</v>
      </c>
      <c r="Q294" s="121" t="s">
        <v>778</v>
      </c>
      <c r="R294" s="142" t="s">
        <v>780</v>
      </c>
      <c r="S294" s="292" t="s">
        <v>153</v>
      </c>
    </row>
    <row r="295" spans="16:23">
      <c r="P295" s="291">
        <v>44603</v>
      </c>
      <c r="Q295" s="121" t="s">
        <v>779</v>
      </c>
      <c r="R295" s="142" t="s">
        <v>781</v>
      </c>
      <c r="S295" s="292" t="s">
        <v>153</v>
      </c>
    </row>
    <row r="296" spans="16:23">
      <c r="P296" s="291">
        <v>44604</v>
      </c>
      <c r="Q296" s="121" t="s">
        <v>782</v>
      </c>
      <c r="R296" s="142" t="s">
        <v>784</v>
      </c>
      <c r="S296" s="292" t="s">
        <v>153</v>
      </c>
    </row>
    <row r="297" spans="16:23">
      <c r="P297" s="291">
        <v>44605</v>
      </c>
      <c r="Q297" s="121" t="s">
        <v>783</v>
      </c>
      <c r="R297" s="142" t="s">
        <v>785</v>
      </c>
      <c r="S297" s="292" t="s">
        <v>153</v>
      </c>
      <c r="T297" t="s">
        <v>515</v>
      </c>
    </row>
    <row r="298" spans="16:23">
      <c r="P298" s="108">
        <v>45010</v>
      </c>
      <c r="Q298" s="108" t="s">
        <v>351</v>
      </c>
      <c r="R298" t="s">
        <v>574</v>
      </c>
      <c r="S298" s="136" t="s">
        <v>153</v>
      </c>
      <c r="T298" t="s">
        <v>515</v>
      </c>
    </row>
    <row r="299" spans="16:23">
      <c r="P299" s="108">
        <v>45011</v>
      </c>
      <c r="Q299" s="108" t="s">
        <v>351</v>
      </c>
      <c r="R299" t="s">
        <v>575</v>
      </c>
      <c r="S299" s="136" t="s">
        <v>153</v>
      </c>
      <c r="T299" t="s">
        <v>515</v>
      </c>
    </row>
    <row r="300" spans="16:23">
      <c r="P300" s="133">
        <v>45020</v>
      </c>
      <c r="Q300" s="108" t="s">
        <v>351</v>
      </c>
      <c r="R300" t="s">
        <v>576</v>
      </c>
      <c r="S300" s="136" t="s">
        <v>153</v>
      </c>
      <c r="T300" t="s">
        <v>515</v>
      </c>
    </row>
    <row r="301" spans="16:23">
      <c r="P301" s="133">
        <v>45030</v>
      </c>
      <c r="Q301" s="108" t="s">
        <v>351</v>
      </c>
      <c r="R301" t="s">
        <v>577</v>
      </c>
      <c r="S301" s="136" t="s">
        <v>153</v>
      </c>
      <c r="T301" t="s">
        <v>545</v>
      </c>
    </row>
    <row r="302" spans="16:23">
      <c r="P302" s="133">
        <v>45040</v>
      </c>
      <c r="Q302" s="108" t="s">
        <v>351</v>
      </c>
      <c r="R302" t="s">
        <v>578</v>
      </c>
      <c r="S302" s="136" t="s">
        <v>153</v>
      </c>
      <c r="T302" t="s">
        <v>515</v>
      </c>
    </row>
    <row r="303" spans="16:23">
      <c r="P303" s="133">
        <v>45050</v>
      </c>
      <c r="Q303" s="108" t="s">
        <v>351</v>
      </c>
      <c r="R303" t="s">
        <v>579</v>
      </c>
      <c r="S303" s="136" t="s">
        <v>153</v>
      </c>
      <c r="T303" t="s">
        <v>564</v>
      </c>
    </row>
    <row r="304" spans="16:23">
      <c r="P304" s="133">
        <v>45070</v>
      </c>
      <c r="Q304" s="108" t="s">
        <v>362</v>
      </c>
      <c r="R304" s="58" t="s">
        <v>580</v>
      </c>
      <c r="S304" s="136" t="s">
        <v>153</v>
      </c>
    </row>
    <row r="305" spans="16:22">
      <c r="P305" s="108">
        <v>45100</v>
      </c>
      <c r="Q305" s="108" t="s">
        <v>351</v>
      </c>
      <c r="R305" t="s">
        <v>581</v>
      </c>
      <c r="S305" s="136" t="s">
        <v>153</v>
      </c>
      <c r="T305" t="s">
        <v>572</v>
      </c>
    </row>
    <row r="306" spans="16:22">
      <c r="P306" s="133">
        <v>46000</v>
      </c>
      <c r="Q306" s="108" t="s">
        <v>361</v>
      </c>
      <c r="R306" s="58" t="s">
        <v>582</v>
      </c>
      <c r="S306" s="136" t="s">
        <v>153</v>
      </c>
    </row>
    <row r="307" spans="16:22">
      <c r="P307" s="108">
        <v>46010</v>
      </c>
      <c r="Q307" s="109" t="s">
        <v>362</v>
      </c>
    </row>
    <row r="308" spans="16:22">
      <c r="P308" s="133">
        <v>47700</v>
      </c>
      <c r="Q308" s="108" t="s">
        <v>365</v>
      </c>
    </row>
    <row r="309" spans="16:22">
      <c r="P309" s="108">
        <v>47710</v>
      </c>
      <c r="Q309" s="109" t="s">
        <v>365</v>
      </c>
    </row>
    <row r="310" spans="16:22">
      <c r="P310" s="108">
        <v>47730</v>
      </c>
      <c r="Q310" s="108" t="s">
        <v>366</v>
      </c>
    </row>
    <row r="311" spans="16:22">
      <c r="P311" s="431">
        <v>47731</v>
      </c>
      <c r="Q311" s="429" t="s">
        <v>366</v>
      </c>
      <c r="R311" s="433" t="s">
        <v>1028</v>
      </c>
      <c r="S311" s="136" t="s">
        <v>153</v>
      </c>
      <c r="T311" s="430"/>
      <c r="U311" s="430"/>
      <c r="V311" s="430"/>
    </row>
    <row r="312" spans="16:22" ht="14.25">
      <c r="P312" s="108">
        <v>47733</v>
      </c>
      <c r="Q312" s="108" t="s">
        <v>353</v>
      </c>
      <c r="R312" s="439" t="s">
        <v>1029</v>
      </c>
      <c r="S312" s="136" t="s">
        <v>153</v>
      </c>
    </row>
    <row r="313" spans="16:22">
      <c r="P313" s="108">
        <v>47735</v>
      </c>
      <c r="Q313" s="108" t="s">
        <v>366</v>
      </c>
      <c r="R313" t="s">
        <v>583</v>
      </c>
      <c r="S313" s="136" t="s">
        <v>153</v>
      </c>
      <c r="T313" t="s">
        <v>515</v>
      </c>
    </row>
    <row r="314" spans="16:22">
      <c r="P314" s="108">
        <v>47740</v>
      </c>
      <c r="Q314" s="108" t="s">
        <v>362</v>
      </c>
    </row>
    <row r="315" spans="16:22">
      <c r="P315" s="108">
        <v>47750</v>
      </c>
      <c r="Q315" s="108" t="s">
        <v>365</v>
      </c>
    </row>
    <row r="316" spans="16:22">
      <c r="P316" s="108">
        <v>47780</v>
      </c>
      <c r="Q316" s="108" t="s">
        <v>368</v>
      </c>
      <c r="R316" s="215" t="s">
        <v>584</v>
      </c>
      <c r="S316" s="136" t="s">
        <v>153</v>
      </c>
      <c r="T316" t="s">
        <v>515</v>
      </c>
    </row>
    <row r="317" spans="16:22">
      <c r="P317" s="134">
        <v>47810</v>
      </c>
      <c r="Q317" s="109" t="s">
        <v>362</v>
      </c>
      <c r="S317" s="136" t="s">
        <v>153</v>
      </c>
    </row>
    <row r="318" spans="16:22">
      <c r="P318" s="108">
        <v>47820</v>
      </c>
      <c r="Q318" s="108" t="s">
        <v>362</v>
      </c>
    </row>
    <row r="319" spans="16:22">
      <c r="P319" s="133">
        <v>47830</v>
      </c>
      <c r="Q319" s="108" t="s">
        <v>351</v>
      </c>
      <c r="R319" s="58" t="s">
        <v>585</v>
      </c>
      <c r="S319" s="136" t="s">
        <v>153</v>
      </c>
    </row>
    <row r="320" spans="16:22">
      <c r="P320" s="108">
        <v>47840</v>
      </c>
      <c r="Q320" s="108" t="s">
        <v>367</v>
      </c>
      <c r="R320" s="58" t="s">
        <v>586</v>
      </c>
      <c r="S320" s="136" t="s">
        <v>153</v>
      </c>
      <c r="T320" t="s">
        <v>587</v>
      </c>
    </row>
    <row r="321" spans="16:20">
      <c r="P321" s="108">
        <v>47850</v>
      </c>
      <c r="Q321" s="109" t="s">
        <v>375</v>
      </c>
    </row>
    <row r="322" spans="16:20">
      <c r="P322" s="134">
        <v>49806</v>
      </c>
      <c r="Q322" s="154" t="s">
        <v>368</v>
      </c>
      <c r="R322" s="58" t="s">
        <v>588</v>
      </c>
    </row>
    <row r="323" spans="16:20">
      <c r="P323" s="134">
        <v>49900</v>
      </c>
      <c r="Q323" s="109" t="s">
        <v>34</v>
      </c>
      <c r="R323" s="58"/>
    </row>
    <row r="324" spans="16:20">
      <c r="P324" s="134">
        <v>49999</v>
      </c>
      <c r="Q324" s="109" t="s">
        <v>34</v>
      </c>
      <c r="R324" s="131" t="s">
        <v>714</v>
      </c>
      <c r="S324" s="265" t="s">
        <v>153</v>
      </c>
      <c r="T324" s="132"/>
    </row>
    <row r="325" spans="16:20">
      <c r="P325" s="156">
        <v>55010</v>
      </c>
      <c r="Q325" s="108" t="s">
        <v>362</v>
      </c>
      <c r="R325" s="58" t="s">
        <v>589</v>
      </c>
      <c r="S325" s="136" t="s">
        <v>153</v>
      </c>
      <c r="T325" t="s">
        <v>515</v>
      </c>
    </row>
    <row r="326" spans="16:20">
      <c r="P326" s="410">
        <v>57030</v>
      </c>
      <c r="Q326" s="108" t="s">
        <v>362</v>
      </c>
      <c r="R326" s="368" t="s">
        <v>590</v>
      </c>
      <c r="S326" s="411" t="s">
        <v>153</v>
      </c>
      <c r="T326" t="s">
        <v>515</v>
      </c>
    </row>
    <row r="327" spans="16:20">
      <c r="P327" s="108">
        <v>57040</v>
      </c>
      <c r="Q327" s="108" t="s">
        <v>368</v>
      </c>
      <c r="R327" s="58" t="s">
        <v>591</v>
      </c>
      <c r="S327" s="136" t="s">
        <v>153</v>
      </c>
    </row>
    <row r="328" spans="16:20">
      <c r="P328" s="134">
        <v>58010</v>
      </c>
      <c r="Q328" s="108" t="s">
        <v>351</v>
      </c>
    </row>
    <row r="329" spans="16:20">
      <c r="P329" s="133">
        <v>58030</v>
      </c>
      <c r="Q329" s="108" t="s">
        <v>351</v>
      </c>
    </row>
    <row r="330" spans="16:20">
      <c r="P330" s="133">
        <v>58060</v>
      </c>
      <c r="Q330" s="109" t="s">
        <v>351</v>
      </c>
    </row>
    <row r="331" spans="16:20">
      <c r="P331" s="108">
        <v>60120</v>
      </c>
      <c r="Q331" s="108" t="s">
        <v>351</v>
      </c>
      <c r="R331" t="s">
        <v>592</v>
      </c>
      <c r="S331" s="136" t="s">
        <v>153</v>
      </c>
      <c r="T331" t="s">
        <v>104</v>
      </c>
    </row>
    <row r="332" spans="16:20">
      <c r="P332" s="135">
        <v>61840</v>
      </c>
      <c r="Q332" s="108" t="s">
        <v>365</v>
      </c>
    </row>
    <row r="333" spans="16:20">
      <c r="P333" s="108">
        <v>73000</v>
      </c>
      <c r="Q333" s="108" t="s">
        <v>323</v>
      </c>
    </row>
    <row r="334" spans="16:20">
      <c r="P334" s="108">
        <v>73002</v>
      </c>
      <c r="Q334" s="108" t="s">
        <v>323</v>
      </c>
    </row>
    <row r="335" spans="16:20">
      <c r="P335" s="108">
        <v>73003</v>
      </c>
      <c r="Q335" s="109" t="s">
        <v>34</v>
      </c>
    </row>
    <row r="336" spans="16:20">
      <c r="P336" s="108">
        <v>73004</v>
      </c>
      <c r="Q336" s="108" t="s">
        <v>329</v>
      </c>
      <c r="R336" t="s">
        <v>593</v>
      </c>
      <c r="S336" s="138" t="s">
        <v>152</v>
      </c>
      <c r="T336" t="s">
        <v>594</v>
      </c>
    </row>
    <row r="337" spans="16:20">
      <c r="P337" s="108">
        <v>73007</v>
      </c>
      <c r="Q337" s="109" t="s">
        <v>327</v>
      </c>
    </row>
    <row r="338" spans="16:20" ht="15">
      <c r="P338" s="108">
        <v>73008</v>
      </c>
      <c r="Q338" s="108" t="s">
        <v>324</v>
      </c>
      <c r="R338" s="143" t="s">
        <v>595</v>
      </c>
      <c r="S338" s="138" t="s">
        <v>152</v>
      </c>
    </row>
    <row r="339" spans="16:20">
      <c r="P339" s="133">
        <v>73010</v>
      </c>
      <c r="Q339" s="109" t="s">
        <v>323</v>
      </c>
    </row>
    <row r="340" spans="16:20">
      <c r="P340" s="108">
        <v>73011</v>
      </c>
      <c r="Q340" s="109" t="s">
        <v>323</v>
      </c>
    </row>
    <row r="341" spans="16:20">
      <c r="P341" s="134">
        <v>73012</v>
      </c>
      <c r="Q341" s="109" t="s">
        <v>323</v>
      </c>
    </row>
    <row r="342" spans="16:20">
      <c r="P342" s="108">
        <v>73016</v>
      </c>
      <c r="Q342" s="108" t="s">
        <v>326</v>
      </c>
    </row>
    <row r="343" spans="16:20">
      <c r="P343" s="108">
        <v>73023</v>
      </c>
      <c r="Q343" s="108" t="s">
        <v>328</v>
      </c>
    </row>
    <row r="344" spans="16:20">
      <c r="P344" s="108">
        <v>73025</v>
      </c>
      <c r="Q344" s="108" t="s">
        <v>329</v>
      </c>
    </row>
    <row r="345" spans="16:20">
      <c r="P345" s="108">
        <v>73026</v>
      </c>
      <c r="Q345" s="108" t="s">
        <v>333</v>
      </c>
    </row>
    <row r="346" spans="16:20">
      <c r="P346" s="108">
        <v>73027</v>
      </c>
      <c r="Q346" s="108" t="s">
        <v>334</v>
      </c>
      <c r="R346" t="s">
        <v>962</v>
      </c>
      <c r="S346" s="138" t="s">
        <v>152</v>
      </c>
    </row>
    <row r="347" spans="16:20">
      <c r="P347" s="108">
        <v>73029</v>
      </c>
      <c r="Q347" s="108" t="s">
        <v>337</v>
      </c>
    </row>
    <row r="348" spans="16:20">
      <c r="P348" s="108">
        <v>73030</v>
      </c>
      <c r="Q348" s="108" t="s">
        <v>338</v>
      </c>
    </row>
    <row r="349" spans="16:20">
      <c r="P349" s="108">
        <v>73031</v>
      </c>
      <c r="Q349" s="108" t="s">
        <v>376</v>
      </c>
      <c r="R349" t="s">
        <v>596</v>
      </c>
      <c r="S349" s="138" t="s">
        <v>152</v>
      </c>
      <c r="T349" t="s">
        <v>587</v>
      </c>
    </row>
    <row r="350" spans="16:20" ht="15">
      <c r="P350" s="133">
        <v>73032</v>
      </c>
      <c r="Q350" s="154" t="s">
        <v>328</v>
      </c>
      <c r="R350" t="s">
        <v>1021</v>
      </c>
      <c r="T350" s="418" t="s">
        <v>1023</v>
      </c>
    </row>
    <row r="351" spans="16:20" ht="15">
      <c r="P351" s="133">
        <v>73033</v>
      </c>
      <c r="Q351" s="154" t="s">
        <v>328</v>
      </c>
      <c r="R351" s="415" t="s">
        <v>1022</v>
      </c>
      <c r="T351" s="418" t="s">
        <v>1023</v>
      </c>
    </row>
    <row r="352" spans="16:20">
      <c r="P352" s="133">
        <v>73035</v>
      </c>
      <c r="Q352" s="108" t="s">
        <v>329</v>
      </c>
    </row>
    <row r="353" spans="16:19">
      <c r="P353" s="108">
        <v>73036</v>
      </c>
      <c r="Q353" s="108" t="s">
        <v>376</v>
      </c>
    </row>
    <row r="354" spans="16:19">
      <c r="P354" s="108">
        <v>73037</v>
      </c>
      <c r="Q354" s="108" t="s">
        <v>317</v>
      </c>
    </row>
    <row r="355" spans="16:19">
      <c r="P355" s="108">
        <v>73038</v>
      </c>
      <c r="Q355" s="108" t="s">
        <v>319</v>
      </c>
    </row>
    <row r="356" spans="16:19">
      <c r="P356" s="108">
        <v>73039</v>
      </c>
      <c r="Q356" s="108" t="s">
        <v>320</v>
      </c>
    </row>
    <row r="357" spans="16:19">
      <c r="P357" s="108">
        <v>73041</v>
      </c>
      <c r="Q357" s="108" t="s">
        <v>321</v>
      </c>
    </row>
    <row r="358" spans="16:19">
      <c r="P358" s="108">
        <v>73042</v>
      </c>
      <c r="Q358" s="108" t="s">
        <v>322</v>
      </c>
    </row>
    <row r="359" spans="16:19">
      <c r="P359" s="108">
        <v>73047</v>
      </c>
      <c r="Q359" s="108" t="s">
        <v>372</v>
      </c>
    </row>
    <row r="360" spans="16:19">
      <c r="P360" s="108">
        <v>73048</v>
      </c>
      <c r="Q360" s="108" t="s">
        <v>376</v>
      </c>
    </row>
    <row r="361" spans="16:19">
      <c r="P361" s="108">
        <v>73049</v>
      </c>
      <c r="Q361" s="108" t="s">
        <v>379</v>
      </c>
    </row>
    <row r="362" spans="16:19">
      <c r="P362" s="108">
        <v>73050</v>
      </c>
      <c r="Q362" s="108" t="s">
        <v>325</v>
      </c>
    </row>
    <row r="363" spans="16:19">
      <c r="P363" s="108">
        <v>73051</v>
      </c>
      <c r="Q363" s="108" t="s">
        <v>366</v>
      </c>
    </row>
    <row r="364" spans="16:19">
      <c r="P364" s="108">
        <v>73052</v>
      </c>
      <c r="Q364" s="108" t="s">
        <v>353</v>
      </c>
    </row>
    <row r="365" spans="16:19" ht="15">
      <c r="P365" s="120">
        <v>73053</v>
      </c>
      <c r="Q365" s="109" t="s">
        <v>323</v>
      </c>
      <c r="R365" s="143" t="s">
        <v>597</v>
      </c>
      <c r="S365" s="138" t="s">
        <v>152</v>
      </c>
    </row>
    <row r="366" spans="16:19" ht="15">
      <c r="P366" s="120">
        <v>73054</v>
      </c>
      <c r="Q366" s="109" t="s">
        <v>323</v>
      </c>
      <c r="R366" s="143" t="s">
        <v>598</v>
      </c>
      <c r="S366" s="138" t="s">
        <v>152</v>
      </c>
    </row>
    <row r="367" spans="16:19" ht="14.25">
      <c r="P367" s="118">
        <v>73055</v>
      </c>
      <c r="Q367" s="109" t="s">
        <v>323</v>
      </c>
      <c r="R367" s="219" t="str">
        <f>UPPER("Schools Revenue Grant Brought Forward")</f>
        <v>SCHOOLS REVENUE GRANT BROUGHT FORWARD</v>
      </c>
      <c r="S367" s="220" t="s">
        <v>599</v>
      </c>
    </row>
    <row r="368" spans="16:19" ht="14.25">
      <c r="P368" s="134">
        <v>73056</v>
      </c>
      <c r="Q368" s="154" t="s">
        <v>5</v>
      </c>
      <c r="R368" s="218" t="s">
        <v>600</v>
      </c>
      <c r="S368" s="138" t="s">
        <v>152</v>
      </c>
    </row>
    <row r="369" spans="16:23" ht="14.25">
      <c r="P369" s="134">
        <v>73057</v>
      </c>
      <c r="Q369" s="133" t="s">
        <v>323</v>
      </c>
      <c r="R369" s="218" t="s">
        <v>601</v>
      </c>
      <c r="S369" s="138" t="s">
        <v>152</v>
      </c>
    </row>
    <row r="370" spans="16:23" ht="15">
      <c r="P370" s="416">
        <v>73058</v>
      </c>
      <c r="Q370" s="154" t="s">
        <v>343</v>
      </c>
      <c r="R370" s="218" t="str">
        <f>UPPER("COVID-19 Job Retention Scheme (JRS)")</f>
        <v>COVID-19 JOB RETENTION SCHEME (JRS)</v>
      </c>
      <c r="S370" s="138" t="s">
        <v>152</v>
      </c>
      <c r="T370" s="417" t="s">
        <v>1017</v>
      </c>
    </row>
    <row r="371" spans="16:23" ht="14.25">
      <c r="P371" s="134">
        <v>73059</v>
      </c>
      <c r="Q371" s="154" t="s">
        <v>340</v>
      </c>
      <c r="R371" s="218" t="str">
        <f>UPPER("COVID-19 Exceptional Costs Grant")</f>
        <v>COVID-19 EXCEPTIONAL COSTS GRANT</v>
      </c>
      <c r="S371" s="138" t="s">
        <v>152</v>
      </c>
    </row>
    <row r="372" spans="16:23" ht="15">
      <c r="P372" s="416">
        <v>73060</v>
      </c>
      <c r="Q372" s="154" t="s">
        <v>341</v>
      </c>
      <c r="R372" s="218" t="str">
        <f>UPPER("COVID-19 Catch Up Grant")</f>
        <v>COVID-19 CATCH UP GRANT</v>
      </c>
      <c r="S372" s="138" t="s">
        <v>152</v>
      </c>
      <c r="T372" s="417" t="s">
        <v>1017</v>
      </c>
    </row>
    <row r="373" spans="16:23" ht="15">
      <c r="P373" s="416">
        <v>73061</v>
      </c>
      <c r="Q373" s="154" t="s">
        <v>342</v>
      </c>
      <c r="R373" s="218" t="str">
        <f>UPPER("COVID-19 Other Grants (Such as Digital Platforms)")</f>
        <v>COVID-19 OTHER GRANTS (SUCH AS DIGITAL PLATFORMS)</v>
      </c>
      <c r="S373" s="138" t="s">
        <v>152</v>
      </c>
      <c r="T373" s="417" t="s">
        <v>1017</v>
      </c>
    </row>
    <row r="374" spans="16:23" ht="15">
      <c r="P374" s="416">
        <v>73062</v>
      </c>
      <c r="Q374" s="154" t="s">
        <v>342</v>
      </c>
      <c r="R374" s="218" t="str">
        <f>UPPER("COVID-19 Workforce Grant")</f>
        <v>COVID-19 WORKFORCE GRANT</v>
      </c>
      <c r="S374" s="138" t="s">
        <v>152</v>
      </c>
      <c r="T374" s="417" t="s">
        <v>1017</v>
      </c>
    </row>
    <row r="375" spans="16:23" ht="15">
      <c r="P375" s="416">
        <v>73063</v>
      </c>
      <c r="Q375" s="154" t="s">
        <v>341</v>
      </c>
      <c r="R375" s="218" t="str">
        <f>UPPER("COVID-19 National Testing Programme Grant")</f>
        <v>COVID-19 NATIONAL TESTING PROGRAMME GRANT</v>
      </c>
      <c r="S375" s="138" t="s">
        <v>152</v>
      </c>
      <c r="T375" s="417" t="s">
        <v>1017</v>
      </c>
    </row>
    <row r="376" spans="16:23" ht="15">
      <c r="P376" s="416">
        <v>73064</v>
      </c>
      <c r="Q376" s="154" t="s">
        <v>341</v>
      </c>
      <c r="R376" s="218" t="s">
        <v>602</v>
      </c>
      <c r="S376" s="138" t="s">
        <v>152</v>
      </c>
      <c r="T376" s="417" t="s">
        <v>1017</v>
      </c>
    </row>
    <row r="377" spans="16:23" ht="14.25">
      <c r="P377" s="134">
        <v>73065</v>
      </c>
      <c r="Q377" s="133" t="s">
        <v>323</v>
      </c>
      <c r="R377" s="218" t="s">
        <v>603</v>
      </c>
      <c r="S377" s="138" t="s">
        <v>152</v>
      </c>
    </row>
    <row r="378" spans="16:23" ht="14.25">
      <c r="P378" s="134">
        <v>73066</v>
      </c>
      <c r="Q378" s="133" t="s">
        <v>323</v>
      </c>
      <c r="R378" s="218" t="s">
        <v>1006</v>
      </c>
      <c r="S378" s="138" t="s">
        <v>152</v>
      </c>
      <c r="T378" s="282" t="s">
        <v>1005</v>
      </c>
    </row>
    <row r="379" spans="16:23" ht="15">
      <c r="P379" s="134">
        <v>73067</v>
      </c>
      <c r="Q379" s="133" t="s">
        <v>325</v>
      </c>
      <c r="R379" s="415" t="s">
        <v>1018</v>
      </c>
      <c r="S379" s="138" t="s">
        <v>152</v>
      </c>
      <c r="T379" s="421" t="s">
        <v>22</v>
      </c>
      <c r="U379" s="421">
        <v>73067</v>
      </c>
      <c r="V379" s="421" t="s">
        <v>1024</v>
      </c>
      <c r="W379" s="421" t="s">
        <v>1018</v>
      </c>
    </row>
    <row r="380" spans="16:23" ht="15">
      <c r="P380" s="134">
        <v>73068</v>
      </c>
      <c r="Q380" s="154" t="s">
        <v>323</v>
      </c>
      <c r="R380" s="415" t="s">
        <v>1019</v>
      </c>
      <c r="S380" s="138" t="s">
        <v>152</v>
      </c>
    </row>
    <row r="381" spans="16:23">
      <c r="P381" s="108">
        <v>73621</v>
      </c>
      <c r="Q381" s="108" t="s">
        <v>352</v>
      </c>
    </row>
    <row r="382" spans="16:23">
      <c r="P382" s="108">
        <v>73622</v>
      </c>
      <c r="Q382" s="108" t="s">
        <v>353</v>
      </c>
    </row>
    <row r="383" spans="16:23">
      <c r="P383" s="108">
        <v>73623</v>
      </c>
      <c r="Q383" s="108" t="s">
        <v>354</v>
      </c>
    </row>
    <row r="384" spans="16:23">
      <c r="P384" s="108">
        <v>73624</v>
      </c>
      <c r="Q384" s="108" t="s">
        <v>355</v>
      </c>
    </row>
    <row r="385" spans="16:19">
      <c r="P385" s="108">
        <v>73625</v>
      </c>
      <c r="Q385" s="108" t="s">
        <v>356</v>
      </c>
    </row>
    <row r="386" spans="16:19">
      <c r="P386" s="108">
        <v>73626</v>
      </c>
      <c r="Q386" s="108" t="s">
        <v>357</v>
      </c>
    </row>
    <row r="387" spans="16:19">
      <c r="P387" s="108">
        <v>73627</v>
      </c>
      <c r="Q387" s="108" t="s">
        <v>368</v>
      </c>
    </row>
    <row r="388" spans="16:19">
      <c r="P388" s="108">
        <v>73628</v>
      </c>
      <c r="Q388" s="108" t="s">
        <v>370</v>
      </c>
      <c r="S388" s="136" t="s">
        <v>153</v>
      </c>
    </row>
    <row r="389" spans="16:19">
      <c r="P389" s="108">
        <v>73629</v>
      </c>
      <c r="Q389" s="108" t="s">
        <v>431</v>
      </c>
      <c r="S389" s="136" t="s">
        <v>153</v>
      </c>
    </row>
    <row r="390" spans="16:19">
      <c r="P390" s="108">
        <v>73630</v>
      </c>
      <c r="Q390" s="108" t="s">
        <v>431</v>
      </c>
      <c r="S390" s="136" t="s">
        <v>153</v>
      </c>
    </row>
    <row r="391" spans="16:19">
      <c r="P391" s="108">
        <v>73631</v>
      </c>
      <c r="Q391" s="108" t="s">
        <v>431</v>
      </c>
      <c r="S391" s="136" t="s">
        <v>153</v>
      </c>
    </row>
    <row r="392" spans="16:19">
      <c r="P392" s="108">
        <v>73632</v>
      </c>
      <c r="Q392" s="108" t="s">
        <v>431</v>
      </c>
      <c r="S392" s="136" t="s">
        <v>153</v>
      </c>
    </row>
    <row r="393" spans="16:19">
      <c r="P393" s="121">
        <v>73633</v>
      </c>
      <c r="Q393" s="121" t="s">
        <v>783</v>
      </c>
      <c r="R393" s="142" t="s">
        <v>1016</v>
      </c>
      <c r="S393" s="292" t="s">
        <v>153</v>
      </c>
    </row>
    <row r="394" spans="16:19">
      <c r="P394" s="108">
        <v>73634</v>
      </c>
      <c r="Q394" s="108" t="s">
        <v>431</v>
      </c>
      <c r="S394" s="136" t="s">
        <v>153</v>
      </c>
    </row>
    <row r="395" spans="16:19">
      <c r="P395" s="121">
        <v>73635</v>
      </c>
      <c r="Q395" s="121" t="s">
        <v>431</v>
      </c>
      <c r="R395" t="s">
        <v>604</v>
      </c>
      <c r="S395" s="136" t="s">
        <v>153</v>
      </c>
    </row>
    <row r="396" spans="16:19">
      <c r="P396" s="134">
        <v>73636</v>
      </c>
      <c r="Q396" s="154" t="s">
        <v>361</v>
      </c>
      <c r="R396" s="58" t="s">
        <v>771</v>
      </c>
      <c r="S396" s="136" t="s">
        <v>153</v>
      </c>
    </row>
    <row r="397" spans="16:19">
      <c r="P397" s="134">
        <v>73639</v>
      </c>
      <c r="Q397" s="133" t="s">
        <v>362</v>
      </c>
      <c r="R397" t="s">
        <v>1020</v>
      </c>
      <c r="S397" s="136" t="s">
        <v>153</v>
      </c>
    </row>
    <row r="398" spans="16:19">
      <c r="P398" s="108">
        <v>73650</v>
      </c>
      <c r="Q398" s="108" t="s">
        <v>362</v>
      </c>
      <c r="R398" s="58" t="s">
        <v>605</v>
      </c>
    </row>
    <row r="399" spans="16:19">
      <c r="P399" s="108">
        <v>74000</v>
      </c>
      <c r="Q399" s="108" t="s">
        <v>317</v>
      </c>
      <c r="R399" s="215" t="s">
        <v>606</v>
      </c>
    </row>
    <row r="400" spans="16:19">
      <c r="P400" s="134">
        <v>74100</v>
      </c>
      <c r="Q400" s="133" t="s">
        <v>317</v>
      </c>
    </row>
    <row r="401" spans="15:20">
      <c r="O401" s="132"/>
      <c r="P401" s="108">
        <v>75500</v>
      </c>
      <c r="Q401" s="108" t="s">
        <v>373</v>
      </c>
      <c r="R401" t="s">
        <v>607</v>
      </c>
      <c r="S401" s="138" t="s">
        <v>152</v>
      </c>
      <c r="T401" t="s">
        <v>608</v>
      </c>
    </row>
    <row r="402" spans="15:20" ht="15">
      <c r="P402" s="108">
        <v>79101</v>
      </c>
      <c r="Q402" s="108" t="s">
        <v>378</v>
      </c>
      <c r="R402" s="215" t="s">
        <v>609</v>
      </c>
      <c r="S402" s="138" t="s">
        <v>152</v>
      </c>
      <c r="T402" s="221" t="s">
        <v>610</v>
      </c>
    </row>
    <row r="403" spans="15:20">
      <c r="P403" s="134">
        <v>80000</v>
      </c>
      <c r="Q403" s="154" t="s">
        <v>329</v>
      </c>
      <c r="S403" s="138" t="s">
        <v>152</v>
      </c>
    </row>
    <row r="404" spans="15:20" ht="15">
      <c r="P404" s="108">
        <v>80001</v>
      </c>
      <c r="Q404" s="108" t="s">
        <v>327</v>
      </c>
      <c r="R404" s="131" t="s">
        <v>611</v>
      </c>
      <c r="S404" s="138" t="s">
        <v>152</v>
      </c>
      <c r="T404" s="221" t="s">
        <v>610</v>
      </c>
    </row>
    <row r="405" spans="15:20">
      <c r="P405" s="134">
        <v>80003</v>
      </c>
      <c r="Q405" s="154" t="s">
        <v>328</v>
      </c>
      <c r="R405" s="132"/>
      <c r="S405" s="138" t="s">
        <v>152</v>
      </c>
      <c r="T405" s="132"/>
    </row>
    <row r="406" spans="15:20">
      <c r="P406" s="216">
        <v>80005</v>
      </c>
      <c r="Q406" s="217" t="s">
        <v>328</v>
      </c>
      <c r="R406" t="s">
        <v>612</v>
      </c>
      <c r="S406" s="138" t="s">
        <v>152</v>
      </c>
      <c r="T406" t="s">
        <v>608</v>
      </c>
    </row>
    <row r="407" spans="15:20">
      <c r="P407" s="108">
        <v>80006</v>
      </c>
      <c r="Q407" s="108" t="s">
        <v>328</v>
      </c>
      <c r="R407" t="s">
        <v>613</v>
      </c>
      <c r="S407" s="138" t="s">
        <v>152</v>
      </c>
      <c r="T407" t="s">
        <v>608</v>
      </c>
    </row>
    <row r="408" spans="15:20">
      <c r="P408" s="108">
        <v>80007</v>
      </c>
      <c r="Q408" s="108" t="s">
        <v>337</v>
      </c>
      <c r="S408" s="138" t="s">
        <v>152</v>
      </c>
    </row>
    <row r="409" spans="15:20">
      <c r="P409" s="133">
        <v>80008</v>
      </c>
      <c r="Q409" s="108" t="s">
        <v>328</v>
      </c>
      <c r="S409" s="138" t="s">
        <v>152</v>
      </c>
    </row>
    <row r="410" spans="15:20" ht="15">
      <c r="P410" s="133">
        <v>80009</v>
      </c>
      <c r="Q410" s="108" t="s">
        <v>328</v>
      </c>
      <c r="R410" s="58" t="s">
        <v>614</v>
      </c>
      <c r="S410" s="138" t="s">
        <v>152</v>
      </c>
      <c r="T410" s="221" t="s">
        <v>610</v>
      </c>
    </row>
    <row r="411" spans="15:20">
      <c r="P411" s="134">
        <v>80906</v>
      </c>
      <c r="Q411" s="108" t="s">
        <v>329</v>
      </c>
    </row>
    <row r="412" spans="15:20">
      <c r="P412" s="108">
        <v>80907</v>
      </c>
      <c r="Q412" s="108" t="s">
        <v>329</v>
      </c>
    </row>
    <row r="413" spans="15:20" ht="15">
      <c r="P413" s="108">
        <v>80908</v>
      </c>
      <c r="Q413" s="108" t="s">
        <v>377</v>
      </c>
      <c r="R413" s="215" t="s">
        <v>615</v>
      </c>
      <c r="S413" s="242" t="s">
        <v>152</v>
      </c>
      <c r="T413" s="243" t="s">
        <v>610</v>
      </c>
    </row>
    <row r="414" spans="15:20" ht="15">
      <c r="P414" s="134">
        <v>81000</v>
      </c>
      <c r="Q414" s="154" t="s">
        <v>329</v>
      </c>
      <c r="R414" s="215" t="s">
        <v>616</v>
      </c>
      <c r="S414" s="242" t="s">
        <v>152</v>
      </c>
      <c r="T414" s="243" t="s">
        <v>610</v>
      </c>
    </row>
    <row r="415" spans="15:20">
      <c r="P415" s="134">
        <v>81001</v>
      </c>
      <c r="Q415" s="154" t="s">
        <v>329</v>
      </c>
      <c r="R415" t="s">
        <v>617</v>
      </c>
      <c r="S415" s="138" t="s">
        <v>152</v>
      </c>
      <c r="T415" t="s">
        <v>618</v>
      </c>
    </row>
    <row r="416" spans="15:20">
      <c r="P416" s="108">
        <v>81101</v>
      </c>
      <c r="Q416" s="108" t="s">
        <v>333</v>
      </c>
      <c r="R416" t="s">
        <v>619</v>
      </c>
      <c r="S416" s="138" t="s">
        <v>152</v>
      </c>
      <c r="T416" t="s">
        <v>618</v>
      </c>
    </row>
    <row r="417" spans="16:24">
      <c r="P417" s="120">
        <v>81200</v>
      </c>
      <c r="Q417" s="108" t="s">
        <v>325</v>
      </c>
    </row>
    <row r="418" spans="16:24">
      <c r="P418" s="133">
        <v>81300</v>
      </c>
      <c r="Q418" s="109" t="s">
        <v>34</v>
      </c>
    </row>
    <row r="419" spans="16:24">
      <c r="P419" s="135">
        <v>81301</v>
      </c>
      <c r="Q419" s="109" t="s">
        <v>34</v>
      </c>
    </row>
    <row r="420" spans="16:24">
      <c r="P420" s="108">
        <v>81304</v>
      </c>
      <c r="Q420" s="108" t="s">
        <v>336</v>
      </c>
    </row>
    <row r="421" spans="16:24">
      <c r="P421" s="108">
        <v>81305</v>
      </c>
      <c r="Q421" s="108" t="s">
        <v>335</v>
      </c>
      <c r="R421" t="s">
        <v>620</v>
      </c>
      <c r="S421" s="138" t="s">
        <v>152</v>
      </c>
      <c r="T421" t="s">
        <v>618</v>
      </c>
    </row>
    <row r="422" spans="16:24">
      <c r="P422" s="108">
        <v>81306</v>
      </c>
      <c r="Q422" s="108" t="s">
        <v>376</v>
      </c>
      <c r="R422" t="s">
        <v>621</v>
      </c>
      <c r="S422" s="138" t="s">
        <v>152</v>
      </c>
      <c r="T422" t="s">
        <v>622</v>
      </c>
    </row>
    <row r="423" spans="16:24">
      <c r="P423" s="108">
        <v>81309</v>
      </c>
      <c r="Q423" s="109" t="s">
        <v>34</v>
      </c>
      <c r="R423" t="s">
        <v>623</v>
      </c>
      <c r="S423" s="138" t="s">
        <v>152</v>
      </c>
      <c r="T423" t="s">
        <v>624</v>
      </c>
    </row>
    <row r="424" spans="16:24">
      <c r="P424" s="133">
        <v>81312</v>
      </c>
      <c r="Q424" s="109" t="s">
        <v>34</v>
      </c>
    </row>
    <row r="425" spans="16:24">
      <c r="P425" s="133">
        <v>81313</v>
      </c>
      <c r="Q425" s="108" t="s">
        <v>335</v>
      </c>
    </row>
    <row r="426" spans="16:24">
      <c r="P426" s="133">
        <v>81314</v>
      </c>
      <c r="Q426" s="108" t="s">
        <v>336</v>
      </c>
      <c r="X426" s="131"/>
    </row>
    <row r="427" spans="16:24">
      <c r="P427" s="119">
        <v>81315</v>
      </c>
      <c r="Q427" s="108" t="s">
        <v>335</v>
      </c>
    </row>
    <row r="428" spans="16:24">
      <c r="P428" s="108">
        <v>81317</v>
      </c>
      <c r="Q428" s="109" t="s">
        <v>34</v>
      </c>
      <c r="R428" s="215" t="s">
        <v>994</v>
      </c>
      <c r="S428" s="242" t="s">
        <v>152</v>
      </c>
      <c r="T428" s="131" t="s">
        <v>622</v>
      </c>
      <c r="U428" s="131"/>
      <c r="V428" s="131"/>
      <c r="W428" s="131"/>
    </row>
    <row r="429" spans="16:24">
      <c r="P429" s="134">
        <v>81402</v>
      </c>
      <c r="Q429" s="133" t="s">
        <v>334</v>
      </c>
      <c r="R429" t="s">
        <v>625</v>
      </c>
      <c r="S429" s="138" t="s">
        <v>152</v>
      </c>
      <c r="T429" t="s">
        <v>622</v>
      </c>
    </row>
    <row r="430" spans="16:24">
      <c r="P430" s="108">
        <v>81409</v>
      </c>
      <c r="Q430" s="108" t="s">
        <v>334</v>
      </c>
    </row>
    <row r="431" spans="16:24">
      <c r="P431" s="108">
        <v>81412</v>
      </c>
      <c r="Q431" s="108" t="s">
        <v>329</v>
      </c>
      <c r="R431" t="s">
        <v>626</v>
      </c>
      <c r="S431" s="138" t="s">
        <v>152</v>
      </c>
      <c r="T431" t="s">
        <v>627</v>
      </c>
    </row>
    <row r="432" spans="16:24">
      <c r="P432" s="133">
        <v>81505</v>
      </c>
      <c r="Q432" s="108" t="s">
        <v>335</v>
      </c>
    </row>
    <row r="433" spans="16:20">
      <c r="P433" s="108">
        <v>82000</v>
      </c>
      <c r="Q433" s="108" t="s">
        <v>332</v>
      </c>
      <c r="R433" t="s">
        <v>628</v>
      </c>
      <c r="S433" s="138" t="s">
        <v>152</v>
      </c>
      <c r="T433" t="s">
        <v>618</v>
      </c>
    </row>
    <row r="434" spans="16:20">
      <c r="P434" s="133">
        <v>82001</v>
      </c>
      <c r="Q434" s="108" t="s">
        <v>332</v>
      </c>
    </row>
    <row r="435" spans="16:20">
      <c r="P435" s="108">
        <v>82005</v>
      </c>
      <c r="Q435" s="109" t="s">
        <v>34</v>
      </c>
      <c r="R435" t="s">
        <v>629</v>
      </c>
      <c r="S435" s="138" t="s">
        <v>152</v>
      </c>
      <c r="T435" t="s">
        <v>618</v>
      </c>
    </row>
    <row r="436" spans="16:20">
      <c r="P436" s="135">
        <v>82008</v>
      </c>
      <c r="Q436" s="109" t="s">
        <v>34</v>
      </c>
      <c r="R436" s="58" t="s">
        <v>630</v>
      </c>
      <c r="S436" s="138" t="s">
        <v>152</v>
      </c>
      <c r="T436" t="s">
        <v>618</v>
      </c>
    </row>
    <row r="437" spans="16:20">
      <c r="P437" s="135">
        <v>82210</v>
      </c>
      <c r="Q437" s="109" t="s">
        <v>34</v>
      </c>
      <c r="R437" t="s">
        <v>631</v>
      </c>
      <c r="S437" s="138" t="s">
        <v>152</v>
      </c>
      <c r="T437" t="s">
        <v>618</v>
      </c>
    </row>
    <row r="438" spans="16:20">
      <c r="P438" s="108">
        <v>82300</v>
      </c>
      <c r="Q438" s="109" t="s">
        <v>34</v>
      </c>
      <c r="R438" s="58" t="s">
        <v>629</v>
      </c>
      <c r="S438" s="138" t="s">
        <v>152</v>
      </c>
    </row>
    <row r="439" spans="16:20">
      <c r="P439" s="133">
        <v>82306</v>
      </c>
      <c r="Q439" s="109" t="s">
        <v>32</v>
      </c>
      <c r="R439" t="s">
        <v>632</v>
      </c>
      <c r="S439" s="138" t="s">
        <v>152</v>
      </c>
      <c r="T439" t="s">
        <v>633</v>
      </c>
    </row>
    <row r="440" spans="16:20">
      <c r="P440" s="135">
        <v>82308</v>
      </c>
      <c r="Q440" s="109" t="s">
        <v>34</v>
      </c>
      <c r="R440" t="s">
        <v>634</v>
      </c>
      <c r="S440" s="138" t="s">
        <v>152</v>
      </c>
      <c r="T440" t="s">
        <v>633</v>
      </c>
    </row>
    <row r="441" spans="16:20">
      <c r="P441" s="108">
        <v>82312</v>
      </c>
      <c r="Q441" s="109" t="s">
        <v>34</v>
      </c>
    </row>
    <row r="442" spans="16:20">
      <c r="P442" s="133">
        <v>82313</v>
      </c>
      <c r="Q442" s="108" t="s">
        <v>339</v>
      </c>
    </row>
    <row r="443" spans="16:20">
      <c r="P443" s="135">
        <v>82319</v>
      </c>
      <c r="Q443" s="109" t="s">
        <v>34</v>
      </c>
      <c r="R443" t="s">
        <v>712</v>
      </c>
      <c r="S443" s="138" t="s">
        <v>152</v>
      </c>
      <c r="T443" t="s">
        <v>618</v>
      </c>
    </row>
    <row r="444" spans="16:20">
      <c r="P444" s="135">
        <v>82321</v>
      </c>
      <c r="Q444" s="109" t="s">
        <v>34</v>
      </c>
      <c r="R444" t="s">
        <v>635</v>
      </c>
      <c r="S444" s="138" t="s">
        <v>152</v>
      </c>
      <c r="T444" t="s">
        <v>618</v>
      </c>
    </row>
    <row r="445" spans="16:20">
      <c r="P445" s="108">
        <v>82330</v>
      </c>
      <c r="Q445" s="109" t="s">
        <v>34</v>
      </c>
      <c r="R445" t="s">
        <v>636</v>
      </c>
      <c r="S445" s="138" t="s">
        <v>152</v>
      </c>
      <c r="T445" t="s">
        <v>618</v>
      </c>
    </row>
    <row r="446" spans="16:20">
      <c r="P446" s="108">
        <v>82400</v>
      </c>
      <c r="Q446" s="109" t="s">
        <v>34</v>
      </c>
      <c r="R446" t="s">
        <v>637</v>
      </c>
      <c r="S446" s="138" t="s">
        <v>152</v>
      </c>
      <c r="T446" t="s">
        <v>618</v>
      </c>
    </row>
    <row r="447" spans="16:20">
      <c r="P447" s="133">
        <v>82500</v>
      </c>
      <c r="Q447" s="109" t="s">
        <v>34</v>
      </c>
    </row>
    <row r="448" spans="16:20">
      <c r="P448" s="133">
        <v>82520</v>
      </c>
      <c r="Q448" s="109" t="s">
        <v>34</v>
      </c>
      <c r="R448" t="s">
        <v>638</v>
      </c>
      <c r="T448" t="s">
        <v>618</v>
      </c>
    </row>
    <row r="449" spans="16:20">
      <c r="P449" s="134">
        <v>82521</v>
      </c>
      <c r="Q449" s="109" t="s">
        <v>34</v>
      </c>
      <c r="R449" s="58" t="s">
        <v>639</v>
      </c>
      <c r="S449" s="138" t="s">
        <v>152</v>
      </c>
      <c r="T449" t="s">
        <v>618</v>
      </c>
    </row>
    <row r="450" spans="16:20">
      <c r="P450" s="134">
        <v>82508</v>
      </c>
      <c r="Q450" s="109" t="s">
        <v>34</v>
      </c>
      <c r="R450" s="58" t="s">
        <v>640</v>
      </c>
      <c r="S450" s="138" t="s">
        <v>152</v>
      </c>
      <c r="T450" t="s">
        <v>618</v>
      </c>
    </row>
    <row r="451" spans="16:20">
      <c r="P451" s="134">
        <v>82528</v>
      </c>
      <c r="Q451" s="109" t="s">
        <v>34</v>
      </c>
    </row>
    <row r="452" spans="16:20">
      <c r="P452" s="133">
        <v>82537</v>
      </c>
      <c r="Q452" s="109" t="s">
        <v>34</v>
      </c>
    </row>
    <row r="453" spans="16:20">
      <c r="P453" s="108">
        <v>82538</v>
      </c>
      <c r="Q453" s="109" t="s">
        <v>34</v>
      </c>
    </row>
    <row r="454" spans="16:20">
      <c r="P454" s="108">
        <v>82700</v>
      </c>
      <c r="Q454" s="109" t="s">
        <v>34</v>
      </c>
    </row>
    <row r="455" spans="16:20">
      <c r="P455" s="108">
        <v>82711</v>
      </c>
      <c r="Q455" s="109" t="s">
        <v>34</v>
      </c>
    </row>
    <row r="456" spans="16:20" ht="30.75" customHeight="1">
      <c r="P456" s="108">
        <v>82714</v>
      </c>
      <c r="Q456" s="109" t="s">
        <v>34</v>
      </c>
      <c r="R456" t="s">
        <v>641</v>
      </c>
      <c r="S456" s="138" t="s">
        <v>152</v>
      </c>
      <c r="T456" t="s">
        <v>633</v>
      </c>
    </row>
    <row r="457" spans="16:20">
      <c r="P457" s="108">
        <v>82716</v>
      </c>
      <c r="Q457" s="108" t="s">
        <v>339</v>
      </c>
      <c r="R457" t="s">
        <v>642</v>
      </c>
      <c r="S457" s="138" t="s">
        <v>152</v>
      </c>
      <c r="T457" t="s">
        <v>633</v>
      </c>
    </row>
    <row r="458" spans="16:20">
      <c r="P458" s="108">
        <v>82717</v>
      </c>
      <c r="Q458" s="108" t="s">
        <v>338</v>
      </c>
    </row>
    <row r="459" spans="16:20">
      <c r="P459" s="133">
        <v>82719</v>
      </c>
      <c r="Q459" s="108" t="s">
        <v>339</v>
      </c>
    </row>
    <row r="460" spans="16:20">
      <c r="P460" s="135">
        <v>83000</v>
      </c>
      <c r="Q460" s="108" t="s">
        <v>339</v>
      </c>
    </row>
    <row r="461" spans="16:20">
      <c r="P461" s="108">
        <v>83003</v>
      </c>
      <c r="Q461" s="109" t="s">
        <v>34</v>
      </c>
    </row>
    <row r="462" spans="16:20">
      <c r="P462" s="108">
        <v>84010</v>
      </c>
      <c r="Q462" s="108" t="s">
        <v>334</v>
      </c>
    </row>
    <row r="463" spans="16:20">
      <c r="P463" s="108">
        <v>84011</v>
      </c>
      <c r="Q463" s="108" t="s">
        <v>334</v>
      </c>
      <c r="R463" t="s">
        <v>641</v>
      </c>
      <c r="S463" s="138" t="s">
        <v>152</v>
      </c>
      <c r="T463" t="s">
        <v>633</v>
      </c>
    </row>
    <row r="464" spans="16:20">
      <c r="P464" s="118">
        <v>82514</v>
      </c>
      <c r="Q464" s="108" t="s">
        <v>339</v>
      </c>
    </row>
    <row r="472" spans="16:19">
      <c r="R472" s="58"/>
      <c r="S472" s="138"/>
    </row>
    <row r="473" spans="16:19">
      <c r="P473" s="118"/>
      <c r="Q473" s="109"/>
    </row>
  </sheetData>
  <autoFilter ref="P4:T464" xr:uid="{00000000-0009-0000-0000-000004000000}"/>
  <sortState xmlns:xlrd2="http://schemas.microsoft.com/office/spreadsheetml/2017/richdata2" ref="P5:Q433">
    <sortCondition ref="P4"/>
  </sortState>
  <phoneticPr fontId="13" type="noConversion"/>
  <conditionalFormatting sqref="S367">
    <cfRule type="expression" dxfId="5" priority="1" stopIfTrue="1">
      <formula>IF(S367="Capital Expenditure",TRUE,FALSE)</formula>
    </cfRule>
    <cfRule type="expression" dxfId="4" priority="2" stopIfTrue="1">
      <formula>IF(S367="Capital Income",TRUE,FALSE)</formula>
    </cfRule>
    <cfRule type="expression" dxfId="3" priority="3" stopIfTrue="1">
      <formula>IF(S367="Revenue Income",TRUE,FALSE)</formula>
    </cfRule>
    <cfRule type="expression" dxfId="2" priority="4" stopIfTrue="1">
      <formula>IF(S367="Capital Expenditure",TRUE,FALSE)</formula>
    </cfRule>
    <cfRule type="expression" dxfId="1" priority="5" stopIfTrue="1">
      <formula>IF(S367="Capital Income",TRUE,FALSE)</formula>
    </cfRule>
    <cfRule type="expression" dxfId="0" priority="6" stopIfTrue="1">
      <formula>IF(S367="Revenue Income",TRUE,FALSE)</formula>
    </cfRule>
  </conditionalFormatting>
  <hyperlinks>
    <hyperlink ref="T378"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643</v>
      </c>
    </row>
    <row r="3" spans="1:2" ht="25.5">
      <c r="A3" s="73">
        <v>1</v>
      </c>
      <c r="B3" s="72" t="s">
        <v>644</v>
      </c>
    </row>
    <row r="4" spans="1:2" ht="41.25" customHeight="1">
      <c r="A4" s="71" t="s">
        <v>645</v>
      </c>
      <c r="B4" s="70" t="s">
        <v>646</v>
      </c>
    </row>
    <row r="5" spans="1:2" ht="25.5">
      <c r="A5" s="71" t="s">
        <v>647</v>
      </c>
      <c r="B5" s="69" t="s">
        <v>648</v>
      </c>
    </row>
    <row r="6" spans="1:2">
      <c r="A6" s="71" t="s">
        <v>649</v>
      </c>
      <c r="B6" s="58" t="s">
        <v>650</v>
      </c>
    </row>
    <row r="7" spans="1:2">
      <c r="A7" s="71" t="s">
        <v>651</v>
      </c>
      <c r="B7" s="58" t="s">
        <v>652</v>
      </c>
    </row>
    <row r="33" spans="1:2">
      <c r="A33" s="67">
        <v>2</v>
      </c>
      <c r="B33" s="46" t="s">
        <v>653</v>
      </c>
    </row>
    <row r="34" spans="1:2">
      <c r="B34" s="58" t="s">
        <v>654</v>
      </c>
    </row>
    <row r="35" spans="1:2">
      <c r="B35" s="58"/>
    </row>
    <row r="36" spans="1:2">
      <c r="B36" s="58"/>
    </row>
    <row r="37" spans="1:2">
      <c r="B37" s="58"/>
    </row>
    <row r="38" spans="1:2">
      <c r="B38" s="58"/>
    </row>
    <row r="39" spans="1:2">
      <c r="B39" s="58"/>
    </row>
    <row r="40" spans="1:2">
      <c r="B40" s="58"/>
    </row>
    <row r="41" spans="1:2">
      <c r="B41" s="58"/>
    </row>
    <row r="42" spans="1:2">
      <c r="B42" s="58" t="s">
        <v>655</v>
      </c>
    </row>
    <row r="43" spans="1:2">
      <c r="B43" s="58" t="s">
        <v>656</v>
      </c>
    </row>
    <row r="54" spans="2:2" ht="25.5">
      <c r="B54" s="69" t="s">
        <v>657</v>
      </c>
    </row>
    <row r="55" spans="2:2">
      <c r="B55" s="69" t="s">
        <v>658</v>
      </c>
    </row>
    <row r="56" spans="2:2" ht="25.5">
      <c r="B56" s="69" t="s">
        <v>659</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660</v>
      </c>
    </row>
    <row r="67" spans="1:2" ht="38.25">
      <c r="B67" s="70" t="s">
        <v>661</v>
      </c>
    </row>
    <row r="84" spans="1:2">
      <c r="B84" s="58" t="s">
        <v>662</v>
      </c>
    </row>
    <row r="85" spans="1:2">
      <c r="B85" s="58" t="s">
        <v>663</v>
      </c>
    </row>
    <row r="86" spans="1:2">
      <c r="B86" s="58" t="s">
        <v>664</v>
      </c>
    </row>
    <row r="87" spans="1:2">
      <c r="B87" s="58" t="s">
        <v>665</v>
      </c>
    </row>
    <row r="88" spans="1:2" ht="25.5">
      <c r="B88" s="69" t="s">
        <v>666</v>
      </c>
    </row>
    <row r="90" spans="1:2">
      <c r="A90" s="67">
        <v>4</v>
      </c>
      <c r="B90" s="46" t="s">
        <v>667</v>
      </c>
    </row>
    <row r="91" spans="1:2" ht="38.25">
      <c r="B91" s="69" t="s">
        <v>668</v>
      </c>
    </row>
    <row r="92" spans="1:2" ht="25.5">
      <c r="B92" s="69" t="s">
        <v>669</v>
      </c>
    </row>
    <row r="102" spans="1:2" ht="63.75">
      <c r="B102" s="69" t="s">
        <v>670</v>
      </c>
    </row>
    <row r="103" spans="1:2" ht="51">
      <c r="B103" s="69" t="s">
        <v>671</v>
      </c>
    </row>
    <row r="104" spans="1:2" ht="63.75">
      <c r="B104" s="70" t="s">
        <v>672</v>
      </c>
    </row>
    <row r="105" spans="1:2">
      <c r="B105" s="70"/>
    </row>
    <row r="106" spans="1:2">
      <c r="B106" s="74" t="s">
        <v>673</v>
      </c>
    </row>
    <row r="108" spans="1:2">
      <c r="A108" s="67">
        <v>5</v>
      </c>
      <c r="B108" s="46" t="s">
        <v>674</v>
      </c>
    </row>
    <row r="109" spans="1:2" ht="25.5">
      <c r="B109" s="69" t="s">
        <v>675</v>
      </c>
    </row>
    <row r="110" spans="1:2">
      <c r="B110" s="58" t="s">
        <v>676</v>
      </c>
    </row>
    <row r="111" spans="1:2">
      <c r="A111" s="75" t="s">
        <v>645</v>
      </c>
      <c r="B111" s="58" t="s">
        <v>677</v>
      </c>
    </row>
    <row r="112" spans="1:2" ht="38.25">
      <c r="A112" s="71" t="s">
        <v>647</v>
      </c>
      <c r="B112" s="69" t="s">
        <v>678</v>
      </c>
    </row>
    <row r="113" spans="1:2">
      <c r="A113" s="71" t="s">
        <v>649</v>
      </c>
      <c r="B113" s="69" t="s">
        <v>679</v>
      </c>
    </row>
    <row r="114" spans="1:2">
      <c r="A114" s="75"/>
      <c r="B114" s="58"/>
    </row>
    <row r="131" spans="1:2">
      <c r="A131" s="71" t="s">
        <v>651</v>
      </c>
      <c r="B131" s="58" t="s">
        <v>680</v>
      </c>
    </row>
    <row r="132" spans="1:2">
      <c r="B132" s="70" t="s">
        <v>681</v>
      </c>
    </row>
    <row r="133" spans="1:2">
      <c r="B133" t="s">
        <v>682</v>
      </c>
    </row>
    <row r="135" spans="1:2">
      <c r="B135" s="58" t="s">
        <v>683</v>
      </c>
    </row>
    <row r="136" spans="1:2">
      <c r="B136" s="58" t="s">
        <v>684</v>
      </c>
    </row>
    <row r="137" spans="1:2">
      <c r="B137" s="58" t="s">
        <v>685</v>
      </c>
    </row>
    <row r="138" spans="1:2">
      <c r="B138" s="58" t="s">
        <v>686</v>
      </c>
    </row>
    <row r="139" spans="1:2">
      <c r="B139" s="58" t="s">
        <v>687</v>
      </c>
    </row>
    <row r="140" spans="1:2">
      <c r="B140" s="58" t="s">
        <v>688</v>
      </c>
    </row>
    <row r="152" spans="1:2">
      <c r="A152" s="67">
        <v>6</v>
      </c>
      <c r="B152" s="46" t="s">
        <v>689</v>
      </c>
    </row>
    <row r="153" spans="1:2">
      <c r="B153" s="58" t="s">
        <v>690</v>
      </c>
    </row>
    <row r="154" spans="1:2">
      <c r="B154" s="58" t="s">
        <v>691</v>
      </c>
    </row>
    <row r="162" spans="1:2">
      <c r="A162" s="67">
        <v>6</v>
      </c>
      <c r="B162" s="46" t="s">
        <v>692</v>
      </c>
    </row>
    <row r="163" spans="1:2">
      <c r="B163" s="58" t="s">
        <v>693</v>
      </c>
    </row>
    <row r="164" spans="1:2">
      <c r="B164" s="58" t="s">
        <v>694</v>
      </c>
    </row>
    <row r="165" spans="1:2" ht="25.5">
      <c r="B165" s="69" t="s">
        <v>695</v>
      </c>
    </row>
    <row r="166" spans="1:2">
      <c r="B166" s="58" t="s">
        <v>696</v>
      </c>
    </row>
    <row r="167" spans="1:2" ht="25.5">
      <c r="B167" s="69" t="s">
        <v>697</v>
      </c>
    </row>
    <row r="181" spans="2:2">
      <c r="B181" s="58" t="s">
        <v>698</v>
      </c>
    </row>
    <row r="183" spans="2:2">
      <c r="B183" t="s">
        <v>699</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workbookViewId="0">
      <selection activeCell="H10" sqref="H10"/>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c r="H1" s="46" t="s">
        <v>1007</v>
      </c>
    </row>
    <row r="2" spans="2:10">
      <c r="B2" s="241" t="s">
        <v>1032</v>
      </c>
    </row>
    <row r="3" spans="2:10">
      <c r="B3" s="241" t="s">
        <v>701</v>
      </c>
    </row>
    <row r="4" spans="2:10">
      <c r="B4" s="241" t="s">
        <v>816</v>
      </c>
    </row>
    <row r="5" spans="2:10">
      <c r="B5" s="241" t="s">
        <v>702</v>
      </c>
    </row>
    <row r="6" spans="2:10">
      <c r="B6" s="241" t="s">
        <v>993</v>
      </c>
    </row>
    <row r="7" spans="2:10">
      <c r="B7" s="241" t="s">
        <v>703</v>
      </c>
    </row>
    <row r="8" spans="2:10">
      <c r="B8" s="241" t="s">
        <v>1033</v>
      </c>
    </row>
    <row r="9" spans="2:10">
      <c r="B9" s="241" t="s">
        <v>704</v>
      </c>
    </row>
    <row r="10" spans="2:10">
      <c r="B10" s="241" t="s">
        <v>705</v>
      </c>
    </row>
    <row r="11" spans="2:10">
      <c r="B11" s="241" t="s">
        <v>817</v>
      </c>
    </row>
    <row r="12" spans="2:10">
      <c r="B12" s="241"/>
    </row>
    <row r="14" spans="2:10" ht="15">
      <c r="B14" s="247" t="s">
        <v>706</v>
      </c>
      <c r="C14" s="248" t="s">
        <v>707</v>
      </c>
      <c r="D14" s="248" t="s">
        <v>708</v>
      </c>
      <c r="E14" s="248" t="s">
        <v>709</v>
      </c>
      <c r="F14" s="144"/>
      <c r="G14" s="161" t="str">
        <f t="shared" ref="G14" si="0">LEFT(B14,8)</f>
        <v>Cost Cen</v>
      </c>
    </row>
    <row r="15" spans="2:10" outlineLevel="1">
      <c r="B15" s="122" t="s">
        <v>818</v>
      </c>
      <c r="C15" s="144">
        <v>-891571.17</v>
      </c>
      <c r="D15" s="145">
        <v>0</v>
      </c>
      <c r="E15" s="144">
        <v>-891571.17</v>
      </c>
      <c r="F15" s="144">
        <v>0</v>
      </c>
      <c r="G15" s="161" t="str">
        <f>LEFT(B15,8)</f>
        <v xml:space="preserve">  101520</v>
      </c>
      <c r="H15" s="155">
        <v>101520</v>
      </c>
      <c r="I15" s="144"/>
      <c r="J15" s="319"/>
    </row>
    <row r="16" spans="2:10" outlineLevel="1">
      <c r="B16" s="122" t="s">
        <v>819</v>
      </c>
      <c r="C16" s="144">
        <v>-2988535.95</v>
      </c>
      <c r="D16" s="145">
        <v>0</v>
      </c>
      <c r="E16" s="144">
        <v>-2988535.95</v>
      </c>
      <c r="F16" s="144">
        <v>0</v>
      </c>
      <c r="G16" s="161" t="str">
        <f t="shared" ref="G16:G75" si="1">LEFT(B16,8)</f>
        <v xml:space="preserve">  107125</v>
      </c>
      <c r="H16" s="155">
        <v>107125</v>
      </c>
      <c r="I16" s="144"/>
      <c r="J16" s="319"/>
    </row>
    <row r="17" spans="2:10" outlineLevel="1">
      <c r="B17" s="122" t="s">
        <v>820</v>
      </c>
      <c r="C17" s="144">
        <v>794677.15</v>
      </c>
      <c r="D17" s="145">
        <v>0</v>
      </c>
      <c r="E17" s="144">
        <v>794677.15</v>
      </c>
      <c r="F17" s="144">
        <v>0</v>
      </c>
      <c r="G17" s="161" t="str">
        <f t="shared" si="1"/>
        <v xml:space="preserve">  107127</v>
      </c>
      <c r="H17" s="155">
        <v>107127</v>
      </c>
      <c r="I17" s="144"/>
      <c r="J17" s="319"/>
    </row>
    <row r="18" spans="2:10" outlineLevel="1">
      <c r="B18" s="122" t="s">
        <v>821</v>
      </c>
      <c r="C18" s="144">
        <v>-176960.98</v>
      </c>
      <c r="D18" s="145">
        <v>0</v>
      </c>
      <c r="E18" s="144">
        <v>-176960.98</v>
      </c>
      <c r="F18" s="144">
        <v>0</v>
      </c>
      <c r="G18" s="161" t="str">
        <f t="shared" si="1"/>
        <v xml:space="preserve">  107139</v>
      </c>
      <c r="H18" s="155">
        <v>107139</v>
      </c>
      <c r="I18" s="144"/>
      <c r="J18" s="319"/>
    </row>
    <row r="19" spans="2:10" outlineLevel="1">
      <c r="B19" s="122" t="s">
        <v>822</v>
      </c>
      <c r="C19" s="144">
        <v>-246638.56</v>
      </c>
      <c r="D19" s="145">
        <v>0</v>
      </c>
      <c r="E19" s="144">
        <v>-246638.56</v>
      </c>
      <c r="F19" s="144">
        <v>0</v>
      </c>
      <c r="G19" s="161" t="str">
        <f t="shared" si="1"/>
        <v xml:space="preserve">  107145</v>
      </c>
      <c r="H19" s="155">
        <v>107145</v>
      </c>
      <c r="I19" s="144"/>
      <c r="J19" s="319"/>
    </row>
    <row r="20" spans="2:10" outlineLevel="1">
      <c r="B20" s="122" t="s">
        <v>824</v>
      </c>
      <c r="C20" s="144">
        <v>-127016.56</v>
      </c>
      <c r="D20" s="145">
        <v>0</v>
      </c>
      <c r="E20" s="144">
        <v>-127016.56</v>
      </c>
      <c r="F20" s="144">
        <v>0</v>
      </c>
      <c r="G20" s="161" t="str">
        <f t="shared" si="1"/>
        <v xml:space="preserve">  107529</v>
      </c>
      <c r="H20" s="155">
        <v>107529</v>
      </c>
      <c r="I20" s="145"/>
      <c r="J20" s="319"/>
    </row>
    <row r="21" spans="2:10" outlineLevel="1">
      <c r="B21" s="122" t="s">
        <v>825</v>
      </c>
      <c r="C21" s="144">
        <v>-22931.119999999999</v>
      </c>
      <c r="D21" s="145">
        <v>0</v>
      </c>
      <c r="E21" s="144">
        <v>-22931.119999999999</v>
      </c>
      <c r="F21" s="144">
        <v>0</v>
      </c>
      <c r="G21" s="161" t="str">
        <f t="shared" si="1"/>
        <v xml:space="preserve">  107531</v>
      </c>
      <c r="H21" s="155">
        <v>107531</v>
      </c>
      <c r="I21" s="144"/>
      <c r="J21" s="319"/>
    </row>
    <row r="22" spans="2:10" outlineLevel="1">
      <c r="B22" s="122" t="s">
        <v>826</v>
      </c>
      <c r="C22" s="144">
        <v>-148683.62</v>
      </c>
      <c r="D22" s="145">
        <v>0</v>
      </c>
      <c r="E22" s="144">
        <v>-148683.62</v>
      </c>
      <c r="F22" s="144">
        <v>0</v>
      </c>
      <c r="G22" s="161" t="str">
        <f t="shared" si="1"/>
        <v xml:space="preserve">  107534</v>
      </c>
      <c r="H22" s="155">
        <v>107534</v>
      </c>
      <c r="I22" s="144"/>
      <c r="J22" s="319"/>
    </row>
    <row r="23" spans="2:10" outlineLevel="1">
      <c r="B23" s="122" t="s">
        <v>827</v>
      </c>
      <c r="C23" s="144">
        <v>-78892.88</v>
      </c>
      <c r="D23" s="145">
        <v>0</v>
      </c>
      <c r="E23" s="144">
        <v>-78892.88</v>
      </c>
      <c r="F23" s="144">
        <v>0</v>
      </c>
      <c r="G23" s="161" t="str">
        <f t="shared" si="1"/>
        <v xml:space="preserve">  107535</v>
      </c>
      <c r="H23" s="155">
        <v>107535</v>
      </c>
      <c r="I23" s="144"/>
      <c r="J23" s="319"/>
    </row>
    <row r="24" spans="2:10" outlineLevel="1">
      <c r="B24" s="122" t="s">
        <v>966</v>
      </c>
      <c r="C24" s="144">
        <v>17213.21</v>
      </c>
      <c r="D24" s="145">
        <v>0</v>
      </c>
      <c r="E24" s="144">
        <v>17213.21</v>
      </c>
      <c r="F24" s="144">
        <v>0</v>
      </c>
      <c r="G24" s="161" t="str">
        <f t="shared" si="1"/>
        <v xml:space="preserve">  107546</v>
      </c>
      <c r="H24" s="155">
        <v>107546</v>
      </c>
      <c r="I24" s="144"/>
      <c r="J24" s="319"/>
    </row>
    <row r="25" spans="2:10" outlineLevel="1">
      <c r="B25" s="122" t="s">
        <v>828</v>
      </c>
      <c r="C25" s="144">
        <v>-582364.02</v>
      </c>
      <c r="D25" s="145">
        <v>0</v>
      </c>
      <c r="E25" s="144">
        <v>-582364.02</v>
      </c>
      <c r="F25" s="144">
        <v>0</v>
      </c>
      <c r="G25" s="161" t="str">
        <f t="shared" si="1"/>
        <v xml:space="preserve">  107547</v>
      </c>
      <c r="H25" s="155">
        <v>107547</v>
      </c>
      <c r="I25" s="144"/>
      <c r="J25" s="319"/>
    </row>
    <row r="26" spans="2:10" outlineLevel="1">
      <c r="B26" s="122" t="s">
        <v>829</v>
      </c>
      <c r="C26" s="144">
        <v>-155985.64000000001</v>
      </c>
      <c r="D26" s="145">
        <v>0</v>
      </c>
      <c r="E26" s="144">
        <v>-155985.64000000001</v>
      </c>
      <c r="F26" s="144">
        <v>0</v>
      </c>
      <c r="G26" s="161" t="str">
        <f t="shared" si="1"/>
        <v xml:space="preserve">  107551</v>
      </c>
      <c r="H26" s="155">
        <v>107551</v>
      </c>
      <c r="I26" s="144"/>
      <c r="J26" s="319"/>
    </row>
    <row r="27" spans="2:10" outlineLevel="1">
      <c r="B27" s="122" t="s">
        <v>830</v>
      </c>
      <c r="C27" s="144">
        <v>-99877.65</v>
      </c>
      <c r="D27" s="145">
        <v>0</v>
      </c>
      <c r="E27" s="144">
        <v>-99877.65</v>
      </c>
      <c r="F27" s="144">
        <v>0</v>
      </c>
      <c r="G27" s="161" t="str">
        <f t="shared" si="1"/>
        <v xml:space="preserve">  107553</v>
      </c>
      <c r="H27" s="155">
        <v>107553</v>
      </c>
      <c r="I27" s="144"/>
      <c r="J27" s="319"/>
    </row>
    <row r="28" spans="2:10" outlineLevel="1">
      <c r="B28" s="122" t="s">
        <v>831</v>
      </c>
      <c r="C28" s="144">
        <v>35168.89</v>
      </c>
      <c r="D28" s="145">
        <v>0</v>
      </c>
      <c r="E28" s="144">
        <v>35168.89</v>
      </c>
      <c r="F28" s="144">
        <v>0</v>
      </c>
      <c r="G28" s="161" t="str">
        <f t="shared" si="1"/>
        <v xml:space="preserve">  107558</v>
      </c>
      <c r="H28" s="155">
        <v>107558</v>
      </c>
      <c r="I28" s="144"/>
      <c r="J28" s="319"/>
    </row>
    <row r="29" spans="2:10" outlineLevel="1">
      <c r="B29" s="122" t="s">
        <v>832</v>
      </c>
      <c r="C29" s="144">
        <v>-232475.82</v>
      </c>
      <c r="D29" s="145">
        <v>0</v>
      </c>
      <c r="E29" s="144">
        <v>-232475.82</v>
      </c>
      <c r="F29" s="144">
        <v>0</v>
      </c>
      <c r="G29" s="161" t="str">
        <f t="shared" si="1"/>
        <v xml:space="preserve">  107559</v>
      </c>
      <c r="H29" s="155">
        <v>107559</v>
      </c>
      <c r="I29" s="144"/>
      <c r="J29" s="319"/>
    </row>
    <row r="30" spans="2:10" outlineLevel="1">
      <c r="B30" s="122" t="s">
        <v>833</v>
      </c>
      <c r="C30" s="144">
        <v>-62767.09</v>
      </c>
      <c r="D30" s="145">
        <v>0</v>
      </c>
      <c r="E30" s="144">
        <v>-62767.09</v>
      </c>
      <c r="F30" s="144">
        <v>0</v>
      </c>
      <c r="G30" s="161" t="str">
        <f t="shared" si="1"/>
        <v xml:space="preserve">  107567</v>
      </c>
      <c r="H30" s="155">
        <v>107567</v>
      </c>
      <c r="I30" s="144"/>
      <c r="J30" s="319"/>
    </row>
    <row r="31" spans="2:10" outlineLevel="1">
      <c r="B31" s="122" t="s">
        <v>834</v>
      </c>
      <c r="C31" s="144">
        <v>-260062</v>
      </c>
      <c r="D31" s="145">
        <v>0</v>
      </c>
      <c r="E31" s="144">
        <v>-260062</v>
      </c>
      <c r="F31" s="144">
        <v>0</v>
      </c>
      <c r="G31" s="161" t="str">
        <f t="shared" si="1"/>
        <v xml:space="preserve">  107569</v>
      </c>
      <c r="H31" s="155">
        <v>107569</v>
      </c>
      <c r="I31" s="144"/>
      <c r="J31" s="319"/>
    </row>
    <row r="32" spans="2:10" outlineLevel="1">
      <c r="B32" s="122" t="s">
        <v>835</v>
      </c>
      <c r="C32" s="144">
        <v>-464.72</v>
      </c>
      <c r="D32" s="145">
        <v>0</v>
      </c>
      <c r="E32" s="144">
        <v>-464.72</v>
      </c>
      <c r="F32" s="144">
        <v>0</v>
      </c>
      <c r="G32" s="161" t="str">
        <f t="shared" si="1"/>
        <v xml:space="preserve">  107578</v>
      </c>
      <c r="H32" s="155">
        <v>107578</v>
      </c>
      <c r="I32" s="144"/>
      <c r="J32" s="319"/>
    </row>
    <row r="33" spans="2:10" outlineLevel="1">
      <c r="B33" s="122" t="s">
        <v>836</v>
      </c>
      <c r="C33" s="144">
        <v>-319736.99</v>
      </c>
      <c r="D33" s="145">
        <v>0</v>
      </c>
      <c r="E33" s="144">
        <v>-319736.99</v>
      </c>
      <c r="F33" s="144">
        <v>0</v>
      </c>
      <c r="G33" s="161" t="str">
        <f t="shared" si="1"/>
        <v xml:space="preserve">  107579</v>
      </c>
      <c r="H33" s="155">
        <v>107579</v>
      </c>
      <c r="I33" s="144"/>
      <c r="J33" s="319"/>
    </row>
    <row r="34" spans="2:10" outlineLevel="1">
      <c r="B34" s="122" t="s">
        <v>837</v>
      </c>
      <c r="C34" s="144">
        <v>-98740.14</v>
      </c>
      <c r="D34" s="145">
        <v>0</v>
      </c>
      <c r="E34" s="144">
        <v>-98740.14</v>
      </c>
      <c r="F34" s="144">
        <v>0</v>
      </c>
      <c r="G34" s="161" t="str">
        <f t="shared" si="1"/>
        <v xml:space="preserve">  107580</v>
      </c>
      <c r="H34" s="155">
        <v>107580</v>
      </c>
      <c r="I34" s="144"/>
      <c r="J34" s="319"/>
    </row>
    <row r="35" spans="2:10" outlineLevel="1">
      <c r="B35" s="122" t="s">
        <v>838</v>
      </c>
      <c r="C35" s="144">
        <v>-37953.74</v>
      </c>
      <c r="D35" s="145">
        <v>0</v>
      </c>
      <c r="E35" s="144">
        <v>-37953.74</v>
      </c>
      <c r="F35" s="144">
        <v>0</v>
      </c>
      <c r="G35" s="161" t="str">
        <f t="shared" si="1"/>
        <v xml:space="preserve">  107582</v>
      </c>
      <c r="H35" s="155">
        <v>107582</v>
      </c>
      <c r="I35" s="144"/>
      <c r="J35" s="319"/>
    </row>
    <row r="36" spans="2:10" outlineLevel="1">
      <c r="B36" s="122" t="s">
        <v>839</v>
      </c>
      <c r="C36" s="144">
        <v>-4472.5600000000004</v>
      </c>
      <c r="D36" s="145">
        <v>0</v>
      </c>
      <c r="E36" s="144">
        <v>-4472.5600000000004</v>
      </c>
      <c r="F36" s="144">
        <v>0</v>
      </c>
      <c r="G36" s="161" t="str">
        <f t="shared" si="1"/>
        <v xml:space="preserve">  107583</v>
      </c>
      <c r="H36" s="155">
        <v>107583</v>
      </c>
      <c r="I36" s="144"/>
      <c r="J36" s="319"/>
    </row>
    <row r="37" spans="2:10" outlineLevel="1">
      <c r="B37" s="122" t="s">
        <v>840</v>
      </c>
      <c r="C37" s="144">
        <v>-383841.5</v>
      </c>
      <c r="D37" s="145">
        <v>0</v>
      </c>
      <c r="E37" s="144">
        <v>-383841.5</v>
      </c>
      <c r="F37" s="144">
        <v>0</v>
      </c>
      <c r="G37" s="161" t="str">
        <f t="shared" si="1"/>
        <v xml:space="preserve">  107585</v>
      </c>
      <c r="H37" s="155">
        <v>107585</v>
      </c>
      <c r="I37" s="144"/>
      <c r="J37" s="319"/>
    </row>
    <row r="38" spans="2:10" outlineLevel="1">
      <c r="B38" s="122" t="s">
        <v>841</v>
      </c>
      <c r="C38" s="144">
        <v>175941.46</v>
      </c>
      <c r="D38" s="145">
        <v>0</v>
      </c>
      <c r="E38" s="144">
        <v>175941.46</v>
      </c>
      <c r="F38" s="144">
        <v>0</v>
      </c>
      <c r="G38" s="161" t="str">
        <f t="shared" si="1"/>
        <v xml:space="preserve">  107586</v>
      </c>
      <c r="H38" s="155">
        <v>107586</v>
      </c>
      <c r="I38" s="144"/>
      <c r="J38" s="319"/>
    </row>
    <row r="39" spans="2:10" outlineLevel="1">
      <c r="B39" s="122" t="s">
        <v>843</v>
      </c>
      <c r="C39" s="144">
        <v>41077.67</v>
      </c>
      <c r="D39" s="145">
        <v>0</v>
      </c>
      <c r="E39" s="144">
        <v>41077.67</v>
      </c>
      <c r="F39" s="144">
        <v>0</v>
      </c>
      <c r="G39" s="161" t="str">
        <f t="shared" si="1"/>
        <v xml:space="preserve">  107593</v>
      </c>
      <c r="H39" s="155">
        <v>107593</v>
      </c>
      <c r="I39" s="144"/>
      <c r="J39" s="319"/>
    </row>
    <row r="40" spans="2:10" outlineLevel="1">
      <c r="B40" s="122" t="s">
        <v>845</v>
      </c>
      <c r="C40" s="144">
        <v>-403033.74</v>
      </c>
      <c r="D40" s="145">
        <v>0</v>
      </c>
      <c r="E40" s="144">
        <v>-403033.74</v>
      </c>
      <c r="F40" s="144">
        <v>0</v>
      </c>
      <c r="G40" s="161" t="str">
        <f t="shared" si="1"/>
        <v xml:space="preserve">  107598</v>
      </c>
      <c r="H40" s="155">
        <v>107598</v>
      </c>
      <c r="I40" s="144"/>
      <c r="J40" s="319"/>
    </row>
    <row r="41" spans="2:10" outlineLevel="1">
      <c r="B41" s="122" t="s">
        <v>846</v>
      </c>
      <c r="C41" s="144">
        <v>-355487.68</v>
      </c>
      <c r="D41" s="145">
        <v>0</v>
      </c>
      <c r="E41" s="144">
        <v>-355487.68</v>
      </c>
      <c r="F41" s="144">
        <v>0</v>
      </c>
      <c r="G41" s="161" t="str">
        <f t="shared" si="1"/>
        <v xml:space="preserve">  107603</v>
      </c>
      <c r="H41" s="155">
        <v>107603</v>
      </c>
      <c r="I41" s="145"/>
      <c r="J41" s="319"/>
    </row>
    <row r="42" spans="2:10" outlineLevel="1">
      <c r="B42" s="122" t="s">
        <v>847</v>
      </c>
      <c r="C42" s="144">
        <v>14998.15</v>
      </c>
      <c r="D42" s="145">
        <v>0</v>
      </c>
      <c r="E42" s="144">
        <v>14998.15</v>
      </c>
      <c r="F42" s="144">
        <v>0</v>
      </c>
      <c r="G42" s="161" t="str">
        <f t="shared" si="1"/>
        <v xml:space="preserve">  107605</v>
      </c>
      <c r="H42" s="155">
        <v>107605</v>
      </c>
      <c r="I42" s="144"/>
      <c r="J42" s="319"/>
    </row>
    <row r="43" spans="2:10" outlineLevel="1">
      <c r="B43" s="122" t="s">
        <v>848</v>
      </c>
      <c r="C43" s="144">
        <v>-31497.57</v>
      </c>
      <c r="D43" s="145">
        <v>0</v>
      </c>
      <c r="E43" s="144">
        <v>-31497.57</v>
      </c>
      <c r="F43" s="144">
        <v>0</v>
      </c>
      <c r="G43" s="161" t="str">
        <f t="shared" si="1"/>
        <v xml:space="preserve">  107609</v>
      </c>
      <c r="H43" s="155">
        <v>107609</v>
      </c>
      <c r="I43" s="144"/>
      <c r="J43" s="319"/>
    </row>
    <row r="44" spans="2:10" outlineLevel="1">
      <c r="B44" s="122" t="s">
        <v>849</v>
      </c>
      <c r="C44" s="144">
        <v>98000.61</v>
      </c>
      <c r="D44" s="145">
        <v>0</v>
      </c>
      <c r="E44" s="144">
        <v>98000.61</v>
      </c>
      <c r="F44" s="144">
        <v>0</v>
      </c>
      <c r="G44" s="161" t="str">
        <f t="shared" si="1"/>
        <v xml:space="preserve">  107610</v>
      </c>
      <c r="H44" s="155">
        <v>107610</v>
      </c>
      <c r="I44" s="144"/>
      <c r="J44" s="319"/>
    </row>
    <row r="45" spans="2:10" outlineLevel="1">
      <c r="B45" s="122" t="s">
        <v>850</v>
      </c>
      <c r="C45" s="144">
        <v>-94132.9</v>
      </c>
      <c r="D45" s="145">
        <v>0</v>
      </c>
      <c r="E45" s="144">
        <v>-94132.9</v>
      </c>
      <c r="F45" s="144">
        <v>0</v>
      </c>
      <c r="G45" s="161" t="str">
        <f t="shared" si="1"/>
        <v xml:space="preserve">  107616</v>
      </c>
      <c r="H45" s="155">
        <v>107616</v>
      </c>
      <c r="I45" s="144"/>
      <c r="J45" s="319"/>
    </row>
    <row r="46" spans="2:10" outlineLevel="1">
      <c r="B46" s="122" t="s">
        <v>851</v>
      </c>
      <c r="C46" s="144">
        <v>-121082.1</v>
      </c>
      <c r="D46" s="145">
        <v>0</v>
      </c>
      <c r="E46" s="144">
        <v>-121082.1</v>
      </c>
      <c r="F46" s="144">
        <v>0</v>
      </c>
      <c r="G46" s="161" t="str">
        <f t="shared" si="1"/>
        <v xml:space="preserve">  107619</v>
      </c>
      <c r="H46" s="155">
        <v>107619</v>
      </c>
      <c r="I46" s="144"/>
      <c r="J46" s="319"/>
    </row>
    <row r="47" spans="2:10" outlineLevel="1">
      <c r="B47" s="122" t="s">
        <v>852</v>
      </c>
      <c r="C47" s="144">
        <v>409.52</v>
      </c>
      <c r="D47" s="145">
        <v>0</v>
      </c>
      <c r="E47" s="144">
        <v>409.52</v>
      </c>
      <c r="F47" s="144">
        <v>0</v>
      </c>
      <c r="G47" s="161" t="str">
        <f t="shared" si="1"/>
        <v xml:space="preserve">  107620</v>
      </c>
      <c r="H47" s="155">
        <v>107620</v>
      </c>
      <c r="I47" s="144"/>
      <c r="J47" s="319"/>
    </row>
    <row r="48" spans="2:10" outlineLevel="1">
      <c r="B48" s="122" t="s">
        <v>854</v>
      </c>
      <c r="C48" s="144">
        <v>-156553.56</v>
      </c>
      <c r="D48" s="145">
        <v>0</v>
      </c>
      <c r="E48" s="144">
        <v>-156553.56</v>
      </c>
      <c r="F48" s="144">
        <v>0</v>
      </c>
      <c r="G48" s="161" t="str">
        <f t="shared" si="1"/>
        <v xml:space="preserve">  107633</v>
      </c>
      <c r="H48" s="155">
        <v>107633</v>
      </c>
      <c r="I48" s="144"/>
      <c r="J48" s="319"/>
    </row>
    <row r="49" spans="2:10" outlineLevel="1">
      <c r="B49" s="122" t="s">
        <v>855</v>
      </c>
      <c r="C49" s="144">
        <v>-37193.410000000003</v>
      </c>
      <c r="D49" s="145">
        <v>0</v>
      </c>
      <c r="E49" s="144">
        <v>-37193.410000000003</v>
      </c>
      <c r="F49" s="144">
        <v>0</v>
      </c>
      <c r="G49" s="161" t="str">
        <f t="shared" si="1"/>
        <v xml:space="preserve">  107635</v>
      </c>
      <c r="H49" s="155">
        <v>107635</v>
      </c>
      <c r="I49" s="144"/>
      <c r="J49" s="319"/>
    </row>
    <row r="50" spans="2:10" outlineLevel="1">
      <c r="B50" s="122" t="s">
        <v>856</v>
      </c>
      <c r="C50" s="144">
        <v>-132056.34</v>
      </c>
      <c r="D50" s="145">
        <v>0</v>
      </c>
      <c r="E50" s="144">
        <v>-132056.34</v>
      </c>
      <c r="F50" s="144">
        <v>0</v>
      </c>
      <c r="G50" s="161" t="str">
        <f t="shared" si="1"/>
        <v xml:space="preserve">  107640</v>
      </c>
      <c r="H50" s="155">
        <v>107640</v>
      </c>
      <c r="I50" s="144"/>
      <c r="J50" s="319"/>
    </row>
    <row r="51" spans="2:10" outlineLevel="1">
      <c r="B51" s="122" t="s">
        <v>857</v>
      </c>
      <c r="C51" s="144">
        <v>-227838.09</v>
      </c>
      <c r="D51" s="145">
        <v>0</v>
      </c>
      <c r="E51" s="144">
        <v>-227838.09</v>
      </c>
      <c r="F51" s="144">
        <v>0</v>
      </c>
      <c r="G51" s="161" t="str">
        <f t="shared" si="1"/>
        <v xml:space="preserve">  107656</v>
      </c>
      <c r="H51" s="155">
        <v>107656</v>
      </c>
      <c r="I51" s="144"/>
      <c r="J51" s="319"/>
    </row>
    <row r="52" spans="2:10" outlineLevel="1">
      <c r="B52" s="122" t="s">
        <v>858</v>
      </c>
      <c r="C52" s="144">
        <v>-186339.64</v>
      </c>
      <c r="D52" s="145">
        <v>0</v>
      </c>
      <c r="E52" s="144">
        <v>-186339.64</v>
      </c>
      <c r="F52" s="144">
        <v>0</v>
      </c>
      <c r="G52" s="161" t="str">
        <f t="shared" si="1"/>
        <v xml:space="preserve">  107657</v>
      </c>
      <c r="H52" s="155">
        <v>107657</v>
      </c>
      <c r="I52" s="144"/>
      <c r="J52" s="319"/>
    </row>
    <row r="53" spans="2:10" outlineLevel="1">
      <c r="B53" s="122" t="s">
        <v>859</v>
      </c>
      <c r="C53" s="144">
        <v>-205106.06</v>
      </c>
      <c r="D53" s="145">
        <v>0</v>
      </c>
      <c r="E53" s="144">
        <v>-205106.06</v>
      </c>
      <c r="F53" s="144">
        <v>0</v>
      </c>
      <c r="G53" s="161" t="str">
        <f t="shared" si="1"/>
        <v xml:space="preserve">  107665</v>
      </c>
      <c r="H53" s="155">
        <v>107665</v>
      </c>
      <c r="I53" s="144"/>
      <c r="J53" s="319"/>
    </row>
    <row r="54" spans="2:10" outlineLevel="1">
      <c r="B54" s="122" t="s">
        <v>860</v>
      </c>
      <c r="C54" s="144">
        <v>-125382.36</v>
      </c>
      <c r="D54" s="145">
        <v>0</v>
      </c>
      <c r="E54" s="144">
        <v>-125382.36</v>
      </c>
      <c r="F54" s="144">
        <v>0</v>
      </c>
      <c r="G54" s="161" t="str">
        <f t="shared" si="1"/>
        <v xml:space="preserve">  107667</v>
      </c>
      <c r="H54" s="155">
        <v>107667</v>
      </c>
      <c r="I54" s="144"/>
      <c r="J54" s="319"/>
    </row>
    <row r="55" spans="2:10" outlineLevel="1">
      <c r="B55" s="122" t="s">
        <v>861</v>
      </c>
      <c r="C55" s="144">
        <v>50035.81</v>
      </c>
      <c r="D55" s="145">
        <v>0</v>
      </c>
      <c r="E55" s="144">
        <v>50035.81</v>
      </c>
      <c r="F55" s="144">
        <v>0</v>
      </c>
      <c r="G55" s="161" t="str">
        <f t="shared" si="1"/>
        <v xml:space="preserve">  107671</v>
      </c>
      <c r="H55" s="155">
        <v>107671</v>
      </c>
      <c r="I55" s="144"/>
      <c r="J55" s="319"/>
    </row>
    <row r="56" spans="2:10" outlineLevel="1">
      <c r="B56" s="122" t="s">
        <v>862</v>
      </c>
      <c r="C56" s="144">
        <v>-70630.490000000005</v>
      </c>
      <c r="D56" s="145">
        <v>0</v>
      </c>
      <c r="E56" s="144">
        <v>-70630.490000000005</v>
      </c>
      <c r="F56" s="144">
        <v>0</v>
      </c>
      <c r="G56" s="161" t="str">
        <f t="shared" si="1"/>
        <v xml:space="preserve">  107672</v>
      </c>
      <c r="H56" s="155">
        <v>107672</v>
      </c>
      <c r="I56" s="144"/>
      <c r="J56" s="319"/>
    </row>
    <row r="57" spans="2:10" outlineLevel="1">
      <c r="B57" s="122" t="s">
        <v>863</v>
      </c>
      <c r="C57" s="144">
        <v>-203434.88</v>
      </c>
      <c r="D57" s="145">
        <v>0</v>
      </c>
      <c r="E57" s="144">
        <v>-203434.88</v>
      </c>
      <c r="F57" s="144">
        <v>0</v>
      </c>
      <c r="G57" s="161" t="str">
        <f t="shared" si="1"/>
        <v xml:space="preserve">  107677</v>
      </c>
      <c r="H57" s="155">
        <v>107677</v>
      </c>
      <c r="I57" s="144"/>
      <c r="J57" s="319"/>
    </row>
    <row r="58" spans="2:10" outlineLevel="1">
      <c r="B58" s="122" t="s">
        <v>864</v>
      </c>
      <c r="C58" s="144">
        <v>-298363.52000000002</v>
      </c>
      <c r="D58" s="145">
        <v>0</v>
      </c>
      <c r="E58" s="144">
        <v>-298363.52000000002</v>
      </c>
      <c r="F58" s="144">
        <v>0</v>
      </c>
      <c r="G58" s="161" t="str">
        <f t="shared" si="1"/>
        <v xml:space="preserve">  107678</v>
      </c>
      <c r="H58" s="155">
        <v>107678</v>
      </c>
      <c r="I58" s="144"/>
      <c r="J58" s="319"/>
    </row>
    <row r="59" spans="2:10" outlineLevel="1">
      <c r="B59" s="122" t="s">
        <v>865</v>
      </c>
      <c r="C59" s="144">
        <v>-154122.68</v>
      </c>
      <c r="D59" s="145">
        <v>0</v>
      </c>
      <c r="E59" s="144">
        <v>-154122.68</v>
      </c>
      <c r="F59" s="144">
        <v>0</v>
      </c>
      <c r="G59" s="161" t="str">
        <f t="shared" si="1"/>
        <v xml:space="preserve">  107682</v>
      </c>
      <c r="H59" s="155">
        <v>107682</v>
      </c>
      <c r="I59" s="144"/>
      <c r="J59" s="319"/>
    </row>
    <row r="60" spans="2:10" outlineLevel="1">
      <c r="B60" s="122" t="s">
        <v>866</v>
      </c>
      <c r="C60" s="144">
        <v>-271847.51</v>
      </c>
      <c r="D60" s="145">
        <v>0</v>
      </c>
      <c r="E60" s="144">
        <v>-271847.51</v>
      </c>
      <c r="F60" s="144">
        <v>0</v>
      </c>
      <c r="G60" s="161" t="str">
        <f t="shared" si="1"/>
        <v xml:space="preserve">  107683</v>
      </c>
      <c r="H60" s="155">
        <v>107683</v>
      </c>
      <c r="I60" s="144"/>
      <c r="J60" s="319"/>
    </row>
    <row r="61" spans="2:10" outlineLevel="1">
      <c r="B61" s="122" t="s">
        <v>867</v>
      </c>
      <c r="C61" s="144">
        <v>-50156.2</v>
      </c>
      <c r="D61" s="145">
        <v>0</v>
      </c>
      <c r="E61" s="144">
        <v>-50156.2</v>
      </c>
      <c r="F61" s="144">
        <v>0</v>
      </c>
      <c r="G61" s="161" t="str">
        <f t="shared" si="1"/>
        <v xml:space="preserve">  107686</v>
      </c>
      <c r="H61" s="155">
        <v>107686</v>
      </c>
      <c r="I61" s="144"/>
      <c r="J61" s="319"/>
    </row>
    <row r="62" spans="2:10" outlineLevel="1">
      <c r="B62" s="122" t="s">
        <v>868</v>
      </c>
      <c r="C62" s="144">
        <v>-12859.2</v>
      </c>
      <c r="D62" s="145">
        <v>0</v>
      </c>
      <c r="E62" s="144">
        <v>-12859.2</v>
      </c>
      <c r="F62" s="144">
        <v>0</v>
      </c>
      <c r="G62" s="161" t="str">
        <f t="shared" si="1"/>
        <v xml:space="preserve">  107691</v>
      </c>
      <c r="H62" s="155">
        <v>107691</v>
      </c>
      <c r="I62" s="144"/>
      <c r="J62" s="319"/>
    </row>
    <row r="63" spans="2:10" outlineLevel="1">
      <c r="B63" s="122" t="s">
        <v>869</v>
      </c>
      <c r="C63" s="144">
        <v>-72777.37</v>
      </c>
      <c r="D63" s="145">
        <v>0</v>
      </c>
      <c r="E63" s="144">
        <v>-72777.37</v>
      </c>
      <c r="F63" s="144">
        <v>0</v>
      </c>
      <c r="G63" s="161" t="str">
        <f t="shared" si="1"/>
        <v xml:space="preserve">  107693</v>
      </c>
      <c r="H63" s="155">
        <v>107693</v>
      </c>
      <c r="I63" s="144"/>
      <c r="J63" s="319"/>
    </row>
    <row r="64" spans="2:10" outlineLevel="1">
      <c r="B64" s="122" t="s">
        <v>870</v>
      </c>
      <c r="C64" s="144">
        <v>-87704.639999999999</v>
      </c>
      <c r="D64" s="145">
        <v>0</v>
      </c>
      <c r="E64" s="144">
        <v>-87704.639999999999</v>
      </c>
      <c r="F64" s="144">
        <v>0</v>
      </c>
      <c r="G64" s="161" t="str">
        <f t="shared" si="1"/>
        <v xml:space="preserve">  107694</v>
      </c>
      <c r="H64" s="155">
        <v>107694</v>
      </c>
      <c r="I64" s="144"/>
      <c r="J64" s="319"/>
    </row>
    <row r="65" spans="2:10" outlineLevel="1">
      <c r="B65" s="122" t="s">
        <v>871</v>
      </c>
      <c r="C65" s="144">
        <v>-2866.76</v>
      </c>
      <c r="D65" s="145">
        <v>0</v>
      </c>
      <c r="E65" s="144">
        <v>-2866.76</v>
      </c>
      <c r="F65" s="144">
        <v>0</v>
      </c>
      <c r="G65" s="161" t="str">
        <f t="shared" si="1"/>
        <v xml:space="preserve">  107695</v>
      </c>
      <c r="H65" s="155">
        <v>107695</v>
      </c>
      <c r="I65" s="144"/>
      <c r="J65" s="319"/>
    </row>
    <row r="66" spans="2:10" outlineLevel="1">
      <c r="B66" s="122" t="s">
        <v>873</v>
      </c>
      <c r="C66" s="144">
        <v>20012.509999999998</v>
      </c>
      <c r="D66" s="145">
        <v>0</v>
      </c>
      <c r="E66" s="144">
        <v>20012.509999999998</v>
      </c>
      <c r="F66" s="144">
        <v>0</v>
      </c>
      <c r="G66" s="161" t="str">
        <f t="shared" si="1"/>
        <v xml:space="preserve">  107709</v>
      </c>
      <c r="H66" s="155">
        <v>107709</v>
      </c>
      <c r="I66" s="144"/>
      <c r="J66" s="319"/>
    </row>
    <row r="67" spans="2:10" outlineLevel="1">
      <c r="B67" s="122" t="s">
        <v>874</v>
      </c>
      <c r="C67" s="144">
        <v>-291528.33</v>
      </c>
      <c r="D67" s="145">
        <v>0</v>
      </c>
      <c r="E67" s="144">
        <v>-291528.33</v>
      </c>
      <c r="F67" s="144">
        <v>0</v>
      </c>
      <c r="G67" s="161" t="str">
        <f t="shared" si="1"/>
        <v xml:space="preserve">  107714</v>
      </c>
      <c r="H67" s="155">
        <v>107714</v>
      </c>
      <c r="I67" s="144"/>
      <c r="J67" s="319"/>
    </row>
    <row r="68" spans="2:10" outlineLevel="1">
      <c r="B68" s="122" t="s">
        <v>875</v>
      </c>
      <c r="C68" s="144">
        <v>-152247.15</v>
      </c>
      <c r="D68" s="145">
        <v>0</v>
      </c>
      <c r="E68" s="144">
        <v>-152247.15</v>
      </c>
      <c r="F68" s="144">
        <v>0</v>
      </c>
      <c r="G68" s="161" t="str">
        <f t="shared" si="1"/>
        <v xml:space="preserve">  107717</v>
      </c>
      <c r="H68" s="155">
        <v>107717</v>
      </c>
      <c r="I68" s="145"/>
      <c r="J68" s="319"/>
    </row>
    <row r="69" spans="2:10" outlineLevel="1">
      <c r="B69" s="122" t="s">
        <v>876</v>
      </c>
      <c r="C69" s="144">
        <v>91649.17</v>
      </c>
      <c r="D69" s="145">
        <v>0</v>
      </c>
      <c r="E69" s="144">
        <v>91649.17</v>
      </c>
      <c r="F69" s="144">
        <v>0</v>
      </c>
      <c r="G69" s="161" t="str">
        <f t="shared" si="1"/>
        <v xml:space="preserve">  107720</v>
      </c>
      <c r="H69" s="155">
        <v>107720</v>
      </c>
      <c r="I69" s="144"/>
      <c r="J69" s="319"/>
    </row>
    <row r="70" spans="2:10" outlineLevel="1">
      <c r="B70" s="122" t="s">
        <v>877</v>
      </c>
      <c r="C70" s="144">
        <v>-196188.88</v>
      </c>
      <c r="D70" s="145">
        <v>0</v>
      </c>
      <c r="E70" s="144">
        <v>-196188.88</v>
      </c>
      <c r="F70" s="144">
        <v>0</v>
      </c>
      <c r="G70" s="161" t="str">
        <f t="shared" si="1"/>
        <v xml:space="preserve">  107721</v>
      </c>
      <c r="H70" s="155">
        <v>107721</v>
      </c>
      <c r="I70" s="144"/>
      <c r="J70" s="319"/>
    </row>
    <row r="71" spans="2:10" outlineLevel="1">
      <c r="B71" s="122" t="s">
        <v>878</v>
      </c>
      <c r="C71" s="144">
        <v>-29645.82</v>
      </c>
      <c r="D71" s="145">
        <v>0</v>
      </c>
      <c r="E71" s="144">
        <v>-29645.82</v>
      </c>
      <c r="F71" s="144">
        <v>0</v>
      </c>
      <c r="G71" s="161" t="str">
        <f t="shared" si="1"/>
        <v xml:space="preserve">  107724</v>
      </c>
      <c r="H71" s="155">
        <v>107724</v>
      </c>
      <c r="I71" s="144"/>
      <c r="J71" s="319"/>
    </row>
    <row r="72" spans="2:10" outlineLevel="1">
      <c r="B72" s="122" t="s">
        <v>879</v>
      </c>
      <c r="C72" s="144">
        <v>-284458.15000000002</v>
      </c>
      <c r="D72" s="145">
        <v>0</v>
      </c>
      <c r="E72" s="144">
        <v>-284458.15000000002</v>
      </c>
      <c r="F72" s="144">
        <v>0</v>
      </c>
      <c r="G72" s="161" t="str">
        <f t="shared" si="1"/>
        <v xml:space="preserve">  107726</v>
      </c>
      <c r="H72" s="155">
        <v>107726</v>
      </c>
      <c r="I72" s="144"/>
      <c r="J72" s="319"/>
    </row>
    <row r="73" spans="2:10" outlineLevel="1">
      <c r="B73" s="122" t="s">
        <v>880</v>
      </c>
      <c r="C73" s="144">
        <v>151815.39000000001</v>
      </c>
      <c r="D73" s="145">
        <v>0</v>
      </c>
      <c r="E73" s="144">
        <v>151815.39000000001</v>
      </c>
      <c r="F73" s="144">
        <v>0</v>
      </c>
      <c r="G73" s="161" t="str">
        <f t="shared" si="1"/>
        <v xml:space="preserve">  107730</v>
      </c>
      <c r="H73" s="155">
        <v>107730</v>
      </c>
      <c r="I73" s="144"/>
      <c r="J73" s="319"/>
    </row>
    <row r="74" spans="2:10" outlineLevel="1">
      <c r="B74" s="122" t="s">
        <v>881</v>
      </c>
      <c r="C74" s="144">
        <v>-173312.83</v>
      </c>
      <c r="D74" s="145">
        <v>0</v>
      </c>
      <c r="E74" s="144">
        <v>-173312.83</v>
      </c>
      <c r="F74" s="144">
        <v>0</v>
      </c>
      <c r="G74" s="161" t="str">
        <f t="shared" si="1"/>
        <v xml:space="preserve">  107731</v>
      </c>
      <c r="H74" s="155">
        <v>107731</v>
      </c>
      <c r="I74" s="144"/>
      <c r="J74" s="319"/>
    </row>
    <row r="75" spans="2:10" outlineLevel="1">
      <c r="B75" s="122" t="s">
        <v>883</v>
      </c>
      <c r="C75" s="144">
        <v>-159323.91</v>
      </c>
      <c r="D75" s="145">
        <v>0</v>
      </c>
      <c r="E75" s="144">
        <v>-159323.91</v>
      </c>
      <c r="F75" s="144">
        <v>0</v>
      </c>
      <c r="G75" s="161" t="str">
        <f t="shared" si="1"/>
        <v xml:space="preserve">  107733</v>
      </c>
      <c r="H75" s="155">
        <v>107733</v>
      </c>
      <c r="I75" s="144"/>
      <c r="J75" s="319"/>
    </row>
    <row r="76" spans="2:10" outlineLevel="1">
      <c r="B76" s="122" t="s">
        <v>885</v>
      </c>
      <c r="C76" s="144">
        <v>-36833.35</v>
      </c>
      <c r="D76" s="145">
        <v>0</v>
      </c>
      <c r="E76" s="144">
        <v>-36833.35</v>
      </c>
      <c r="F76" s="144">
        <v>0</v>
      </c>
      <c r="G76" s="161" t="str">
        <f t="shared" ref="G76:G138" si="2">LEFT(B76,8)</f>
        <v xml:space="preserve">  107735</v>
      </c>
      <c r="H76" s="155">
        <v>107735</v>
      </c>
      <c r="I76" s="144"/>
      <c r="J76" s="319"/>
    </row>
    <row r="77" spans="2:10" outlineLevel="1">
      <c r="B77" s="122" t="s">
        <v>886</v>
      </c>
      <c r="C77" s="144">
        <v>-44983.31</v>
      </c>
      <c r="D77" s="145">
        <v>0</v>
      </c>
      <c r="E77" s="144">
        <v>-44983.31</v>
      </c>
      <c r="F77" s="144">
        <v>0</v>
      </c>
      <c r="G77" s="161" t="str">
        <f t="shared" si="2"/>
        <v xml:space="preserve">  107742</v>
      </c>
      <c r="H77" s="155">
        <v>107742</v>
      </c>
      <c r="I77" s="144"/>
      <c r="J77" s="319"/>
    </row>
    <row r="78" spans="2:10" outlineLevel="1">
      <c r="B78" s="122" t="s">
        <v>887</v>
      </c>
      <c r="C78" s="144">
        <v>-29955.56</v>
      </c>
      <c r="D78" s="145">
        <v>0</v>
      </c>
      <c r="E78" s="144">
        <v>-29955.56</v>
      </c>
      <c r="F78" s="144">
        <v>0</v>
      </c>
      <c r="G78" s="161" t="str">
        <f t="shared" si="2"/>
        <v xml:space="preserve">  107743</v>
      </c>
      <c r="H78" s="155">
        <v>107743</v>
      </c>
      <c r="I78" s="144"/>
      <c r="J78" s="319"/>
    </row>
    <row r="79" spans="2:10" outlineLevel="1">
      <c r="B79" s="122" t="s">
        <v>888</v>
      </c>
      <c r="C79" s="144">
        <v>-221653.73</v>
      </c>
      <c r="D79" s="145">
        <v>0</v>
      </c>
      <c r="E79" s="144">
        <v>-221653.73</v>
      </c>
      <c r="F79" s="144">
        <v>0</v>
      </c>
      <c r="G79" s="161" t="str">
        <f t="shared" si="2"/>
        <v xml:space="preserve">  107749</v>
      </c>
      <c r="H79" s="155">
        <v>107749</v>
      </c>
      <c r="I79" s="145"/>
      <c r="J79" s="319"/>
    </row>
    <row r="80" spans="2:10" outlineLevel="1">
      <c r="B80" s="122" t="s">
        <v>889</v>
      </c>
      <c r="C80" s="144">
        <v>-58515.88</v>
      </c>
      <c r="D80" s="145">
        <v>0</v>
      </c>
      <c r="E80" s="144">
        <v>-58515.88</v>
      </c>
      <c r="F80" s="144">
        <v>0</v>
      </c>
      <c r="G80" s="161" t="str">
        <f t="shared" si="2"/>
        <v xml:space="preserve">  107754</v>
      </c>
      <c r="H80" s="155">
        <v>107754</v>
      </c>
      <c r="I80" s="144"/>
      <c r="J80" s="319"/>
    </row>
    <row r="81" spans="2:10" outlineLevel="1">
      <c r="B81" s="122" t="s">
        <v>890</v>
      </c>
      <c r="C81" s="144">
        <v>76680.820000000007</v>
      </c>
      <c r="D81" s="145">
        <v>0</v>
      </c>
      <c r="E81" s="144">
        <v>76680.820000000007</v>
      </c>
      <c r="F81" s="144">
        <v>0</v>
      </c>
      <c r="G81" s="161" t="str">
        <f t="shared" si="2"/>
        <v xml:space="preserve">  107759</v>
      </c>
      <c r="H81" s="155">
        <v>107759</v>
      </c>
      <c r="I81" s="144"/>
      <c r="J81" s="319"/>
    </row>
    <row r="82" spans="2:10" outlineLevel="1">
      <c r="B82" s="122" t="s">
        <v>891</v>
      </c>
      <c r="C82" s="144">
        <v>71797.710000000006</v>
      </c>
      <c r="D82" s="145">
        <v>0</v>
      </c>
      <c r="E82" s="144">
        <v>71797.710000000006</v>
      </c>
      <c r="F82" s="144">
        <v>0</v>
      </c>
      <c r="G82" s="161" t="str">
        <f t="shared" si="2"/>
        <v xml:space="preserve">  107763</v>
      </c>
      <c r="H82" s="155">
        <v>107763</v>
      </c>
      <c r="I82" s="144"/>
      <c r="J82" s="319"/>
    </row>
    <row r="83" spans="2:10" outlineLevel="1">
      <c r="B83" s="122" t="s">
        <v>892</v>
      </c>
      <c r="C83" s="144">
        <v>112112.61</v>
      </c>
      <c r="D83" s="145">
        <v>0</v>
      </c>
      <c r="E83" s="144">
        <v>112112.61</v>
      </c>
      <c r="F83" s="144">
        <v>0</v>
      </c>
      <c r="G83" s="161" t="str">
        <f t="shared" si="2"/>
        <v xml:space="preserve">  107764</v>
      </c>
      <c r="H83" s="155">
        <v>107764</v>
      </c>
      <c r="I83" s="144"/>
      <c r="J83" s="319"/>
    </row>
    <row r="84" spans="2:10" outlineLevel="1">
      <c r="B84" s="122" t="s">
        <v>893</v>
      </c>
      <c r="C84" s="144">
        <v>-81229.2</v>
      </c>
      <c r="D84" s="145">
        <v>0</v>
      </c>
      <c r="E84" s="144">
        <v>-81229.2</v>
      </c>
      <c r="F84" s="144">
        <v>0</v>
      </c>
      <c r="G84" s="161" t="str">
        <f t="shared" si="2"/>
        <v xml:space="preserve">  107765</v>
      </c>
      <c r="H84" s="155">
        <v>107765</v>
      </c>
      <c r="I84" s="144"/>
      <c r="J84" s="319"/>
    </row>
    <row r="85" spans="2:10" outlineLevel="1">
      <c r="B85" s="122" t="s">
        <v>894</v>
      </c>
      <c r="C85" s="144">
        <v>20274.509999999998</v>
      </c>
      <c r="D85" s="145">
        <v>0</v>
      </c>
      <c r="E85" s="144">
        <v>20274.509999999998</v>
      </c>
      <c r="F85" s="144">
        <v>0</v>
      </c>
      <c r="G85" s="161" t="str">
        <f t="shared" si="2"/>
        <v xml:space="preserve">  107766</v>
      </c>
      <c r="H85" s="155">
        <v>107766</v>
      </c>
      <c r="I85" s="144"/>
      <c r="J85" s="319"/>
    </row>
    <row r="86" spans="2:10" outlineLevel="1">
      <c r="B86" s="122" t="s">
        <v>895</v>
      </c>
      <c r="C86" s="144">
        <v>-626422.79</v>
      </c>
      <c r="D86" s="145">
        <v>0</v>
      </c>
      <c r="E86" s="144">
        <v>-626422.79</v>
      </c>
      <c r="F86" s="144">
        <v>0</v>
      </c>
      <c r="G86" s="161" t="str">
        <f t="shared" si="2"/>
        <v xml:space="preserve">  107767</v>
      </c>
      <c r="H86" s="155">
        <v>107767</v>
      </c>
      <c r="I86" s="144"/>
      <c r="J86" s="319"/>
    </row>
    <row r="87" spans="2:10" outlineLevel="1">
      <c r="B87" s="122" t="s">
        <v>896</v>
      </c>
      <c r="C87" s="144">
        <v>-35288.68</v>
      </c>
      <c r="D87" s="145">
        <v>0</v>
      </c>
      <c r="E87" s="144">
        <v>-35288.68</v>
      </c>
      <c r="F87" s="144">
        <v>0</v>
      </c>
      <c r="G87" s="161" t="str">
        <f t="shared" si="2"/>
        <v xml:space="preserve">  107768</v>
      </c>
      <c r="H87" s="155">
        <v>107768</v>
      </c>
      <c r="I87" s="144"/>
      <c r="J87" s="319"/>
    </row>
    <row r="88" spans="2:10" outlineLevel="1">
      <c r="B88" s="122" t="s">
        <v>897</v>
      </c>
      <c r="C88" s="144">
        <v>-168818.18</v>
      </c>
      <c r="D88" s="145">
        <v>0</v>
      </c>
      <c r="E88" s="144">
        <v>-168818.18</v>
      </c>
      <c r="F88" s="144">
        <v>0</v>
      </c>
      <c r="G88" s="161" t="str">
        <f t="shared" si="2"/>
        <v xml:space="preserve">  107769</v>
      </c>
      <c r="H88" s="155">
        <v>107769</v>
      </c>
      <c r="I88" s="144"/>
      <c r="J88" s="319"/>
    </row>
    <row r="89" spans="2:10" outlineLevel="1">
      <c r="B89" s="122" t="s">
        <v>898</v>
      </c>
      <c r="C89" s="144">
        <v>-146574.06</v>
      </c>
      <c r="D89" s="145">
        <v>0</v>
      </c>
      <c r="E89" s="144">
        <v>-146574.06</v>
      </c>
      <c r="F89" s="144">
        <v>0</v>
      </c>
      <c r="G89" s="161" t="str">
        <f t="shared" si="2"/>
        <v xml:space="preserve">  107771</v>
      </c>
      <c r="H89" s="155">
        <v>107771</v>
      </c>
      <c r="I89" s="144"/>
      <c r="J89" s="319"/>
    </row>
    <row r="90" spans="2:10" outlineLevel="1">
      <c r="B90" s="122" t="s">
        <v>899</v>
      </c>
      <c r="C90" s="144">
        <v>-166220.35</v>
      </c>
      <c r="D90" s="145">
        <v>0</v>
      </c>
      <c r="E90" s="144">
        <v>-166220.35</v>
      </c>
      <c r="F90" s="144">
        <v>0</v>
      </c>
      <c r="G90" s="161" t="str">
        <f t="shared" si="2"/>
        <v xml:space="preserve">  107775</v>
      </c>
      <c r="H90" s="155">
        <v>107775</v>
      </c>
      <c r="I90" s="144"/>
      <c r="J90" s="319"/>
    </row>
    <row r="91" spans="2:10" outlineLevel="1">
      <c r="B91" s="122" t="s">
        <v>900</v>
      </c>
      <c r="C91" s="144">
        <v>-45062.52</v>
      </c>
      <c r="D91" s="145">
        <v>0</v>
      </c>
      <c r="E91" s="144">
        <v>-45062.52</v>
      </c>
      <c r="F91" s="144">
        <v>0</v>
      </c>
      <c r="G91" s="161" t="str">
        <f t="shared" si="2"/>
        <v xml:space="preserve">  107776</v>
      </c>
      <c r="H91" s="155">
        <v>107776</v>
      </c>
      <c r="I91" s="144"/>
      <c r="J91" s="319"/>
    </row>
    <row r="92" spans="2:10" outlineLevel="1">
      <c r="B92" s="122" t="s">
        <v>902</v>
      </c>
      <c r="C92" s="144">
        <v>59339.83</v>
      </c>
      <c r="D92" s="145">
        <v>0</v>
      </c>
      <c r="E92" s="144">
        <v>59339.83</v>
      </c>
      <c r="F92" s="144">
        <v>0</v>
      </c>
      <c r="G92" s="161" t="str">
        <f t="shared" si="2"/>
        <v xml:space="preserve">  107779</v>
      </c>
      <c r="H92" s="155">
        <v>107779</v>
      </c>
      <c r="I92" s="144"/>
      <c r="J92" s="319"/>
    </row>
    <row r="93" spans="2:10" outlineLevel="1">
      <c r="B93" s="122" t="s">
        <v>903</v>
      </c>
      <c r="C93" s="144">
        <v>-133130.94</v>
      </c>
      <c r="D93" s="145">
        <v>0</v>
      </c>
      <c r="E93" s="144">
        <v>-133130.94</v>
      </c>
      <c r="F93" s="144">
        <v>0</v>
      </c>
      <c r="G93" s="161" t="str">
        <f t="shared" si="2"/>
        <v xml:space="preserve">  107781</v>
      </c>
      <c r="H93" s="155">
        <v>107781</v>
      </c>
      <c r="I93" s="144"/>
      <c r="J93" s="319"/>
    </row>
    <row r="94" spans="2:10" outlineLevel="1">
      <c r="B94" s="122" t="s">
        <v>904</v>
      </c>
      <c r="C94" s="144">
        <v>-275679.67</v>
      </c>
      <c r="D94" s="145">
        <v>0</v>
      </c>
      <c r="E94" s="144">
        <v>-275679.67</v>
      </c>
      <c r="F94" s="144">
        <v>0</v>
      </c>
      <c r="G94" s="161" t="str">
        <f t="shared" si="2"/>
        <v xml:space="preserve">  107782</v>
      </c>
      <c r="H94" s="155">
        <v>107782</v>
      </c>
      <c r="I94" s="144"/>
      <c r="J94" s="319"/>
    </row>
    <row r="95" spans="2:10" outlineLevel="1">
      <c r="B95" s="122" t="s">
        <v>905</v>
      </c>
      <c r="C95" s="144">
        <v>-45885.57</v>
      </c>
      <c r="D95" s="145">
        <v>0</v>
      </c>
      <c r="E95" s="144">
        <v>-45885.57</v>
      </c>
      <c r="F95" s="144">
        <v>0</v>
      </c>
      <c r="G95" s="161" t="str">
        <f t="shared" si="2"/>
        <v xml:space="preserve">  107784</v>
      </c>
      <c r="H95" s="155">
        <v>107784</v>
      </c>
      <c r="I95" s="144"/>
      <c r="J95" s="319"/>
    </row>
    <row r="96" spans="2:10" outlineLevel="1">
      <c r="B96" s="122" t="s">
        <v>906</v>
      </c>
      <c r="C96" s="144">
        <v>543862.92000000004</v>
      </c>
      <c r="D96" s="145">
        <v>0</v>
      </c>
      <c r="E96" s="144">
        <v>543862.92000000004</v>
      </c>
      <c r="F96" s="144">
        <v>0</v>
      </c>
      <c r="G96" s="161" t="str">
        <f t="shared" si="2"/>
        <v xml:space="preserve">  107786</v>
      </c>
      <c r="H96" s="155">
        <v>107786</v>
      </c>
      <c r="I96" s="144"/>
      <c r="J96" s="319"/>
    </row>
    <row r="97" spans="2:10" outlineLevel="1">
      <c r="B97" s="122" t="s">
        <v>907</v>
      </c>
      <c r="C97" s="144">
        <v>19601.939999999999</v>
      </c>
      <c r="D97" s="145">
        <v>0</v>
      </c>
      <c r="E97" s="144">
        <v>19601.939999999999</v>
      </c>
      <c r="F97" s="144">
        <v>0</v>
      </c>
      <c r="G97" s="161" t="str">
        <f t="shared" si="2"/>
        <v xml:space="preserve">  107787</v>
      </c>
      <c r="H97" s="155">
        <v>107787</v>
      </c>
      <c r="I97" s="144"/>
      <c r="J97" s="319"/>
    </row>
    <row r="98" spans="2:10" outlineLevel="1">
      <c r="B98" s="122" t="s">
        <v>908</v>
      </c>
      <c r="C98" s="144">
        <v>16539.57</v>
      </c>
      <c r="D98" s="145">
        <v>0</v>
      </c>
      <c r="E98" s="144">
        <v>16539.57</v>
      </c>
      <c r="F98" s="144">
        <v>0</v>
      </c>
      <c r="G98" s="161" t="str">
        <f t="shared" si="2"/>
        <v xml:space="preserve">  107789</v>
      </c>
      <c r="H98" s="155">
        <v>107789</v>
      </c>
      <c r="I98" s="144"/>
      <c r="J98" s="319"/>
    </row>
    <row r="99" spans="2:10" outlineLevel="1">
      <c r="B99" s="122" t="s">
        <v>909</v>
      </c>
      <c r="C99" s="144">
        <v>-7821.33</v>
      </c>
      <c r="D99" s="145">
        <v>0</v>
      </c>
      <c r="E99" s="144">
        <v>-7821.33</v>
      </c>
      <c r="F99" s="144">
        <v>0</v>
      </c>
      <c r="G99" s="161" t="str">
        <f t="shared" si="2"/>
        <v xml:space="preserve">  107791</v>
      </c>
      <c r="H99" s="155">
        <v>107791</v>
      </c>
      <c r="I99" s="144"/>
      <c r="J99" s="319"/>
    </row>
    <row r="100" spans="2:10" outlineLevel="1">
      <c r="B100" s="122" t="s">
        <v>910</v>
      </c>
      <c r="C100" s="144">
        <v>-351111.49</v>
      </c>
      <c r="D100" s="145">
        <v>0</v>
      </c>
      <c r="E100" s="144">
        <v>-351111.49</v>
      </c>
      <c r="F100" s="144">
        <v>0</v>
      </c>
      <c r="G100" s="161" t="str">
        <f t="shared" si="2"/>
        <v xml:space="preserve">  107793</v>
      </c>
      <c r="H100" s="155">
        <v>107793</v>
      </c>
      <c r="I100" s="144"/>
      <c r="J100" s="319"/>
    </row>
    <row r="101" spans="2:10" outlineLevel="1">
      <c r="B101" s="122" t="s">
        <v>911</v>
      </c>
      <c r="C101" s="144">
        <v>-378864.96</v>
      </c>
      <c r="D101" s="145">
        <v>0</v>
      </c>
      <c r="E101" s="144">
        <v>-378864.96</v>
      </c>
      <c r="F101" s="144">
        <v>0</v>
      </c>
      <c r="G101" s="161" t="str">
        <f t="shared" si="2"/>
        <v xml:space="preserve">  107797</v>
      </c>
      <c r="H101" s="155">
        <v>107797</v>
      </c>
      <c r="I101" s="144"/>
      <c r="J101" s="319"/>
    </row>
    <row r="102" spans="2:10" outlineLevel="1">
      <c r="B102" s="122" t="s">
        <v>912</v>
      </c>
      <c r="C102" s="144">
        <v>191391.16</v>
      </c>
      <c r="D102" s="145">
        <v>0</v>
      </c>
      <c r="E102" s="144">
        <v>191391.16</v>
      </c>
      <c r="F102" s="144">
        <v>0</v>
      </c>
      <c r="G102" s="161" t="str">
        <f t="shared" si="2"/>
        <v xml:space="preserve">  107798</v>
      </c>
      <c r="H102" s="155">
        <v>107798</v>
      </c>
      <c r="I102" s="144"/>
      <c r="J102" s="319"/>
    </row>
    <row r="103" spans="2:10" outlineLevel="1">
      <c r="B103" s="122" t="s">
        <v>913</v>
      </c>
      <c r="C103" s="144">
        <v>260960.19</v>
      </c>
      <c r="D103" s="145">
        <v>0</v>
      </c>
      <c r="E103" s="144">
        <v>260960.19</v>
      </c>
      <c r="F103" s="144">
        <v>0</v>
      </c>
      <c r="G103" s="161" t="str">
        <f t="shared" si="2"/>
        <v xml:space="preserve">  107800</v>
      </c>
      <c r="H103" s="155">
        <v>107800</v>
      </c>
      <c r="I103" s="144"/>
      <c r="J103" s="319"/>
    </row>
    <row r="104" spans="2:10" outlineLevel="1">
      <c r="B104" s="122" t="s">
        <v>914</v>
      </c>
      <c r="C104" s="144">
        <v>-187652.55</v>
      </c>
      <c r="D104" s="145">
        <v>0</v>
      </c>
      <c r="E104" s="144">
        <v>-187652.55</v>
      </c>
      <c r="F104" s="144">
        <v>0</v>
      </c>
      <c r="G104" s="161" t="str">
        <f t="shared" si="2"/>
        <v xml:space="preserve">  107803</v>
      </c>
      <c r="H104" s="155">
        <v>107803</v>
      </c>
      <c r="I104" s="144"/>
      <c r="J104" s="319"/>
    </row>
    <row r="105" spans="2:10" outlineLevel="1">
      <c r="B105" s="122" t="s">
        <v>915</v>
      </c>
      <c r="C105" s="144">
        <v>-122403.84</v>
      </c>
      <c r="D105" s="145">
        <v>0</v>
      </c>
      <c r="E105" s="144">
        <v>-122403.84</v>
      </c>
      <c r="F105" s="144">
        <v>0</v>
      </c>
      <c r="G105" s="161" t="str">
        <f t="shared" si="2"/>
        <v xml:space="preserve">  107805</v>
      </c>
      <c r="H105" s="155">
        <v>107805</v>
      </c>
      <c r="I105" s="144"/>
      <c r="J105" s="319"/>
    </row>
    <row r="106" spans="2:10" outlineLevel="1">
      <c r="B106" s="122" t="s">
        <v>916</v>
      </c>
      <c r="C106" s="144">
        <v>-92274.03</v>
      </c>
      <c r="D106" s="145">
        <v>0</v>
      </c>
      <c r="E106" s="144">
        <v>-92274.03</v>
      </c>
      <c r="F106" s="144">
        <v>0</v>
      </c>
      <c r="G106" s="161" t="str">
        <f t="shared" si="2"/>
        <v xml:space="preserve">  107808</v>
      </c>
      <c r="H106" s="155">
        <v>107808</v>
      </c>
      <c r="I106" s="144"/>
      <c r="J106" s="319"/>
    </row>
    <row r="107" spans="2:10" outlineLevel="1">
      <c r="B107" s="122" t="s">
        <v>917</v>
      </c>
      <c r="C107" s="144">
        <v>103179.13</v>
      </c>
      <c r="D107" s="145">
        <v>0</v>
      </c>
      <c r="E107" s="144">
        <v>103179.13</v>
      </c>
      <c r="F107" s="144">
        <v>0</v>
      </c>
      <c r="G107" s="161" t="str">
        <f t="shared" si="2"/>
        <v xml:space="preserve">  107811</v>
      </c>
      <c r="H107" s="155">
        <v>107811</v>
      </c>
      <c r="I107" s="144"/>
      <c r="J107" s="319"/>
    </row>
    <row r="108" spans="2:10" outlineLevel="1">
      <c r="B108" s="122" t="s">
        <v>918</v>
      </c>
      <c r="C108" s="144">
        <v>-108034.34</v>
      </c>
      <c r="D108" s="145">
        <v>0</v>
      </c>
      <c r="E108" s="144">
        <v>-108034.34</v>
      </c>
      <c r="F108" s="144">
        <v>0</v>
      </c>
      <c r="G108" s="161" t="str">
        <f t="shared" si="2"/>
        <v xml:space="preserve">  107812</v>
      </c>
      <c r="H108" s="155">
        <v>107812</v>
      </c>
      <c r="I108" s="144"/>
      <c r="J108" s="319"/>
    </row>
    <row r="109" spans="2:10" outlineLevel="1">
      <c r="B109" s="122" t="s">
        <v>920</v>
      </c>
      <c r="C109" s="144">
        <v>21445.24</v>
      </c>
      <c r="D109" s="145">
        <v>0</v>
      </c>
      <c r="E109" s="144">
        <v>21445.24</v>
      </c>
      <c r="F109" s="144">
        <v>0</v>
      </c>
      <c r="G109" s="161" t="str">
        <f t="shared" si="2"/>
        <v xml:space="preserve">  107816</v>
      </c>
      <c r="H109" s="155">
        <v>107816</v>
      </c>
      <c r="I109" s="144"/>
      <c r="J109" s="319"/>
    </row>
    <row r="110" spans="2:10" outlineLevel="1">
      <c r="B110" s="122" t="s">
        <v>921</v>
      </c>
      <c r="C110" s="144">
        <v>-14671.37</v>
      </c>
      <c r="D110" s="145">
        <v>0</v>
      </c>
      <c r="E110" s="144">
        <v>-14671.37</v>
      </c>
      <c r="F110" s="144">
        <v>0</v>
      </c>
      <c r="G110" s="161" t="str">
        <f t="shared" si="2"/>
        <v xml:space="preserve">  107817</v>
      </c>
      <c r="H110" s="155">
        <v>107817</v>
      </c>
      <c r="I110" s="144"/>
      <c r="J110" s="319"/>
    </row>
    <row r="111" spans="2:10" outlineLevel="1">
      <c r="B111" s="122" t="s">
        <v>922</v>
      </c>
      <c r="C111" s="144">
        <v>73488.88</v>
      </c>
      <c r="D111" s="145">
        <v>0</v>
      </c>
      <c r="E111" s="144">
        <v>73488.88</v>
      </c>
      <c r="F111" s="144">
        <v>0</v>
      </c>
      <c r="G111" s="161" t="str">
        <f t="shared" si="2"/>
        <v xml:space="preserve">  107818</v>
      </c>
      <c r="H111" s="155">
        <v>107818</v>
      </c>
      <c r="I111" s="144"/>
      <c r="J111" s="319"/>
    </row>
    <row r="112" spans="2:10" outlineLevel="1">
      <c r="B112" s="122" t="s">
        <v>924</v>
      </c>
      <c r="C112" s="144">
        <v>-161833.43</v>
      </c>
      <c r="D112" s="145">
        <v>0</v>
      </c>
      <c r="E112" s="144">
        <v>-161833.43</v>
      </c>
      <c r="F112" s="144">
        <v>0</v>
      </c>
      <c r="G112" s="161" t="str">
        <f t="shared" si="2"/>
        <v xml:space="preserve">  107825</v>
      </c>
      <c r="H112" s="155">
        <v>107825</v>
      </c>
      <c r="I112" s="144"/>
      <c r="J112" s="319"/>
    </row>
    <row r="113" spans="2:10" outlineLevel="1">
      <c r="B113" s="122" t="s">
        <v>925</v>
      </c>
      <c r="C113" s="144">
        <v>-64516.46</v>
      </c>
      <c r="D113" s="145">
        <v>0</v>
      </c>
      <c r="E113" s="144">
        <v>-64516.46</v>
      </c>
      <c r="F113" s="144">
        <v>0</v>
      </c>
      <c r="G113" s="161" t="str">
        <f t="shared" si="2"/>
        <v xml:space="preserve">  107827</v>
      </c>
      <c r="H113" s="155">
        <v>107827</v>
      </c>
      <c r="I113" s="145"/>
      <c r="J113" s="319"/>
    </row>
    <row r="114" spans="2:10" outlineLevel="1">
      <c r="B114" s="122" t="s">
        <v>926</v>
      </c>
      <c r="C114" s="144">
        <v>-235517.57</v>
      </c>
      <c r="D114" s="145">
        <v>0</v>
      </c>
      <c r="E114" s="144">
        <v>-235517.57</v>
      </c>
      <c r="F114" s="144">
        <v>0</v>
      </c>
      <c r="G114" s="161" t="str">
        <f t="shared" si="2"/>
        <v xml:space="preserve">  107829</v>
      </c>
      <c r="H114" s="155">
        <v>107829</v>
      </c>
      <c r="I114" s="144"/>
      <c r="J114" s="319"/>
    </row>
    <row r="115" spans="2:10" outlineLevel="1">
      <c r="B115" s="122" t="s">
        <v>969</v>
      </c>
      <c r="C115" s="144">
        <v>145556.41</v>
      </c>
      <c r="D115" s="145">
        <v>0</v>
      </c>
      <c r="E115" s="144">
        <v>145556.41</v>
      </c>
      <c r="F115" s="144">
        <v>0</v>
      </c>
      <c r="G115" s="161" t="str">
        <f t="shared" si="2"/>
        <v xml:space="preserve">  107830</v>
      </c>
      <c r="H115" s="155">
        <v>107830</v>
      </c>
      <c r="I115" s="144"/>
      <c r="J115" s="319"/>
    </row>
    <row r="116" spans="2:10" outlineLevel="1">
      <c r="B116" s="122" t="s">
        <v>927</v>
      </c>
      <c r="C116" s="144">
        <v>-94186.2</v>
      </c>
      <c r="D116" s="145">
        <v>0</v>
      </c>
      <c r="E116" s="144">
        <v>-94186.2</v>
      </c>
      <c r="F116" s="144">
        <v>0</v>
      </c>
      <c r="G116" s="161" t="str">
        <f t="shared" si="2"/>
        <v xml:space="preserve">  107837</v>
      </c>
      <c r="H116" s="155">
        <v>107837</v>
      </c>
      <c r="I116" s="144"/>
      <c r="J116" s="319"/>
    </row>
    <row r="117" spans="2:10" outlineLevel="1">
      <c r="B117" s="122" t="s">
        <v>928</v>
      </c>
      <c r="C117" s="144">
        <v>-126997.18</v>
      </c>
      <c r="D117" s="145">
        <v>0</v>
      </c>
      <c r="E117" s="144">
        <v>-126997.18</v>
      </c>
      <c r="F117" s="144">
        <v>0</v>
      </c>
      <c r="G117" s="161" t="str">
        <f t="shared" si="2"/>
        <v xml:space="preserve">  107838</v>
      </c>
      <c r="H117" s="155">
        <v>107838</v>
      </c>
      <c r="I117" s="145"/>
      <c r="J117" s="319"/>
    </row>
    <row r="118" spans="2:10" outlineLevel="1">
      <c r="B118" s="122" t="s">
        <v>929</v>
      </c>
      <c r="C118" s="144">
        <v>-149701.18</v>
      </c>
      <c r="D118" s="145">
        <v>0</v>
      </c>
      <c r="E118" s="144">
        <v>-149701.18</v>
      </c>
      <c r="F118" s="144">
        <v>0</v>
      </c>
      <c r="G118" s="161" t="str">
        <f t="shared" si="2"/>
        <v xml:space="preserve">  107842</v>
      </c>
      <c r="H118" s="155">
        <v>107842</v>
      </c>
      <c r="I118" s="144"/>
      <c r="J118" s="319"/>
    </row>
    <row r="119" spans="2:10" outlineLevel="1">
      <c r="B119" s="122" t="s">
        <v>930</v>
      </c>
      <c r="C119" s="144">
        <v>-165625.44</v>
      </c>
      <c r="D119" s="145">
        <v>0</v>
      </c>
      <c r="E119" s="144">
        <v>-165625.44</v>
      </c>
      <c r="F119" s="144">
        <v>0</v>
      </c>
      <c r="G119" s="161" t="str">
        <f t="shared" si="2"/>
        <v xml:space="preserve">  107845</v>
      </c>
      <c r="H119" s="155">
        <v>107845</v>
      </c>
      <c r="I119" s="144"/>
      <c r="J119" s="319"/>
    </row>
    <row r="120" spans="2:10" outlineLevel="1">
      <c r="B120" s="122" t="s">
        <v>931</v>
      </c>
      <c r="C120" s="144">
        <v>-102215.2</v>
      </c>
      <c r="D120" s="145">
        <v>0</v>
      </c>
      <c r="E120" s="144">
        <v>-102215.2</v>
      </c>
      <c r="F120" s="144">
        <v>0</v>
      </c>
      <c r="G120" s="161" t="str">
        <f t="shared" si="2"/>
        <v xml:space="preserve">  107851</v>
      </c>
      <c r="H120" s="155">
        <v>107851</v>
      </c>
      <c r="I120" s="144"/>
      <c r="J120" s="319"/>
    </row>
    <row r="121" spans="2:10" outlineLevel="1">
      <c r="B121" s="122" t="s">
        <v>932</v>
      </c>
      <c r="C121" s="144">
        <v>-93912.67</v>
      </c>
      <c r="D121" s="145">
        <v>0</v>
      </c>
      <c r="E121" s="144">
        <v>-93912.67</v>
      </c>
      <c r="F121" s="144">
        <v>0</v>
      </c>
      <c r="G121" s="161" t="str">
        <f t="shared" si="2"/>
        <v xml:space="preserve">  107852</v>
      </c>
      <c r="H121" s="155">
        <v>107852</v>
      </c>
      <c r="I121" s="144"/>
      <c r="J121" s="319"/>
    </row>
    <row r="122" spans="2:10" outlineLevel="1">
      <c r="B122" s="122" t="s">
        <v>933</v>
      </c>
      <c r="C122" s="144">
        <v>-121027.32</v>
      </c>
      <c r="D122" s="145">
        <v>0</v>
      </c>
      <c r="E122" s="144">
        <v>-121027.32</v>
      </c>
      <c r="F122" s="144">
        <v>0</v>
      </c>
      <c r="G122" s="161" t="str">
        <f t="shared" si="2"/>
        <v xml:space="preserve">  107853</v>
      </c>
      <c r="H122" s="155">
        <v>107853</v>
      </c>
      <c r="I122" s="144"/>
      <c r="J122" s="319"/>
    </row>
    <row r="123" spans="2:10" outlineLevel="1">
      <c r="B123" s="122" t="s">
        <v>934</v>
      </c>
      <c r="C123" s="144">
        <v>-153009.39000000001</v>
      </c>
      <c r="D123" s="145">
        <v>0</v>
      </c>
      <c r="E123" s="144">
        <v>-153009.39000000001</v>
      </c>
      <c r="F123" s="144">
        <v>0</v>
      </c>
      <c r="G123" s="161" t="str">
        <f t="shared" si="2"/>
        <v xml:space="preserve">  107862</v>
      </c>
      <c r="H123" s="155">
        <v>107862</v>
      </c>
      <c r="I123" s="144"/>
      <c r="J123" s="319"/>
    </row>
    <row r="124" spans="2:10" outlineLevel="1">
      <c r="B124" s="122" t="s">
        <v>935</v>
      </c>
      <c r="C124" s="144">
        <v>15180.85</v>
      </c>
      <c r="D124" s="145">
        <v>0</v>
      </c>
      <c r="E124" s="144">
        <v>15180.85</v>
      </c>
      <c r="F124" s="144">
        <v>0</v>
      </c>
      <c r="G124" s="161" t="str">
        <f t="shared" si="2"/>
        <v xml:space="preserve">  107881</v>
      </c>
      <c r="H124" s="155">
        <v>107881</v>
      </c>
      <c r="I124" s="144"/>
      <c r="J124" s="319"/>
    </row>
    <row r="125" spans="2:10" outlineLevel="1">
      <c r="B125" s="122" t="s">
        <v>936</v>
      </c>
      <c r="C125" s="144">
        <v>-394865.93</v>
      </c>
      <c r="D125" s="145">
        <v>0</v>
      </c>
      <c r="E125" s="144">
        <v>-394865.93</v>
      </c>
      <c r="F125" s="144">
        <v>0</v>
      </c>
      <c r="G125" s="161" t="str">
        <f t="shared" si="2"/>
        <v xml:space="preserve">  107886</v>
      </c>
      <c r="H125" s="155">
        <v>107886</v>
      </c>
      <c r="I125" s="144"/>
      <c r="J125" s="319"/>
    </row>
    <row r="126" spans="2:10" outlineLevel="1">
      <c r="B126" s="122" t="s">
        <v>937</v>
      </c>
      <c r="C126" s="144">
        <v>-264864.13</v>
      </c>
      <c r="D126" s="145">
        <v>0</v>
      </c>
      <c r="E126" s="144">
        <v>-264864.13</v>
      </c>
      <c r="F126" s="144">
        <v>0</v>
      </c>
      <c r="G126" s="161" t="str">
        <f t="shared" si="2"/>
        <v xml:space="preserve">  107887</v>
      </c>
      <c r="H126" s="155">
        <v>107887</v>
      </c>
      <c r="I126" s="144"/>
      <c r="J126" s="319"/>
    </row>
    <row r="127" spans="2:10" outlineLevel="1">
      <c r="B127" s="122" t="s">
        <v>938</v>
      </c>
      <c r="C127" s="144">
        <v>-107925.59</v>
      </c>
      <c r="D127" s="145">
        <v>0</v>
      </c>
      <c r="E127" s="144">
        <v>-107925.59</v>
      </c>
      <c r="F127" s="144">
        <v>0</v>
      </c>
      <c r="G127" s="161" t="str">
        <f t="shared" si="2"/>
        <v xml:space="preserve">  107888</v>
      </c>
      <c r="H127" s="155">
        <v>107888</v>
      </c>
      <c r="I127" s="144"/>
      <c r="J127" s="319"/>
    </row>
    <row r="128" spans="2:10" outlineLevel="1">
      <c r="B128" s="122" t="s">
        <v>939</v>
      </c>
      <c r="C128" s="144">
        <v>201733.03</v>
      </c>
      <c r="D128" s="145">
        <v>0</v>
      </c>
      <c r="E128" s="144">
        <v>201733.03</v>
      </c>
      <c r="F128" s="144">
        <v>0</v>
      </c>
      <c r="G128" s="161" t="str">
        <f t="shared" si="2"/>
        <v xml:space="preserve">  107890</v>
      </c>
      <c r="H128" s="155">
        <v>107890</v>
      </c>
      <c r="I128" s="144"/>
      <c r="J128" s="319"/>
    </row>
    <row r="129" spans="2:10" outlineLevel="1">
      <c r="B129" s="122" t="s">
        <v>940</v>
      </c>
      <c r="C129" s="144">
        <v>-5108.8999999999996</v>
      </c>
      <c r="D129" s="145">
        <v>0</v>
      </c>
      <c r="E129" s="144">
        <v>-5108.8999999999996</v>
      </c>
      <c r="F129" s="144">
        <v>0</v>
      </c>
      <c r="G129" s="161" t="str">
        <f t="shared" si="2"/>
        <v xml:space="preserve">  107891</v>
      </c>
      <c r="H129" s="155">
        <v>107891</v>
      </c>
      <c r="I129" s="144"/>
      <c r="J129" s="319"/>
    </row>
    <row r="130" spans="2:10" outlineLevel="1">
      <c r="B130" s="122" t="s">
        <v>941</v>
      </c>
      <c r="C130" s="144">
        <v>-273189.99</v>
      </c>
      <c r="D130" s="145">
        <v>0</v>
      </c>
      <c r="E130" s="144">
        <v>-273189.99</v>
      </c>
      <c r="F130" s="144">
        <v>0</v>
      </c>
      <c r="G130" s="161" t="str">
        <f t="shared" si="2"/>
        <v xml:space="preserve">  107892</v>
      </c>
      <c r="H130" s="155">
        <v>107892</v>
      </c>
      <c r="I130" s="144"/>
      <c r="J130" s="319"/>
    </row>
    <row r="131" spans="2:10" outlineLevel="1">
      <c r="B131" s="122" t="s">
        <v>942</v>
      </c>
      <c r="C131" s="144">
        <v>317827.05</v>
      </c>
      <c r="D131" s="145">
        <v>0</v>
      </c>
      <c r="E131" s="144">
        <v>317827.05</v>
      </c>
      <c r="F131" s="144">
        <v>0</v>
      </c>
      <c r="G131" s="161" t="str">
        <f t="shared" si="2"/>
        <v xml:space="preserve">  107898</v>
      </c>
      <c r="H131" s="155">
        <v>107898</v>
      </c>
      <c r="I131" s="144"/>
      <c r="J131" s="319"/>
    </row>
    <row r="132" spans="2:10" outlineLevel="1">
      <c r="B132" s="122" t="s">
        <v>943</v>
      </c>
      <c r="C132" s="144">
        <v>-161256.54999999999</v>
      </c>
      <c r="D132" s="145">
        <v>0</v>
      </c>
      <c r="E132" s="144">
        <v>-161256.54999999999</v>
      </c>
      <c r="F132" s="144">
        <v>0</v>
      </c>
      <c r="G132" s="161" t="str">
        <f t="shared" si="2"/>
        <v xml:space="preserve">  107900</v>
      </c>
      <c r="H132" s="155">
        <v>107900</v>
      </c>
      <c r="I132" s="144"/>
      <c r="J132" s="319"/>
    </row>
    <row r="133" spans="2:10" outlineLevel="1">
      <c r="B133" s="122" t="s">
        <v>944</v>
      </c>
      <c r="C133" s="144">
        <v>-111442.17</v>
      </c>
      <c r="D133" s="145">
        <v>0</v>
      </c>
      <c r="E133" s="144">
        <v>-111442.17</v>
      </c>
      <c r="F133" s="144">
        <v>0</v>
      </c>
      <c r="G133" s="161" t="str">
        <f t="shared" si="2"/>
        <v xml:space="preserve">  107906</v>
      </c>
      <c r="H133" s="155">
        <v>107906</v>
      </c>
      <c r="I133" s="144"/>
      <c r="J133" s="319"/>
    </row>
    <row r="134" spans="2:10" outlineLevel="1">
      <c r="B134" s="122" t="s">
        <v>967</v>
      </c>
      <c r="C134" s="144">
        <v>68252.14</v>
      </c>
      <c r="D134" s="145">
        <v>0</v>
      </c>
      <c r="E134" s="144">
        <v>68252.14</v>
      </c>
      <c r="F134" s="144">
        <v>0</v>
      </c>
      <c r="G134" s="161" t="str">
        <f t="shared" si="2"/>
        <v xml:space="preserve">  107907</v>
      </c>
      <c r="H134" s="155">
        <v>107907</v>
      </c>
      <c r="I134" s="144"/>
      <c r="J134" s="319"/>
    </row>
    <row r="135" spans="2:10" outlineLevel="1">
      <c r="B135" s="122" t="s">
        <v>947</v>
      </c>
      <c r="C135" s="144">
        <v>-137275.54</v>
      </c>
      <c r="D135" s="145">
        <v>0</v>
      </c>
      <c r="E135" s="144">
        <v>-137275.54</v>
      </c>
      <c r="F135" s="144">
        <v>0</v>
      </c>
      <c r="G135" s="161" t="str">
        <f t="shared" si="2"/>
        <v xml:space="preserve">  107924</v>
      </c>
      <c r="H135" s="155">
        <v>107924</v>
      </c>
      <c r="I135" s="144"/>
      <c r="J135" s="319"/>
    </row>
    <row r="136" spans="2:10" outlineLevel="1">
      <c r="B136" s="122" t="s">
        <v>948</v>
      </c>
      <c r="C136" s="144">
        <v>-173418.79</v>
      </c>
      <c r="D136" s="145">
        <v>0</v>
      </c>
      <c r="E136" s="144">
        <v>-173418.79</v>
      </c>
      <c r="F136" s="144">
        <v>0</v>
      </c>
      <c r="G136" s="161" t="str">
        <f t="shared" si="2"/>
        <v xml:space="preserve">  107925</v>
      </c>
      <c r="H136" s="155">
        <v>107925</v>
      </c>
      <c r="I136" s="144"/>
      <c r="J136" s="319"/>
    </row>
    <row r="137" spans="2:10" outlineLevel="1">
      <c r="B137" s="122" t="s">
        <v>949</v>
      </c>
      <c r="C137" s="144">
        <v>-78326.66</v>
      </c>
      <c r="D137" s="145">
        <v>0</v>
      </c>
      <c r="E137" s="144">
        <v>-78326.66</v>
      </c>
      <c r="F137" s="144">
        <v>0</v>
      </c>
      <c r="G137" s="161" t="str">
        <f t="shared" si="2"/>
        <v xml:space="preserve">  107926</v>
      </c>
      <c r="H137" s="155">
        <v>107926</v>
      </c>
      <c r="I137" s="144"/>
      <c r="J137" s="319"/>
    </row>
    <row r="138" spans="2:10" outlineLevel="1">
      <c r="B138" s="122" t="s">
        <v>950</v>
      </c>
      <c r="C138" s="144">
        <v>-27857.3</v>
      </c>
      <c r="D138" s="145">
        <v>0</v>
      </c>
      <c r="E138" s="144">
        <v>-27857.3</v>
      </c>
      <c r="F138" s="144">
        <v>0</v>
      </c>
      <c r="G138" s="161" t="str">
        <f t="shared" si="2"/>
        <v xml:space="preserve">  107928</v>
      </c>
      <c r="H138" s="155">
        <v>107928</v>
      </c>
      <c r="I138" s="144"/>
      <c r="J138" s="319"/>
    </row>
    <row r="139" spans="2:10" outlineLevel="1">
      <c r="B139" s="122" t="s">
        <v>951</v>
      </c>
      <c r="C139" s="144">
        <v>-497629.47</v>
      </c>
      <c r="D139" s="145">
        <v>0</v>
      </c>
      <c r="E139" s="144">
        <v>-497629.47</v>
      </c>
      <c r="F139" s="144">
        <v>0</v>
      </c>
      <c r="G139" s="161" t="str">
        <f t="shared" ref="G139:G157" si="3">LEFT(B139,8)</f>
        <v xml:space="preserve">  107929</v>
      </c>
      <c r="H139" s="155">
        <v>107929</v>
      </c>
      <c r="I139" s="144"/>
      <c r="J139" s="319"/>
    </row>
    <row r="140" spans="2:10" outlineLevel="1">
      <c r="B140" s="122" t="s">
        <v>952</v>
      </c>
      <c r="C140" s="144">
        <v>-208004.63</v>
      </c>
      <c r="D140" s="145">
        <v>0</v>
      </c>
      <c r="E140" s="144">
        <v>-208004.63</v>
      </c>
      <c r="F140" s="144">
        <v>0</v>
      </c>
      <c r="G140" s="161" t="str">
        <f t="shared" si="3"/>
        <v xml:space="preserve">  107933</v>
      </c>
      <c r="H140" s="155">
        <v>107933</v>
      </c>
      <c r="I140" s="144"/>
      <c r="J140" s="319"/>
    </row>
    <row r="141" spans="2:10" outlineLevel="1">
      <c r="B141" s="122" t="s">
        <v>954</v>
      </c>
      <c r="C141" s="144">
        <v>-18202.900000000001</v>
      </c>
      <c r="D141" s="145">
        <v>0</v>
      </c>
      <c r="E141" s="144">
        <v>-18202.900000000001</v>
      </c>
      <c r="F141" s="144">
        <v>0</v>
      </c>
      <c r="G141" s="161" t="str">
        <f t="shared" si="3"/>
        <v xml:space="preserve">  107936</v>
      </c>
      <c r="H141" s="155">
        <v>107936</v>
      </c>
      <c r="I141" s="144"/>
      <c r="J141" s="319"/>
    </row>
    <row r="142" spans="2:10" outlineLevel="1">
      <c r="B142" s="122" t="s">
        <v>955</v>
      </c>
      <c r="C142" s="144">
        <v>-142400.41</v>
      </c>
      <c r="D142" s="145">
        <v>0</v>
      </c>
      <c r="E142" s="144">
        <v>-142400.41</v>
      </c>
      <c r="F142" s="144">
        <v>0</v>
      </c>
      <c r="G142" s="161" t="str">
        <f t="shared" si="3"/>
        <v xml:space="preserve">  107937</v>
      </c>
      <c r="H142" s="155">
        <v>107937</v>
      </c>
      <c r="I142" s="145"/>
      <c r="J142" s="319"/>
    </row>
    <row r="143" spans="2:10" outlineLevel="1">
      <c r="B143" s="122" t="s">
        <v>956</v>
      </c>
      <c r="C143" s="144">
        <v>13492.92</v>
      </c>
      <c r="D143" s="145">
        <v>0</v>
      </c>
      <c r="E143" s="144">
        <v>13492.92</v>
      </c>
      <c r="F143" s="144">
        <v>0</v>
      </c>
      <c r="G143" s="161" t="str">
        <f t="shared" si="3"/>
        <v xml:space="preserve">  107940</v>
      </c>
      <c r="H143" s="155">
        <v>107940</v>
      </c>
      <c r="I143" s="144"/>
      <c r="J143" s="319"/>
    </row>
    <row r="144" spans="2:10" outlineLevel="1">
      <c r="B144" s="122" t="s">
        <v>959</v>
      </c>
      <c r="C144" s="144">
        <v>-426798.19</v>
      </c>
      <c r="D144" s="145">
        <v>0</v>
      </c>
      <c r="E144" s="144">
        <v>-426798.19</v>
      </c>
      <c r="F144" s="144">
        <v>0</v>
      </c>
      <c r="G144" s="161" t="str">
        <f t="shared" si="3"/>
        <v xml:space="preserve">  107948</v>
      </c>
      <c r="H144" s="155">
        <v>107948</v>
      </c>
      <c r="I144" s="144"/>
      <c r="J144" s="319"/>
    </row>
    <row r="145" spans="2:10" outlineLevel="1">
      <c r="B145" s="122" t="s">
        <v>960</v>
      </c>
      <c r="C145" s="144">
        <v>-396475.79</v>
      </c>
      <c r="D145" s="145">
        <v>0</v>
      </c>
      <c r="E145" s="144">
        <v>-396475.79</v>
      </c>
      <c r="F145" s="144">
        <v>0</v>
      </c>
      <c r="G145" s="161" t="str">
        <f t="shared" si="3"/>
        <v xml:space="preserve">  107952</v>
      </c>
      <c r="H145" s="155">
        <v>107952</v>
      </c>
      <c r="I145" s="144"/>
      <c r="J145" s="319"/>
    </row>
    <row r="146" spans="2:10" outlineLevel="1">
      <c r="B146" s="122" t="s">
        <v>961</v>
      </c>
      <c r="C146" s="144">
        <v>-336351.62</v>
      </c>
      <c r="D146" s="145">
        <v>0</v>
      </c>
      <c r="E146" s="144">
        <v>-336351.62</v>
      </c>
      <c r="F146" s="144">
        <v>0</v>
      </c>
      <c r="G146" s="161" t="str">
        <f t="shared" si="3"/>
        <v xml:space="preserve">  107958</v>
      </c>
      <c r="H146" s="155">
        <v>107958</v>
      </c>
      <c r="I146" s="144"/>
      <c r="J146" s="319"/>
    </row>
    <row r="147" spans="2:10" outlineLevel="1">
      <c r="B147" s="122"/>
      <c r="C147" s="144"/>
      <c r="D147" s="145"/>
      <c r="E147" s="144"/>
      <c r="F147" s="144">
        <v>0</v>
      </c>
      <c r="G147" s="161" t="str">
        <f t="shared" si="3"/>
        <v/>
      </c>
      <c r="H147" s="155"/>
      <c r="I147" s="144"/>
      <c r="J147" s="319"/>
    </row>
    <row r="148" spans="2:10" outlineLevel="1">
      <c r="B148" s="122"/>
      <c r="C148" s="144"/>
      <c r="D148" s="145"/>
      <c r="E148" s="144"/>
      <c r="F148" s="144">
        <v>0</v>
      </c>
      <c r="G148" s="161" t="str">
        <f t="shared" si="3"/>
        <v/>
      </c>
      <c r="H148" s="155"/>
      <c r="I148" s="144"/>
      <c r="J148" s="319"/>
    </row>
    <row r="149" spans="2:10" outlineLevel="1">
      <c r="B149" s="122"/>
      <c r="C149" s="145"/>
      <c r="D149" s="145"/>
      <c r="E149" s="144"/>
      <c r="F149" s="144">
        <v>0</v>
      </c>
      <c r="G149" s="161" t="str">
        <f t="shared" si="3"/>
        <v/>
      </c>
      <c r="H149" s="155"/>
      <c r="I149" s="145"/>
      <c r="J149" s="319"/>
    </row>
    <row r="150" spans="2:10" outlineLevel="1">
      <c r="B150" s="122"/>
      <c r="C150" s="144"/>
      <c r="D150" s="145"/>
      <c r="E150" s="144"/>
      <c r="F150" s="144">
        <v>0</v>
      </c>
      <c r="G150" s="161" t="str">
        <f t="shared" si="3"/>
        <v/>
      </c>
      <c r="H150" s="155"/>
      <c r="I150" s="144"/>
      <c r="J150" s="319"/>
    </row>
    <row r="151" spans="2:10" outlineLevel="1">
      <c r="B151" s="122"/>
      <c r="C151" s="144"/>
      <c r="D151" s="145"/>
      <c r="E151" s="144"/>
      <c r="F151" s="144">
        <v>0</v>
      </c>
      <c r="G151" s="161" t="str">
        <f t="shared" si="3"/>
        <v/>
      </c>
      <c r="H151" s="155"/>
      <c r="I151" s="144"/>
      <c r="J151" s="319"/>
    </row>
    <row r="152" spans="2:10" outlineLevel="1">
      <c r="B152" s="122"/>
      <c r="C152" s="144"/>
      <c r="D152" s="145"/>
      <c r="E152" s="144"/>
      <c r="F152" s="144">
        <v>0</v>
      </c>
      <c r="G152" s="161" t="str">
        <f t="shared" si="3"/>
        <v/>
      </c>
      <c r="H152" s="155"/>
      <c r="I152" s="144"/>
      <c r="J152" s="319"/>
    </row>
    <row r="153" spans="2:10" outlineLevel="1">
      <c r="B153" s="122"/>
      <c r="C153" s="145"/>
      <c r="D153" s="145"/>
      <c r="E153" s="144"/>
      <c r="F153" s="144">
        <v>0</v>
      </c>
      <c r="G153" s="161" t="str">
        <f t="shared" si="3"/>
        <v/>
      </c>
      <c r="H153" s="155"/>
      <c r="I153" s="145"/>
      <c r="J153" s="319"/>
    </row>
    <row r="154" spans="2:10" outlineLevel="1">
      <c r="B154" s="122"/>
      <c r="C154" s="145"/>
      <c r="D154" s="145"/>
      <c r="E154" s="144"/>
      <c r="F154" s="144">
        <v>0</v>
      </c>
      <c r="G154" s="161" t="str">
        <f t="shared" si="3"/>
        <v/>
      </c>
      <c r="H154" s="155"/>
      <c r="I154" s="145"/>
      <c r="J154" s="319"/>
    </row>
    <row r="155" spans="2:10" outlineLevel="1">
      <c r="B155" s="122"/>
      <c r="C155" s="144"/>
      <c r="D155" s="145"/>
      <c r="E155" s="144"/>
      <c r="F155" s="144">
        <v>0</v>
      </c>
      <c r="G155" s="161" t="str">
        <f t="shared" si="3"/>
        <v/>
      </c>
      <c r="H155" s="155"/>
      <c r="I155" s="144"/>
      <c r="J155" s="319"/>
    </row>
    <row r="156" spans="2:10" outlineLevel="1">
      <c r="B156" s="122"/>
      <c r="C156" s="144"/>
      <c r="D156" s="145"/>
      <c r="E156" s="144"/>
      <c r="F156" s="144">
        <v>0</v>
      </c>
      <c r="G156" s="161" t="str">
        <f t="shared" si="3"/>
        <v/>
      </c>
      <c r="H156" s="155"/>
      <c r="I156" s="144"/>
      <c r="J156" s="319"/>
    </row>
    <row r="157" spans="2:10" outlineLevel="1">
      <c r="B157" s="122"/>
      <c r="C157" s="144"/>
      <c r="D157" s="145"/>
      <c r="E157" s="144"/>
      <c r="F157" s="144">
        <v>0</v>
      </c>
      <c r="G157" s="161" t="str">
        <f t="shared" si="3"/>
        <v/>
      </c>
      <c r="H157" s="155"/>
      <c r="I157" s="144"/>
      <c r="J157" s="319"/>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6">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3"/>
      <c r="C182" s="234"/>
      <c r="D182" s="235"/>
      <c r="E182" s="234"/>
      <c r="F182" s="144"/>
      <c r="G182" s="161" t="str">
        <f>LEFT(B182,8)</f>
        <v/>
      </c>
      <c r="H182" s="132"/>
    </row>
    <row r="183" spans="2:9">
      <c r="B183" s="122"/>
      <c r="C183" s="144"/>
      <c r="D183" s="145"/>
      <c r="E183" s="144"/>
      <c r="F183" s="144"/>
      <c r="G183" s="161"/>
      <c r="H183" s="132" t="s">
        <v>710</v>
      </c>
    </row>
    <row r="184" spans="2:9">
      <c r="B184" s="122"/>
      <c r="C184" s="144"/>
      <c r="D184" s="145"/>
      <c r="E184" s="144"/>
      <c r="F184" s="144"/>
      <c r="G184" s="161"/>
      <c r="H184" s="132"/>
    </row>
    <row r="185" spans="2:9">
      <c r="B185" s="146" t="s">
        <v>711</v>
      </c>
      <c r="C185" s="147">
        <f>SUM(C14:C184)</f>
        <v>-16292452.329999996</v>
      </c>
      <c r="D185" s="148">
        <v>0</v>
      </c>
      <c r="E185" s="147">
        <f>SUM(E14:E184)</f>
        <v>-16292452.329999996</v>
      </c>
      <c r="F185" s="147">
        <v>0</v>
      </c>
      <c r="G185" s="161"/>
      <c r="H185" s="132"/>
      <c r="I185" s="319">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row>
    <row r="2" spans="2:10">
      <c r="B2" s="241" t="s">
        <v>964</v>
      </c>
    </row>
    <row r="3" spans="2:10">
      <c r="B3" s="241" t="s">
        <v>701</v>
      </c>
      <c r="J3" s="308">
        <v>101500</v>
      </c>
    </row>
    <row r="4" spans="2:10">
      <c r="B4" s="241" t="s">
        <v>816</v>
      </c>
    </row>
    <row r="5" spans="2:10">
      <c r="B5" s="241" t="s">
        <v>702</v>
      </c>
    </row>
    <row r="6" spans="2:10">
      <c r="B6" s="241" t="s">
        <v>716</v>
      </c>
    </row>
    <row r="7" spans="2:10">
      <c r="B7" s="241" t="s">
        <v>703</v>
      </c>
    </row>
    <row r="8" spans="2:10">
      <c r="B8" s="241" t="s">
        <v>965</v>
      </c>
      <c r="C8">
        <v>11</v>
      </c>
    </row>
    <row r="9" spans="2:10">
      <c r="B9" s="241" t="s">
        <v>704</v>
      </c>
    </row>
    <row r="10" spans="2:10">
      <c r="B10" s="241" t="s">
        <v>705</v>
      </c>
    </row>
    <row r="11" spans="2:10">
      <c r="B11" s="241" t="s">
        <v>817</v>
      </c>
    </row>
    <row r="12" spans="2:10">
      <c r="B12" s="241"/>
    </row>
    <row r="13" spans="2:10">
      <c r="I13" t="s">
        <v>968</v>
      </c>
    </row>
    <row r="14" spans="2:10" ht="15">
      <c r="B14" s="247" t="s">
        <v>706</v>
      </c>
      <c r="C14" s="248" t="s">
        <v>707</v>
      </c>
      <c r="D14" s="248" t="s">
        <v>708</v>
      </c>
      <c r="E14" s="248" t="s">
        <v>709</v>
      </c>
      <c r="F14" s="144">
        <v>0</v>
      </c>
      <c r="G14" s="161" t="str">
        <f t="shared" ref="G14" si="0">LEFT(B14,8)</f>
        <v>Cost Cen</v>
      </c>
    </row>
    <row r="15" spans="2:10" outlineLevel="1">
      <c r="B15" s="122" t="s">
        <v>818</v>
      </c>
      <c r="C15" s="144">
        <v>-1611657.95</v>
      </c>
      <c r="D15" s="145">
        <v>0</v>
      </c>
      <c r="E15" s="144">
        <v>-1611657.95</v>
      </c>
      <c r="F15" s="144">
        <v>0</v>
      </c>
      <c r="G15" s="161" t="str">
        <f t="shared" ref="G15:G46" si="1">LEFT(B15,8)</f>
        <v xml:space="preserve">  101520</v>
      </c>
      <c r="H15" s="155">
        <v>101520</v>
      </c>
      <c r="I15" s="308">
        <v>101520</v>
      </c>
    </row>
    <row r="16" spans="2:10" outlineLevel="1">
      <c r="B16" s="122" t="s">
        <v>819</v>
      </c>
      <c r="C16" s="144">
        <v>-3337008.37</v>
      </c>
      <c r="D16" s="145">
        <v>0</v>
      </c>
      <c r="E16" s="144">
        <v>-3337008.37</v>
      </c>
      <c r="F16" s="144">
        <v>0</v>
      </c>
      <c r="G16" s="161" t="str">
        <f t="shared" si="1"/>
        <v xml:space="preserve">  107125</v>
      </c>
      <c r="H16" s="155">
        <v>107125</v>
      </c>
      <c r="I16" s="308">
        <v>107125</v>
      </c>
    </row>
    <row r="17" spans="2:9" outlineLevel="1">
      <c r="B17" s="122" t="s">
        <v>820</v>
      </c>
      <c r="C17" s="144">
        <v>20775.98</v>
      </c>
      <c r="D17" s="145">
        <v>0</v>
      </c>
      <c r="E17" s="144">
        <v>20775.98</v>
      </c>
      <c r="F17" s="144">
        <v>0</v>
      </c>
      <c r="G17" s="161" t="str">
        <f t="shared" si="1"/>
        <v xml:space="preserve">  107127</v>
      </c>
      <c r="H17" s="155">
        <v>107127</v>
      </c>
      <c r="I17" s="307">
        <v>107127</v>
      </c>
    </row>
    <row r="18" spans="2:9" outlineLevel="1">
      <c r="B18" s="122" t="s">
        <v>821</v>
      </c>
      <c r="C18" s="144">
        <v>-325460.44</v>
      </c>
      <c r="D18" s="145">
        <v>0</v>
      </c>
      <c r="E18" s="144">
        <v>-325460.44</v>
      </c>
      <c r="F18" s="144">
        <v>0</v>
      </c>
      <c r="G18" s="161" t="str">
        <f t="shared" si="1"/>
        <v xml:space="preserve">  107139</v>
      </c>
      <c r="H18" s="155">
        <v>107139</v>
      </c>
      <c r="I18" s="308">
        <v>107139</v>
      </c>
    </row>
    <row r="19" spans="2:9" outlineLevel="1">
      <c r="B19" s="122" t="s">
        <v>822</v>
      </c>
      <c r="C19" s="144">
        <v>-599474.88</v>
      </c>
      <c r="D19" s="145">
        <v>0</v>
      </c>
      <c r="E19" s="144">
        <v>-599474.88</v>
      </c>
      <c r="F19" s="144">
        <v>0</v>
      </c>
      <c r="G19" s="161" t="str">
        <f t="shared" si="1"/>
        <v xml:space="preserve">  107145</v>
      </c>
      <c r="H19" s="155">
        <v>107145</v>
      </c>
      <c r="I19" s="308">
        <v>107145</v>
      </c>
    </row>
    <row r="20" spans="2:9" outlineLevel="1">
      <c r="B20" s="122" t="s">
        <v>823</v>
      </c>
      <c r="C20" s="145">
        <v>0</v>
      </c>
      <c r="D20" s="145">
        <v>0</v>
      </c>
      <c r="E20" s="144">
        <v>0</v>
      </c>
      <c r="F20" s="144">
        <v>0</v>
      </c>
      <c r="G20" s="161" t="str">
        <f t="shared" si="1"/>
        <v xml:space="preserve">  107526</v>
      </c>
      <c r="H20" s="155">
        <v>107526</v>
      </c>
      <c r="I20" s="308"/>
    </row>
    <row r="21" spans="2:9" outlineLevel="1">
      <c r="B21" s="122" t="s">
        <v>824</v>
      </c>
      <c r="C21" s="144">
        <v>-456562.98</v>
      </c>
      <c r="D21" s="145">
        <v>0</v>
      </c>
      <c r="E21" s="144">
        <v>-456562.98</v>
      </c>
      <c r="F21" s="144">
        <v>0</v>
      </c>
      <c r="G21" s="161" t="str">
        <f t="shared" si="1"/>
        <v xml:space="preserve">  107529</v>
      </c>
      <c r="H21" s="155">
        <v>107529</v>
      </c>
      <c r="I21" s="307">
        <v>107529</v>
      </c>
    </row>
    <row r="22" spans="2:9" outlineLevel="1">
      <c r="B22" s="122" t="s">
        <v>825</v>
      </c>
      <c r="C22" s="144">
        <v>-136170.66</v>
      </c>
      <c r="D22" s="145">
        <v>0</v>
      </c>
      <c r="E22" s="144">
        <v>-136170.66</v>
      </c>
      <c r="F22" s="144">
        <v>0</v>
      </c>
      <c r="G22" s="161" t="str">
        <f t="shared" si="1"/>
        <v xml:space="preserve">  107531</v>
      </c>
      <c r="H22" s="155">
        <v>107531</v>
      </c>
      <c r="I22" s="307">
        <v>107531</v>
      </c>
    </row>
    <row r="23" spans="2:9" outlineLevel="1">
      <c r="B23" s="122" t="s">
        <v>826</v>
      </c>
      <c r="C23" s="144">
        <v>-199879.41</v>
      </c>
      <c r="D23" s="145">
        <v>0</v>
      </c>
      <c r="E23" s="144">
        <v>-199879.41</v>
      </c>
      <c r="F23" s="144">
        <v>0</v>
      </c>
      <c r="G23" s="161" t="str">
        <f t="shared" si="1"/>
        <v xml:space="preserve">  107534</v>
      </c>
      <c r="H23" s="155">
        <v>107534</v>
      </c>
      <c r="I23" s="307">
        <v>107534</v>
      </c>
    </row>
    <row r="24" spans="2:9" outlineLevel="1">
      <c r="B24" s="122" t="s">
        <v>827</v>
      </c>
      <c r="C24" s="144">
        <v>-139466.66</v>
      </c>
      <c r="D24" s="145">
        <v>0</v>
      </c>
      <c r="E24" s="144">
        <v>-139466.66</v>
      </c>
      <c r="F24" s="144">
        <v>0</v>
      </c>
      <c r="G24" s="161" t="str">
        <f t="shared" si="1"/>
        <v xml:space="preserve">  107535</v>
      </c>
      <c r="H24" s="155">
        <v>107535</v>
      </c>
      <c r="I24" s="308">
        <v>107535</v>
      </c>
    </row>
    <row r="25" spans="2:9" outlineLevel="1">
      <c r="B25" s="122" t="s">
        <v>966</v>
      </c>
      <c r="C25" s="144">
        <v>-174673.41</v>
      </c>
      <c r="D25" s="145">
        <v>0</v>
      </c>
      <c r="E25" s="144">
        <v>-174673.41</v>
      </c>
      <c r="F25" s="144">
        <v>0</v>
      </c>
      <c r="G25" s="161" t="str">
        <f t="shared" si="1"/>
        <v xml:space="preserve">  107546</v>
      </c>
      <c r="H25" s="155">
        <v>107546</v>
      </c>
      <c r="I25" s="308">
        <v>107546</v>
      </c>
    </row>
    <row r="26" spans="2:9" outlineLevel="1">
      <c r="B26" s="122" t="s">
        <v>828</v>
      </c>
      <c r="C26" s="144">
        <v>-791547.91</v>
      </c>
      <c r="D26" s="145">
        <v>0</v>
      </c>
      <c r="E26" s="144">
        <v>-791547.91</v>
      </c>
      <c r="F26" s="144">
        <v>0</v>
      </c>
      <c r="G26" s="161" t="str">
        <f t="shared" si="1"/>
        <v xml:space="preserve">  107547</v>
      </c>
      <c r="H26" s="155">
        <v>107547</v>
      </c>
      <c r="I26" s="308">
        <v>107547</v>
      </c>
    </row>
    <row r="27" spans="2:9" outlineLevel="1">
      <c r="B27" s="122" t="s">
        <v>829</v>
      </c>
      <c r="C27" s="144">
        <v>-223626.14</v>
      </c>
      <c r="D27" s="145">
        <v>0</v>
      </c>
      <c r="E27" s="144">
        <v>-223626.14</v>
      </c>
      <c r="F27" s="144">
        <v>0</v>
      </c>
      <c r="G27" s="161" t="str">
        <f t="shared" si="1"/>
        <v xml:space="preserve">  107551</v>
      </c>
      <c r="H27" s="155">
        <v>107551</v>
      </c>
      <c r="I27" s="308">
        <v>107551</v>
      </c>
    </row>
    <row r="28" spans="2:9" outlineLevel="1">
      <c r="B28" s="122" t="s">
        <v>830</v>
      </c>
      <c r="C28" s="144">
        <v>-204016.2</v>
      </c>
      <c r="D28" s="145">
        <v>0</v>
      </c>
      <c r="E28" s="144">
        <v>-204016.2</v>
      </c>
      <c r="F28" s="144">
        <v>0</v>
      </c>
      <c r="G28" s="161" t="str">
        <f t="shared" si="1"/>
        <v xml:space="preserve">  107553</v>
      </c>
      <c r="H28" s="155">
        <v>107553</v>
      </c>
      <c r="I28" s="307">
        <v>107553</v>
      </c>
    </row>
    <row r="29" spans="2:9" outlineLevel="1">
      <c r="B29" s="122" t="s">
        <v>831</v>
      </c>
      <c r="C29" s="144">
        <v>-138777.64000000001</v>
      </c>
      <c r="D29" s="145">
        <v>0</v>
      </c>
      <c r="E29" s="144">
        <v>-138777.64000000001</v>
      </c>
      <c r="F29" s="144">
        <v>0</v>
      </c>
      <c r="G29" s="161" t="str">
        <f t="shared" si="1"/>
        <v xml:space="preserve">  107558</v>
      </c>
      <c r="H29" s="155">
        <v>107558</v>
      </c>
      <c r="I29" s="308">
        <v>107558</v>
      </c>
    </row>
    <row r="30" spans="2:9" outlineLevel="1">
      <c r="B30" s="122" t="s">
        <v>832</v>
      </c>
      <c r="C30" s="144">
        <v>-329658.90999999997</v>
      </c>
      <c r="D30" s="145">
        <v>0</v>
      </c>
      <c r="E30" s="144">
        <v>-329658.90999999997</v>
      </c>
      <c r="F30" s="144">
        <v>0</v>
      </c>
      <c r="G30" s="161" t="str">
        <f t="shared" si="1"/>
        <v xml:space="preserve">  107559</v>
      </c>
      <c r="H30" s="155">
        <v>107559</v>
      </c>
      <c r="I30" s="307">
        <v>107559</v>
      </c>
    </row>
    <row r="31" spans="2:9" outlineLevel="1">
      <c r="B31" s="122" t="s">
        <v>833</v>
      </c>
      <c r="C31" s="144">
        <v>-105672.72</v>
      </c>
      <c r="D31" s="145">
        <v>0</v>
      </c>
      <c r="E31" s="144">
        <v>-105672.72</v>
      </c>
      <c r="F31" s="144">
        <v>0</v>
      </c>
      <c r="G31" s="161" t="str">
        <f t="shared" si="1"/>
        <v xml:space="preserve">  107567</v>
      </c>
      <c r="H31" s="155">
        <v>107567</v>
      </c>
      <c r="I31" s="308">
        <v>107567</v>
      </c>
    </row>
    <row r="32" spans="2:9" outlineLevel="1">
      <c r="B32" s="122" t="s">
        <v>834</v>
      </c>
      <c r="C32" s="144">
        <v>-347107.8</v>
      </c>
      <c r="D32" s="145">
        <v>0</v>
      </c>
      <c r="E32" s="144">
        <v>-347107.8</v>
      </c>
      <c r="F32" s="144">
        <v>0</v>
      </c>
      <c r="G32" s="161" t="str">
        <f t="shared" si="1"/>
        <v xml:space="preserve">  107569</v>
      </c>
      <c r="H32" s="155">
        <v>107569</v>
      </c>
      <c r="I32" s="308">
        <v>107569</v>
      </c>
    </row>
    <row r="33" spans="2:9" outlineLevel="1">
      <c r="B33" s="122" t="s">
        <v>835</v>
      </c>
      <c r="C33" s="144">
        <v>-166446.43</v>
      </c>
      <c r="D33" s="145">
        <v>0</v>
      </c>
      <c r="E33" s="144">
        <v>-166446.43</v>
      </c>
      <c r="F33" s="144">
        <v>0</v>
      </c>
      <c r="G33" s="161" t="str">
        <f t="shared" si="1"/>
        <v xml:space="preserve">  107578</v>
      </c>
      <c r="H33" s="155">
        <v>107578</v>
      </c>
      <c r="I33" s="307">
        <v>107578</v>
      </c>
    </row>
    <row r="34" spans="2:9" outlineLevel="1">
      <c r="B34" s="122" t="s">
        <v>836</v>
      </c>
      <c r="C34" s="144">
        <v>-459260.43</v>
      </c>
      <c r="D34" s="145">
        <v>0</v>
      </c>
      <c r="E34" s="144">
        <v>-459260.43</v>
      </c>
      <c r="F34" s="144">
        <v>0</v>
      </c>
      <c r="G34" s="161" t="str">
        <f t="shared" si="1"/>
        <v xml:space="preserve">  107579</v>
      </c>
      <c r="H34" s="155">
        <v>107579</v>
      </c>
      <c r="I34" s="308">
        <v>107579</v>
      </c>
    </row>
    <row r="35" spans="2:9" outlineLevel="1">
      <c r="B35" s="122" t="s">
        <v>837</v>
      </c>
      <c r="C35" s="144">
        <v>-318408.27</v>
      </c>
      <c r="D35" s="145">
        <v>0</v>
      </c>
      <c r="E35" s="144">
        <v>-318408.27</v>
      </c>
      <c r="F35" s="144">
        <v>0</v>
      </c>
      <c r="G35" s="161" t="str">
        <f t="shared" si="1"/>
        <v xml:space="preserve">  107580</v>
      </c>
      <c r="H35" s="155">
        <v>107580</v>
      </c>
      <c r="I35" s="308">
        <v>107580</v>
      </c>
    </row>
    <row r="36" spans="2:9" outlineLevel="1">
      <c r="B36" s="122" t="s">
        <v>838</v>
      </c>
      <c r="C36" s="144">
        <v>-223967.66</v>
      </c>
      <c r="D36" s="145">
        <v>0</v>
      </c>
      <c r="E36" s="144">
        <v>-223967.66</v>
      </c>
      <c r="F36" s="144">
        <v>0</v>
      </c>
      <c r="G36" s="161" t="str">
        <f t="shared" si="1"/>
        <v xml:space="preserve">  107582</v>
      </c>
      <c r="H36" s="155">
        <v>107582</v>
      </c>
      <c r="I36" s="307">
        <v>107582</v>
      </c>
    </row>
    <row r="37" spans="2:9" outlineLevel="1">
      <c r="B37" s="122" t="s">
        <v>839</v>
      </c>
      <c r="C37" s="144">
        <v>-177974.24</v>
      </c>
      <c r="D37" s="145">
        <v>0</v>
      </c>
      <c r="E37" s="144">
        <v>-177974.24</v>
      </c>
      <c r="F37" s="144">
        <v>0</v>
      </c>
      <c r="G37" s="161" t="str">
        <f t="shared" si="1"/>
        <v xml:space="preserve">  107583</v>
      </c>
      <c r="H37" s="155">
        <v>107583</v>
      </c>
      <c r="I37" s="308">
        <v>107583</v>
      </c>
    </row>
    <row r="38" spans="2:9" outlineLevel="1">
      <c r="B38" s="122" t="s">
        <v>840</v>
      </c>
      <c r="C38" s="144">
        <v>-526571.75</v>
      </c>
      <c r="D38" s="145">
        <v>0</v>
      </c>
      <c r="E38" s="144">
        <v>-526571.75</v>
      </c>
      <c r="F38" s="144">
        <v>0</v>
      </c>
      <c r="G38" s="161" t="str">
        <f t="shared" si="1"/>
        <v xml:space="preserve">  107585</v>
      </c>
      <c r="H38" s="155">
        <v>107585</v>
      </c>
      <c r="I38" s="307">
        <v>107585</v>
      </c>
    </row>
    <row r="39" spans="2:9" outlineLevel="1">
      <c r="B39" s="122" t="s">
        <v>841</v>
      </c>
      <c r="C39" s="144">
        <v>-125659.34</v>
      </c>
      <c r="D39" s="145">
        <v>0</v>
      </c>
      <c r="E39" s="144">
        <v>-125659.34</v>
      </c>
      <c r="F39" s="144">
        <v>0</v>
      </c>
      <c r="G39" s="161" t="str">
        <f t="shared" si="1"/>
        <v xml:space="preserve">  107586</v>
      </c>
      <c r="H39" s="155">
        <v>107586</v>
      </c>
      <c r="I39" s="307">
        <v>107586</v>
      </c>
    </row>
    <row r="40" spans="2:9" outlineLevel="1">
      <c r="B40" s="122" t="s">
        <v>842</v>
      </c>
      <c r="C40" s="144">
        <v>-96200.88</v>
      </c>
      <c r="D40" s="145">
        <v>0</v>
      </c>
      <c r="E40" s="144">
        <v>-96200.88</v>
      </c>
      <c r="F40" s="144">
        <v>0</v>
      </c>
      <c r="G40" s="161" t="str">
        <f t="shared" si="1"/>
        <v xml:space="preserve">  107592</v>
      </c>
      <c r="H40" s="155">
        <v>107592</v>
      </c>
      <c r="I40" s="308">
        <v>107592</v>
      </c>
    </row>
    <row r="41" spans="2:9" outlineLevel="1">
      <c r="B41" s="122" t="s">
        <v>843</v>
      </c>
      <c r="C41" s="144">
        <v>-180490.55</v>
      </c>
      <c r="D41" s="145">
        <v>0</v>
      </c>
      <c r="E41" s="144">
        <v>-180490.55</v>
      </c>
      <c r="F41" s="144">
        <v>0</v>
      </c>
      <c r="G41" s="161" t="str">
        <f t="shared" si="1"/>
        <v xml:space="preserve">  107593</v>
      </c>
      <c r="H41" s="155">
        <v>107593</v>
      </c>
      <c r="I41" s="308">
        <v>107593</v>
      </c>
    </row>
    <row r="42" spans="2:9" outlineLevel="1">
      <c r="B42" s="122" t="s">
        <v>844</v>
      </c>
      <c r="C42" s="145">
        <v>0</v>
      </c>
      <c r="D42" s="145">
        <v>0</v>
      </c>
      <c r="E42" s="144">
        <v>0</v>
      </c>
      <c r="F42" s="144">
        <v>0</v>
      </c>
      <c r="G42" s="161" t="str">
        <f t="shared" si="1"/>
        <v xml:space="preserve">  107596</v>
      </c>
      <c r="H42" s="155">
        <v>107596</v>
      </c>
      <c r="I42" s="308"/>
    </row>
    <row r="43" spans="2:9" outlineLevel="1">
      <c r="B43" s="122" t="s">
        <v>845</v>
      </c>
      <c r="C43" s="144">
        <v>-407644.76</v>
      </c>
      <c r="D43" s="145">
        <v>0</v>
      </c>
      <c r="E43" s="144">
        <v>-407644.76</v>
      </c>
      <c r="F43" s="144">
        <v>0</v>
      </c>
      <c r="G43" s="161" t="str">
        <f t="shared" si="1"/>
        <v xml:space="preserve">  107598</v>
      </c>
      <c r="H43" s="155">
        <v>107598</v>
      </c>
      <c r="I43" s="308">
        <v>107598</v>
      </c>
    </row>
    <row r="44" spans="2:9" outlineLevel="1">
      <c r="B44" s="122" t="s">
        <v>846</v>
      </c>
      <c r="C44" s="144">
        <v>-539061.93000000005</v>
      </c>
      <c r="D44" s="145">
        <v>0</v>
      </c>
      <c r="E44" s="144">
        <v>-539061.93000000005</v>
      </c>
      <c r="F44" s="144">
        <v>0</v>
      </c>
      <c r="G44" s="161" t="str">
        <f t="shared" si="1"/>
        <v xml:space="preserve">  107603</v>
      </c>
      <c r="H44" s="155">
        <v>107603</v>
      </c>
      <c r="I44" s="307">
        <v>107603</v>
      </c>
    </row>
    <row r="45" spans="2:9" outlineLevel="1">
      <c r="B45" s="122" t="s">
        <v>847</v>
      </c>
      <c r="C45" s="144">
        <v>-108359.59</v>
      </c>
      <c r="D45" s="145">
        <v>0</v>
      </c>
      <c r="E45" s="144">
        <v>-108359.59</v>
      </c>
      <c r="F45" s="144">
        <v>0</v>
      </c>
      <c r="G45" s="161" t="str">
        <f t="shared" si="1"/>
        <v xml:space="preserve">  107605</v>
      </c>
      <c r="H45" s="155">
        <v>107605</v>
      </c>
      <c r="I45" s="308">
        <v>107605</v>
      </c>
    </row>
    <row r="46" spans="2:9" outlineLevel="1">
      <c r="B46" s="122" t="s">
        <v>848</v>
      </c>
      <c r="C46" s="144">
        <v>-191519.75</v>
      </c>
      <c r="D46" s="145">
        <v>0</v>
      </c>
      <c r="E46" s="144">
        <v>-191519.75</v>
      </c>
      <c r="F46" s="144">
        <v>0</v>
      </c>
      <c r="G46" s="161" t="str">
        <f t="shared" si="1"/>
        <v xml:space="preserve">  107609</v>
      </c>
      <c r="H46" s="155">
        <v>107609</v>
      </c>
      <c r="I46" s="307">
        <v>107609</v>
      </c>
    </row>
    <row r="47" spans="2:9" outlineLevel="1">
      <c r="B47" s="122" t="s">
        <v>849</v>
      </c>
      <c r="C47" s="144">
        <v>-159149.91</v>
      </c>
      <c r="D47" s="145">
        <v>0</v>
      </c>
      <c r="E47" s="144">
        <v>-159149.91</v>
      </c>
      <c r="F47" s="144">
        <v>0</v>
      </c>
      <c r="G47" s="161" t="str">
        <f t="shared" ref="G47:G78" si="2">LEFT(B47,8)</f>
        <v xml:space="preserve">  107610</v>
      </c>
      <c r="H47" s="155">
        <v>107610</v>
      </c>
      <c r="I47" s="307">
        <v>107610</v>
      </c>
    </row>
    <row r="48" spans="2:9" outlineLevel="1">
      <c r="B48" s="122" t="s">
        <v>850</v>
      </c>
      <c r="C48" s="144">
        <v>-191952.42</v>
      </c>
      <c r="D48" s="145">
        <v>0</v>
      </c>
      <c r="E48" s="144">
        <v>-191952.42</v>
      </c>
      <c r="F48" s="144">
        <v>0</v>
      </c>
      <c r="G48" s="161" t="str">
        <f t="shared" si="2"/>
        <v xml:space="preserve">  107616</v>
      </c>
      <c r="H48" s="155">
        <v>107616</v>
      </c>
      <c r="I48" s="308">
        <v>107610</v>
      </c>
    </row>
    <row r="49" spans="2:9" outlineLevel="1">
      <c r="B49" s="122" t="s">
        <v>851</v>
      </c>
      <c r="C49" s="144">
        <v>-222186.33</v>
      </c>
      <c r="D49" s="145">
        <v>0</v>
      </c>
      <c r="E49" s="144">
        <v>-222186.33</v>
      </c>
      <c r="F49" s="144">
        <v>0</v>
      </c>
      <c r="G49" s="161" t="str">
        <f t="shared" si="2"/>
        <v xml:space="preserve">  107619</v>
      </c>
      <c r="H49" s="155">
        <v>107619</v>
      </c>
      <c r="I49" s="308">
        <v>107616</v>
      </c>
    </row>
    <row r="50" spans="2:9" outlineLevel="1">
      <c r="B50" s="122" t="s">
        <v>852</v>
      </c>
      <c r="C50" s="144">
        <v>-129667.45</v>
      </c>
      <c r="D50" s="145">
        <v>0</v>
      </c>
      <c r="E50" s="144">
        <v>-129667.45</v>
      </c>
      <c r="F50" s="144">
        <v>0</v>
      </c>
      <c r="G50" s="161" t="str">
        <f t="shared" si="2"/>
        <v xml:space="preserve">  107620</v>
      </c>
      <c r="H50" s="155">
        <v>107620</v>
      </c>
      <c r="I50" s="307">
        <v>107619</v>
      </c>
    </row>
    <row r="51" spans="2:9" outlineLevel="1">
      <c r="B51" s="122" t="s">
        <v>853</v>
      </c>
      <c r="C51" s="144">
        <v>-40368.720000000001</v>
      </c>
      <c r="D51" s="145">
        <v>0</v>
      </c>
      <c r="E51" s="144">
        <v>-40368.720000000001</v>
      </c>
      <c r="F51" s="144">
        <v>0</v>
      </c>
      <c r="G51" s="161" t="str">
        <f t="shared" si="2"/>
        <v xml:space="preserve">  107622</v>
      </c>
      <c r="H51" s="155">
        <v>107622</v>
      </c>
      <c r="I51" s="307">
        <v>107620</v>
      </c>
    </row>
    <row r="52" spans="2:9" outlineLevel="1">
      <c r="B52" s="122" t="s">
        <v>854</v>
      </c>
      <c r="C52" s="144">
        <v>-245234.77</v>
      </c>
      <c r="D52" s="145">
        <v>0</v>
      </c>
      <c r="E52" s="144">
        <v>-245234.77</v>
      </c>
      <c r="F52" s="144">
        <v>0</v>
      </c>
      <c r="G52" s="161" t="str">
        <f t="shared" si="2"/>
        <v xml:space="preserve">  107633</v>
      </c>
      <c r="H52" s="155">
        <v>107633</v>
      </c>
      <c r="I52" s="308">
        <v>107633</v>
      </c>
    </row>
    <row r="53" spans="2:9" outlineLevel="1">
      <c r="B53" s="122" t="s">
        <v>855</v>
      </c>
      <c r="C53" s="144">
        <v>-239765.37</v>
      </c>
      <c r="D53" s="145">
        <v>0</v>
      </c>
      <c r="E53" s="144">
        <v>-239765.37</v>
      </c>
      <c r="F53" s="144">
        <v>0</v>
      </c>
      <c r="G53" s="161" t="str">
        <f t="shared" si="2"/>
        <v xml:space="preserve">  107635</v>
      </c>
      <c r="H53" s="155">
        <v>107635</v>
      </c>
      <c r="I53" s="307">
        <v>107635</v>
      </c>
    </row>
    <row r="54" spans="2:9" outlineLevel="1">
      <c r="B54" s="122" t="s">
        <v>856</v>
      </c>
      <c r="C54" s="144">
        <v>-246573.32</v>
      </c>
      <c r="D54" s="145">
        <v>0</v>
      </c>
      <c r="E54" s="144">
        <v>-246573.32</v>
      </c>
      <c r="F54" s="144">
        <v>0</v>
      </c>
      <c r="G54" s="161" t="str">
        <f t="shared" si="2"/>
        <v xml:space="preserve">  107640</v>
      </c>
      <c r="H54" s="155">
        <v>107640</v>
      </c>
      <c r="I54" s="308">
        <v>107640</v>
      </c>
    </row>
    <row r="55" spans="2:9" outlineLevel="1">
      <c r="B55" s="122" t="s">
        <v>857</v>
      </c>
      <c r="C55" s="144">
        <v>-538426.91</v>
      </c>
      <c r="D55" s="145">
        <v>0</v>
      </c>
      <c r="E55" s="144">
        <v>-538426.91</v>
      </c>
      <c r="F55" s="144">
        <v>0</v>
      </c>
      <c r="G55" s="161" t="str">
        <f t="shared" si="2"/>
        <v xml:space="preserve">  107656</v>
      </c>
      <c r="H55" s="155">
        <v>107656</v>
      </c>
      <c r="I55" s="307">
        <v>107656</v>
      </c>
    </row>
    <row r="56" spans="2:9" outlineLevel="1">
      <c r="B56" s="122" t="s">
        <v>858</v>
      </c>
      <c r="C56" s="144">
        <v>-363020.6</v>
      </c>
      <c r="D56" s="145">
        <v>0</v>
      </c>
      <c r="E56" s="144">
        <v>-363020.6</v>
      </c>
      <c r="F56" s="144">
        <v>0</v>
      </c>
      <c r="G56" s="161" t="str">
        <f t="shared" si="2"/>
        <v xml:space="preserve">  107657</v>
      </c>
      <c r="H56" s="155">
        <v>107657</v>
      </c>
      <c r="I56" s="307">
        <v>107657</v>
      </c>
    </row>
    <row r="57" spans="2:9" outlineLevel="1">
      <c r="B57" s="122" t="s">
        <v>859</v>
      </c>
      <c r="C57" s="144">
        <v>-348337.74</v>
      </c>
      <c r="D57" s="145">
        <v>0</v>
      </c>
      <c r="E57" s="144">
        <v>-348337.74</v>
      </c>
      <c r="F57" s="144">
        <v>0</v>
      </c>
      <c r="G57" s="161" t="str">
        <f t="shared" si="2"/>
        <v xml:space="preserve">  107665</v>
      </c>
      <c r="H57" s="155">
        <v>107665</v>
      </c>
      <c r="I57" s="307">
        <v>107665</v>
      </c>
    </row>
    <row r="58" spans="2:9" outlineLevel="1">
      <c r="B58" s="122" t="s">
        <v>860</v>
      </c>
      <c r="C58" s="144">
        <v>-185622.53</v>
      </c>
      <c r="D58" s="145">
        <v>0</v>
      </c>
      <c r="E58" s="144">
        <v>-185622.53</v>
      </c>
      <c r="F58" s="144">
        <v>0</v>
      </c>
      <c r="G58" s="161" t="str">
        <f t="shared" si="2"/>
        <v xml:space="preserve">  107667</v>
      </c>
      <c r="H58" s="155">
        <v>107667</v>
      </c>
      <c r="I58" s="307">
        <v>107667</v>
      </c>
    </row>
    <row r="59" spans="2:9" outlineLevel="1">
      <c r="B59" s="122" t="s">
        <v>861</v>
      </c>
      <c r="C59" s="144">
        <v>9706.89</v>
      </c>
      <c r="D59" s="145">
        <v>0</v>
      </c>
      <c r="E59" s="144">
        <v>9706.89</v>
      </c>
      <c r="F59" s="144">
        <v>0</v>
      </c>
      <c r="G59" s="161" t="str">
        <f t="shared" si="2"/>
        <v xml:space="preserve">  107671</v>
      </c>
      <c r="H59" s="155">
        <v>107671</v>
      </c>
      <c r="I59" s="307">
        <v>107671</v>
      </c>
    </row>
    <row r="60" spans="2:9" outlineLevel="1">
      <c r="B60" s="122" t="s">
        <v>862</v>
      </c>
      <c r="C60" s="144">
        <v>-178482.17</v>
      </c>
      <c r="D60" s="145">
        <v>0</v>
      </c>
      <c r="E60" s="144">
        <v>-178482.17</v>
      </c>
      <c r="F60" s="144">
        <v>0</v>
      </c>
      <c r="G60" s="161" t="str">
        <f t="shared" si="2"/>
        <v xml:space="preserve">  107672</v>
      </c>
      <c r="H60" s="155">
        <v>107672</v>
      </c>
      <c r="I60" s="308">
        <v>107672</v>
      </c>
    </row>
    <row r="61" spans="2:9" outlineLevel="1">
      <c r="B61" s="122" t="s">
        <v>863</v>
      </c>
      <c r="C61" s="144">
        <v>-247898.94</v>
      </c>
      <c r="D61" s="145">
        <v>0</v>
      </c>
      <c r="E61" s="144">
        <v>-247898.94</v>
      </c>
      <c r="F61" s="144">
        <v>0</v>
      </c>
      <c r="G61" s="161" t="str">
        <f t="shared" si="2"/>
        <v xml:space="preserve">  107677</v>
      </c>
      <c r="H61" s="155">
        <v>107677</v>
      </c>
      <c r="I61" s="307">
        <v>107677</v>
      </c>
    </row>
    <row r="62" spans="2:9" outlineLevel="1">
      <c r="B62" s="122" t="s">
        <v>864</v>
      </c>
      <c r="C62" s="144">
        <v>-490304.4</v>
      </c>
      <c r="D62" s="145">
        <v>0</v>
      </c>
      <c r="E62" s="144">
        <v>-490304.4</v>
      </c>
      <c r="F62" s="144">
        <v>0</v>
      </c>
      <c r="G62" s="161" t="str">
        <f t="shared" si="2"/>
        <v xml:space="preserve">  107678</v>
      </c>
      <c r="H62" s="155">
        <v>107678</v>
      </c>
      <c r="I62" s="307">
        <v>107678</v>
      </c>
    </row>
    <row r="63" spans="2:9" outlineLevel="1">
      <c r="B63" s="122" t="s">
        <v>865</v>
      </c>
      <c r="C63" s="144">
        <v>-227766.59</v>
      </c>
      <c r="D63" s="145">
        <v>0</v>
      </c>
      <c r="E63" s="144">
        <v>-227766.59</v>
      </c>
      <c r="F63" s="144">
        <v>0</v>
      </c>
      <c r="G63" s="161" t="str">
        <f t="shared" si="2"/>
        <v xml:space="preserve">  107682</v>
      </c>
      <c r="H63" s="155">
        <v>107682</v>
      </c>
      <c r="I63" s="307">
        <v>107682</v>
      </c>
    </row>
    <row r="64" spans="2:9" outlineLevel="1">
      <c r="B64" s="122" t="s">
        <v>866</v>
      </c>
      <c r="C64" s="144">
        <v>-409824.8</v>
      </c>
      <c r="D64" s="145">
        <v>0</v>
      </c>
      <c r="E64" s="144">
        <v>-409824.8</v>
      </c>
      <c r="F64" s="144">
        <v>0</v>
      </c>
      <c r="G64" s="161" t="str">
        <f t="shared" si="2"/>
        <v xml:space="preserve">  107683</v>
      </c>
      <c r="H64" s="155">
        <v>107683</v>
      </c>
      <c r="I64" s="308">
        <v>107683</v>
      </c>
    </row>
    <row r="65" spans="2:9" outlineLevel="1">
      <c r="B65" s="122" t="s">
        <v>867</v>
      </c>
      <c r="C65" s="144">
        <v>-291527.18</v>
      </c>
      <c r="D65" s="145">
        <v>0</v>
      </c>
      <c r="E65" s="144">
        <v>-291527.18</v>
      </c>
      <c r="F65" s="144">
        <v>0</v>
      </c>
      <c r="G65" s="161" t="str">
        <f t="shared" si="2"/>
        <v xml:space="preserve">  107686</v>
      </c>
      <c r="H65" s="155">
        <v>107686</v>
      </c>
      <c r="I65" s="308">
        <v>107686</v>
      </c>
    </row>
    <row r="66" spans="2:9" outlineLevel="1">
      <c r="B66" s="122" t="s">
        <v>868</v>
      </c>
      <c r="C66" s="144">
        <v>-210904.65</v>
      </c>
      <c r="D66" s="145">
        <v>0</v>
      </c>
      <c r="E66" s="144">
        <v>-210904.65</v>
      </c>
      <c r="F66" s="144">
        <v>0</v>
      </c>
      <c r="G66" s="161" t="str">
        <f t="shared" si="2"/>
        <v xml:space="preserve">  107691</v>
      </c>
      <c r="H66" s="155">
        <v>107691</v>
      </c>
      <c r="I66" s="308">
        <v>107691</v>
      </c>
    </row>
    <row r="67" spans="2:9" outlineLevel="1">
      <c r="B67" s="122" t="s">
        <v>869</v>
      </c>
      <c r="C67" s="144">
        <v>-439980.81</v>
      </c>
      <c r="D67" s="145">
        <v>0</v>
      </c>
      <c r="E67" s="144">
        <v>-439980.81</v>
      </c>
      <c r="F67" s="144">
        <v>0</v>
      </c>
      <c r="G67" s="161" t="str">
        <f t="shared" si="2"/>
        <v xml:space="preserve">  107693</v>
      </c>
      <c r="H67" s="155">
        <v>107693</v>
      </c>
      <c r="I67" s="308">
        <v>107693</v>
      </c>
    </row>
    <row r="68" spans="2:9" outlineLevel="1">
      <c r="B68" s="122" t="s">
        <v>870</v>
      </c>
      <c r="C68" s="144">
        <v>-136296.76</v>
      </c>
      <c r="D68" s="145">
        <v>0</v>
      </c>
      <c r="E68" s="144">
        <v>-136296.76</v>
      </c>
      <c r="F68" s="144">
        <v>0</v>
      </c>
      <c r="G68" s="161" t="str">
        <f t="shared" si="2"/>
        <v xml:space="preserve">  107694</v>
      </c>
      <c r="H68" s="155">
        <v>107694</v>
      </c>
      <c r="I68" s="308">
        <v>107694</v>
      </c>
    </row>
    <row r="69" spans="2:9" outlineLevel="1">
      <c r="B69" s="122" t="s">
        <v>871</v>
      </c>
      <c r="C69" s="144">
        <v>-142159.82999999999</v>
      </c>
      <c r="D69" s="145">
        <v>0</v>
      </c>
      <c r="E69" s="144">
        <v>-142159.82999999999</v>
      </c>
      <c r="F69" s="144">
        <v>0</v>
      </c>
      <c r="G69" s="161" t="str">
        <f t="shared" si="2"/>
        <v xml:space="preserve">  107695</v>
      </c>
      <c r="H69" s="155">
        <v>107695</v>
      </c>
      <c r="I69" s="308">
        <v>107695</v>
      </c>
    </row>
    <row r="70" spans="2:9" outlineLevel="1">
      <c r="B70" s="122" t="s">
        <v>872</v>
      </c>
      <c r="C70" s="145">
        <v>0</v>
      </c>
      <c r="D70" s="145">
        <v>0</v>
      </c>
      <c r="E70" s="144">
        <v>0</v>
      </c>
      <c r="F70" s="144">
        <v>0</v>
      </c>
      <c r="G70" s="161" t="str">
        <f t="shared" si="2"/>
        <v xml:space="preserve">  107702</v>
      </c>
      <c r="H70" s="155">
        <v>107702</v>
      </c>
      <c r="I70" s="308"/>
    </row>
    <row r="71" spans="2:9" outlineLevel="1">
      <c r="B71" s="122" t="s">
        <v>873</v>
      </c>
      <c r="C71" s="144">
        <v>-90100.71</v>
      </c>
      <c r="D71" s="145">
        <v>0</v>
      </c>
      <c r="E71" s="144">
        <v>-90100.71</v>
      </c>
      <c r="F71" s="144">
        <v>0</v>
      </c>
      <c r="G71" s="161" t="str">
        <f t="shared" si="2"/>
        <v xml:space="preserve">  107709</v>
      </c>
      <c r="H71" s="155">
        <v>107709</v>
      </c>
      <c r="I71" s="307">
        <v>107709</v>
      </c>
    </row>
    <row r="72" spans="2:9" outlineLevel="1">
      <c r="B72" s="122" t="s">
        <v>874</v>
      </c>
      <c r="C72" s="144">
        <v>-322590.39</v>
      </c>
      <c r="D72" s="145">
        <v>0</v>
      </c>
      <c r="E72" s="144">
        <v>-322590.39</v>
      </c>
      <c r="F72" s="144">
        <v>0</v>
      </c>
      <c r="G72" s="161" t="str">
        <f t="shared" si="2"/>
        <v xml:space="preserve">  107714</v>
      </c>
      <c r="H72" s="155">
        <v>107714</v>
      </c>
      <c r="I72" s="307">
        <v>107714</v>
      </c>
    </row>
    <row r="73" spans="2:9" outlineLevel="1">
      <c r="B73" s="122" t="s">
        <v>875</v>
      </c>
      <c r="C73" s="144">
        <v>-302034.92</v>
      </c>
      <c r="D73" s="145">
        <v>0</v>
      </c>
      <c r="E73" s="144">
        <v>-302034.92</v>
      </c>
      <c r="F73" s="144">
        <v>0</v>
      </c>
      <c r="G73" s="161" t="str">
        <f t="shared" si="2"/>
        <v xml:space="preserve">  107717</v>
      </c>
      <c r="H73" s="155">
        <v>107717</v>
      </c>
      <c r="I73" s="308">
        <v>107717</v>
      </c>
    </row>
    <row r="74" spans="2:9" outlineLevel="1">
      <c r="B74" s="122" t="s">
        <v>876</v>
      </c>
      <c r="C74" s="144">
        <v>24927.89</v>
      </c>
      <c r="D74" s="145">
        <v>0</v>
      </c>
      <c r="E74" s="144">
        <v>24927.89</v>
      </c>
      <c r="F74" s="144">
        <v>0</v>
      </c>
      <c r="G74" s="161" t="str">
        <f t="shared" si="2"/>
        <v xml:space="preserve">  107720</v>
      </c>
      <c r="H74" s="155">
        <v>107720</v>
      </c>
      <c r="I74" s="307">
        <v>107720</v>
      </c>
    </row>
    <row r="75" spans="2:9" outlineLevel="1">
      <c r="B75" s="122" t="s">
        <v>877</v>
      </c>
      <c r="C75" s="144">
        <v>-349799.43</v>
      </c>
      <c r="D75" s="145">
        <v>0</v>
      </c>
      <c r="E75" s="144">
        <v>-349799.43</v>
      </c>
      <c r="F75" s="144">
        <v>0</v>
      </c>
      <c r="G75" s="161" t="str">
        <f t="shared" si="2"/>
        <v xml:space="preserve">  107721</v>
      </c>
      <c r="H75" s="155">
        <v>107721</v>
      </c>
      <c r="I75" s="308">
        <v>107721</v>
      </c>
    </row>
    <row r="76" spans="2:9" outlineLevel="1">
      <c r="B76" s="122" t="s">
        <v>878</v>
      </c>
      <c r="C76" s="144">
        <v>-211797.03</v>
      </c>
      <c r="D76" s="145">
        <v>0</v>
      </c>
      <c r="E76" s="144">
        <v>-211797.03</v>
      </c>
      <c r="F76" s="144">
        <v>0</v>
      </c>
      <c r="G76" s="161" t="str">
        <f t="shared" si="2"/>
        <v xml:space="preserve">  107724</v>
      </c>
      <c r="H76" s="155">
        <v>107724</v>
      </c>
      <c r="I76" s="307">
        <v>107724</v>
      </c>
    </row>
    <row r="77" spans="2:9" outlineLevel="1">
      <c r="B77" s="122" t="s">
        <v>879</v>
      </c>
      <c r="C77" s="144">
        <v>-574685.62</v>
      </c>
      <c r="D77" s="145">
        <v>0</v>
      </c>
      <c r="E77" s="144">
        <v>-574685.62</v>
      </c>
      <c r="F77" s="144">
        <v>0</v>
      </c>
      <c r="G77" s="161" t="str">
        <f t="shared" si="2"/>
        <v xml:space="preserve">  107726</v>
      </c>
      <c r="H77" s="155">
        <v>107726</v>
      </c>
      <c r="I77" s="307">
        <v>107726</v>
      </c>
    </row>
    <row r="78" spans="2:9" outlineLevel="1">
      <c r="B78" s="122" t="s">
        <v>880</v>
      </c>
      <c r="C78" s="144">
        <v>-12458.04</v>
      </c>
      <c r="D78" s="145">
        <v>0</v>
      </c>
      <c r="E78" s="144">
        <v>-12458.04</v>
      </c>
      <c r="F78" s="144">
        <v>0</v>
      </c>
      <c r="G78" s="161" t="str">
        <f t="shared" si="2"/>
        <v xml:space="preserve">  107730</v>
      </c>
      <c r="H78" s="155">
        <v>107730</v>
      </c>
      <c r="I78" s="307">
        <v>107726</v>
      </c>
    </row>
    <row r="79" spans="2:9" outlineLevel="1">
      <c r="B79" s="122" t="s">
        <v>881</v>
      </c>
      <c r="C79" s="144">
        <v>-255859.02</v>
      </c>
      <c r="D79" s="145">
        <v>0</v>
      </c>
      <c r="E79" s="144">
        <v>-255859.02</v>
      </c>
      <c r="F79" s="144">
        <v>0</v>
      </c>
      <c r="G79" s="161" t="str">
        <f t="shared" ref="G79:G110" si="3">LEFT(B79,8)</f>
        <v xml:space="preserve">  107731</v>
      </c>
      <c r="H79" s="155">
        <v>107731</v>
      </c>
      <c r="I79" s="308">
        <v>107730</v>
      </c>
    </row>
    <row r="80" spans="2:9" outlineLevel="1">
      <c r="B80" s="122" t="s">
        <v>882</v>
      </c>
      <c r="C80" s="144">
        <v>161796.66</v>
      </c>
      <c r="D80" s="145">
        <v>0</v>
      </c>
      <c r="E80" s="144">
        <v>161796.66</v>
      </c>
      <c r="F80" s="144">
        <v>0</v>
      </c>
      <c r="G80" s="161" t="str">
        <f t="shared" si="3"/>
        <v xml:space="preserve">  107732</v>
      </c>
      <c r="H80" s="155">
        <v>107732</v>
      </c>
      <c r="I80" s="307">
        <v>107731</v>
      </c>
    </row>
    <row r="81" spans="2:9" outlineLevel="1">
      <c r="B81" s="122" t="s">
        <v>883</v>
      </c>
      <c r="C81" s="144">
        <v>-263593.84999999998</v>
      </c>
      <c r="D81" s="145">
        <v>0</v>
      </c>
      <c r="E81" s="144">
        <v>-263593.84999999998</v>
      </c>
      <c r="F81" s="144">
        <v>0</v>
      </c>
      <c r="G81" s="161" t="str">
        <f t="shared" si="3"/>
        <v xml:space="preserve">  107733</v>
      </c>
      <c r="H81" s="155">
        <v>107733</v>
      </c>
      <c r="I81" s="307">
        <v>107733</v>
      </c>
    </row>
    <row r="82" spans="2:9" outlineLevel="1">
      <c r="B82" s="122" t="s">
        <v>884</v>
      </c>
      <c r="C82" s="145">
        <v>0</v>
      </c>
      <c r="D82" s="145">
        <v>0</v>
      </c>
      <c r="E82" s="144">
        <v>0</v>
      </c>
      <c r="F82" s="144">
        <v>0</v>
      </c>
      <c r="G82" s="161" t="str">
        <f t="shared" si="3"/>
        <v xml:space="preserve">  107734</v>
      </c>
      <c r="H82" s="155">
        <v>107734</v>
      </c>
      <c r="I82" s="307"/>
    </row>
    <row r="83" spans="2:9" outlineLevel="1">
      <c r="B83" s="122" t="s">
        <v>885</v>
      </c>
      <c r="C83" s="144">
        <v>-97997.24</v>
      </c>
      <c r="D83" s="145">
        <v>0</v>
      </c>
      <c r="E83" s="144">
        <v>-97997.24</v>
      </c>
      <c r="F83" s="144">
        <v>0</v>
      </c>
      <c r="G83" s="161" t="str">
        <f t="shared" si="3"/>
        <v xml:space="preserve">  107735</v>
      </c>
      <c r="H83" s="155">
        <v>107735</v>
      </c>
      <c r="I83" s="308">
        <v>107735</v>
      </c>
    </row>
    <row r="84" spans="2:9" outlineLevel="1">
      <c r="B84" s="122" t="s">
        <v>886</v>
      </c>
      <c r="C84" s="144">
        <v>-162172.21</v>
      </c>
      <c r="D84" s="145">
        <v>0</v>
      </c>
      <c r="E84" s="144">
        <v>-162172.21</v>
      </c>
      <c r="F84" s="144">
        <v>0</v>
      </c>
      <c r="G84" s="161" t="str">
        <f t="shared" si="3"/>
        <v xml:space="preserve">  107742</v>
      </c>
      <c r="H84" s="155">
        <v>107742</v>
      </c>
      <c r="I84" s="307">
        <v>107742</v>
      </c>
    </row>
    <row r="85" spans="2:9" outlineLevel="1">
      <c r="B85" s="122" t="s">
        <v>887</v>
      </c>
      <c r="C85" s="144">
        <v>-83526.17</v>
      </c>
      <c r="D85" s="145">
        <v>0</v>
      </c>
      <c r="E85" s="144">
        <v>-83526.17</v>
      </c>
      <c r="F85" s="144">
        <v>0</v>
      </c>
      <c r="G85" s="161" t="str">
        <f t="shared" si="3"/>
        <v xml:space="preserve">  107743</v>
      </c>
      <c r="H85" s="155">
        <v>107743</v>
      </c>
      <c r="I85" s="307">
        <v>107743</v>
      </c>
    </row>
    <row r="86" spans="2:9" outlineLevel="1">
      <c r="B86" s="122" t="s">
        <v>888</v>
      </c>
      <c r="C86" s="144">
        <v>-260410.3</v>
      </c>
      <c r="D86" s="145">
        <v>0</v>
      </c>
      <c r="E86" s="144">
        <v>-260410.3</v>
      </c>
      <c r="F86" s="144">
        <v>0</v>
      </c>
      <c r="G86" s="161" t="str">
        <f t="shared" si="3"/>
        <v xml:space="preserve">  107749</v>
      </c>
      <c r="H86" s="155">
        <v>107749</v>
      </c>
      <c r="I86" s="308">
        <v>107749</v>
      </c>
    </row>
    <row r="87" spans="2:9" outlineLevel="1">
      <c r="B87" s="122" t="s">
        <v>889</v>
      </c>
      <c r="C87" s="144">
        <v>-266230.46000000002</v>
      </c>
      <c r="D87" s="145">
        <v>0</v>
      </c>
      <c r="E87" s="144">
        <v>-266230.46000000002</v>
      </c>
      <c r="F87" s="144">
        <v>0</v>
      </c>
      <c r="G87" s="161" t="str">
        <f t="shared" si="3"/>
        <v xml:space="preserve">  107754</v>
      </c>
      <c r="H87" s="155">
        <v>107754</v>
      </c>
      <c r="I87" s="307">
        <v>107754</v>
      </c>
    </row>
    <row r="88" spans="2:9" outlineLevel="1">
      <c r="B88" s="122" t="s">
        <v>890</v>
      </c>
      <c r="C88" s="144">
        <v>-92882.2</v>
      </c>
      <c r="D88" s="145">
        <v>0</v>
      </c>
      <c r="E88" s="144">
        <v>-92882.2</v>
      </c>
      <c r="F88" s="144">
        <v>0</v>
      </c>
      <c r="G88" s="161" t="str">
        <f t="shared" si="3"/>
        <v xml:space="preserve">  107759</v>
      </c>
      <c r="H88" s="155">
        <v>107759</v>
      </c>
      <c r="I88" s="308">
        <v>107759</v>
      </c>
    </row>
    <row r="89" spans="2:9" outlineLevel="1">
      <c r="B89" s="122" t="s">
        <v>891</v>
      </c>
      <c r="C89" s="144">
        <v>-220761.86</v>
      </c>
      <c r="D89" s="145">
        <v>0</v>
      </c>
      <c r="E89" s="144">
        <v>-220761.86</v>
      </c>
      <c r="F89" s="144">
        <v>0</v>
      </c>
      <c r="G89" s="161" t="str">
        <f t="shared" si="3"/>
        <v xml:space="preserve">  107763</v>
      </c>
      <c r="H89" s="155">
        <v>107763</v>
      </c>
      <c r="I89" s="308">
        <v>107763</v>
      </c>
    </row>
    <row r="90" spans="2:9" outlineLevel="1">
      <c r="B90" s="122" t="s">
        <v>892</v>
      </c>
      <c r="C90" s="144">
        <v>27310.080000000002</v>
      </c>
      <c r="D90" s="145">
        <v>0</v>
      </c>
      <c r="E90" s="144">
        <v>27310.080000000002</v>
      </c>
      <c r="F90" s="144">
        <v>0</v>
      </c>
      <c r="G90" s="161" t="str">
        <f t="shared" si="3"/>
        <v xml:space="preserve">  107764</v>
      </c>
      <c r="H90" s="155">
        <v>107764</v>
      </c>
      <c r="I90" s="307">
        <v>107764</v>
      </c>
    </row>
    <row r="91" spans="2:9" outlineLevel="1">
      <c r="B91" s="122" t="s">
        <v>893</v>
      </c>
      <c r="C91" s="144">
        <v>-199293.42</v>
      </c>
      <c r="D91" s="145">
        <v>0</v>
      </c>
      <c r="E91" s="144">
        <v>-199293.42</v>
      </c>
      <c r="F91" s="144">
        <v>0</v>
      </c>
      <c r="G91" s="161" t="str">
        <f t="shared" si="3"/>
        <v xml:space="preserve">  107765</v>
      </c>
      <c r="H91" s="155">
        <v>107765</v>
      </c>
      <c r="I91" s="308">
        <v>107765</v>
      </c>
    </row>
    <row r="92" spans="2:9" outlineLevel="1">
      <c r="B92" s="122" t="s">
        <v>894</v>
      </c>
      <c r="C92" s="144">
        <v>-100365.42</v>
      </c>
      <c r="D92" s="145">
        <v>0</v>
      </c>
      <c r="E92" s="144">
        <v>-100365.42</v>
      </c>
      <c r="F92" s="144">
        <v>0</v>
      </c>
      <c r="G92" s="161" t="str">
        <f t="shared" si="3"/>
        <v xml:space="preserve">  107766</v>
      </c>
      <c r="H92" s="155">
        <v>107766</v>
      </c>
      <c r="I92" s="307">
        <v>107766</v>
      </c>
    </row>
    <row r="93" spans="2:9" outlineLevel="1">
      <c r="B93" s="122" t="s">
        <v>895</v>
      </c>
      <c r="C93" s="144">
        <v>-861343.15</v>
      </c>
      <c r="D93" s="145">
        <v>0</v>
      </c>
      <c r="E93" s="144">
        <v>-861343.15</v>
      </c>
      <c r="F93" s="144">
        <v>0</v>
      </c>
      <c r="G93" s="161" t="str">
        <f t="shared" si="3"/>
        <v xml:space="preserve">  107767</v>
      </c>
      <c r="H93" s="155">
        <v>107767</v>
      </c>
      <c r="I93" s="308">
        <v>107767</v>
      </c>
    </row>
    <row r="94" spans="2:9" outlineLevel="1">
      <c r="B94" s="122" t="s">
        <v>896</v>
      </c>
      <c r="C94" s="144">
        <v>-214952.36</v>
      </c>
      <c r="D94" s="145">
        <v>0</v>
      </c>
      <c r="E94" s="144">
        <v>-214952.36</v>
      </c>
      <c r="F94" s="144">
        <v>0</v>
      </c>
      <c r="G94" s="161" t="str">
        <f t="shared" si="3"/>
        <v xml:space="preserve">  107768</v>
      </c>
      <c r="H94" s="155">
        <v>107768</v>
      </c>
      <c r="I94" s="308">
        <v>107768</v>
      </c>
    </row>
    <row r="95" spans="2:9" outlineLevel="1">
      <c r="B95" s="122" t="s">
        <v>897</v>
      </c>
      <c r="C95" s="144">
        <v>-322104.96000000002</v>
      </c>
      <c r="D95" s="145">
        <v>0</v>
      </c>
      <c r="E95" s="144">
        <v>-322104.96000000002</v>
      </c>
      <c r="F95" s="144">
        <v>0</v>
      </c>
      <c r="G95" s="161" t="str">
        <f t="shared" si="3"/>
        <v xml:space="preserve">  107769</v>
      </c>
      <c r="H95" s="155">
        <v>107769</v>
      </c>
      <c r="I95" s="307">
        <v>107769</v>
      </c>
    </row>
    <row r="96" spans="2:9" outlineLevel="1">
      <c r="B96" s="122" t="s">
        <v>898</v>
      </c>
      <c r="C96" s="144">
        <v>-176431.43</v>
      </c>
      <c r="D96" s="145">
        <v>0</v>
      </c>
      <c r="E96" s="144">
        <v>-176431.43</v>
      </c>
      <c r="F96" s="144">
        <v>0</v>
      </c>
      <c r="G96" s="161" t="str">
        <f t="shared" si="3"/>
        <v xml:space="preserve">  107771</v>
      </c>
      <c r="H96" s="155">
        <v>107771</v>
      </c>
      <c r="I96" s="307">
        <v>107769</v>
      </c>
    </row>
    <row r="97" spans="2:9" outlineLevel="1">
      <c r="B97" s="122" t="s">
        <v>899</v>
      </c>
      <c r="C97" s="144">
        <v>-297292.99</v>
      </c>
      <c r="D97" s="145">
        <v>0</v>
      </c>
      <c r="E97" s="144">
        <v>-297292.99</v>
      </c>
      <c r="F97" s="144">
        <v>0</v>
      </c>
      <c r="G97" s="161" t="str">
        <f t="shared" si="3"/>
        <v xml:space="preserve">  107775</v>
      </c>
      <c r="H97" s="155">
        <v>107775</v>
      </c>
      <c r="I97" s="307">
        <v>107771</v>
      </c>
    </row>
    <row r="98" spans="2:9" outlineLevel="1">
      <c r="B98" s="122" t="s">
        <v>900</v>
      </c>
      <c r="C98" s="144">
        <v>-105727.45</v>
      </c>
      <c r="D98" s="145">
        <v>0</v>
      </c>
      <c r="E98" s="144">
        <v>-105727.45</v>
      </c>
      <c r="F98" s="144">
        <v>0</v>
      </c>
      <c r="G98" s="161" t="str">
        <f t="shared" si="3"/>
        <v xml:space="preserve">  107776</v>
      </c>
      <c r="H98" s="155">
        <v>107776</v>
      </c>
      <c r="I98" s="308">
        <v>107775</v>
      </c>
    </row>
    <row r="99" spans="2:9" outlineLevel="1">
      <c r="B99" s="122" t="s">
        <v>901</v>
      </c>
      <c r="C99" s="144">
        <v>-98645.32</v>
      </c>
      <c r="D99" s="145">
        <v>0</v>
      </c>
      <c r="E99" s="144">
        <v>-98645.32</v>
      </c>
      <c r="F99" s="144">
        <v>0</v>
      </c>
      <c r="G99" s="161" t="str">
        <f t="shared" si="3"/>
        <v xml:space="preserve">  107777</v>
      </c>
      <c r="H99" s="155">
        <v>107777</v>
      </c>
      <c r="I99" s="307">
        <v>107776</v>
      </c>
    </row>
    <row r="100" spans="2:9" outlineLevel="1">
      <c r="B100" s="122" t="s">
        <v>902</v>
      </c>
      <c r="C100" s="144">
        <v>-97190.03</v>
      </c>
      <c r="D100" s="145">
        <v>0</v>
      </c>
      <c r="E100" s="144">
        <v>-97190.03</v>
      </c>
      <c r="F100" s="144">
        <v>0</v>
      </c>
      <c r="G100" s="161" t="str">
        <f t="shared" si="3"/>
        <v xml:space="preserve">  107779</v>
      </c>
      <c r="H100" s="155">
        <v>107779</v>
      </c>
      <c r="I100" s="308">
        <v>107779</v>
      </c>
    </row>
    <row r="101" spans="2:9" outlineLevel="1">
      <c r="B101" s="122" t="s">
        <v>903</v>
      </c>
      <c r="C101" s="144">
        <v>-368322.06</v>
      </c>
      <c r="D101" s="145">
        <v>0</v>
      </c>
      <c r="E101" s="144">
        <v>-368322.06</v>
      </c>
      <c r="F101" s="144">
        <v>0</v>
      </c>
      <c r="G101" s="161" t="str">
        <f t="shared" si="3"/>
        <v xml:space="preserve">  107781</v>
      </c>
      <c r="H101" s="155">
        <v>107781</v>
      </c>
      <c r="I101" s="308">
        <v>107781</v>
      </c>
    </row>
    <row r="102" spans="2:9" outlineLevel="1">
      <c r="B102" s="122" t="s">
        <v>904</v>
      </c>
      <c r="C102" s="144">
        <v>-326012.11</v>
      </c>
      <c r="D102" s="145">
        <v>0</v>
      </c>
      <c r="E102" s="144">
        <v>-326012.11</v>
      </c>
      <c r="F102" s="144">
        <v>0</v>
      </c>
      <c r="G102" s="161" t="str">
        <f t="shared" si="3"/>
        <v xml:space="preserve">  107782</v>
      </c>
      <c r="H102" s="155">
        <v>107782</v>
      </c>
      <c r="I102" s="307">
        <v>107782</v>
      </c>
    </row>
    <row r="103" spans="2:9" outlineLevel="1">
      <c r="B103" s="122" t="s">
        <v>905</v>
      </c>
      <c r="C103" s="144">
        <v>-161084.03</v>
      </c>
      <c r="D103" s="145">
        <v>0</v>
      </c>
      <c r="E103" s="144">
        <v>-161084.03</v>
      </c>
      <c r="F103" s="144">
        <v>0</v>
      </c>
      <c r="G103" s="161" t="str">
        <f t="shared" si="3"/>
        <v xml:space="preserve">  107784</v>
      </c>
      <c r="H103" s="155">
        <v>107784</v>
      </c>
      <c r="I103" s="308">
        <v>107784</v>
      </c>
    </row>
    <row r="104" spans="2:9" outlineLevel="1">
      <c r="B104" s="122" t="s">
        <v>906</v>
      </c>
      <c r="C104" s="144">
        <v>238640.49</v>
      </c>
      <c r="D104" s="145">
        <v>0</v>
      </c>
      <c r="E104" s="144">
        <v>238640.49</v>
      </c>
      <c r="F104" s="144">
        <v>0</v>
      </c>
      <c r="G104" s="161" t="str">
        <f t="shared" si="3"/>
        <v xml:space="preserve">  107786</v>
      </c>
      <c r="H104" s="155">
        <v>107786</v>
      </c>
      <c r="I104" s="308">
        <v>107786</v>
      </c>
    </row>
    <row r="105" spans="2:9" outlineLevel="1">
      <c r="B105" s="122" t="s">
        <v>907</v>
      </c>
      <c r="C105" s="144">
        <v>-80264.47</v>
      </c>
      <c r="D105" s="145">
        <v>0</v>
      </c>
      <c r="E105" s="144">
        <v>-80264.47</v>
      </c>
      <c r="F105" s="144">
        <v>0</v>
      </c>
      <c r="G105" s="161" t="str">
        <f t="shared" si="3"/>
        <v xml:space="preserve">  107787</v>
      </c>
      <c r="H105" s="155">
        <v>107787</v>
      </c>
      <c r="I105" s="307">
        <v>107787</v>
      </c>
    </row>
    <row r="106" spans="2:9" outlineLevel="1">
      <c r="B106" s="122" t="s">
        <v>908</v>
      </c>
      <c r="C106" s="144">
        <v>-121016.63</v>
      </c>
      <c r="D106" s="145">
        <v>0</v>
      </c>
      <c r="E106" s="144">
        <v>-121016.63</v>
      </c>
      <c r="F106" s="144">
        <v>0</v>
      </c>
      <c r="G106" s="161" t="str">
        <f t="shared" si="3"/>
        <v xml:space="preserve">  107789</v>
      </c>
      <c r="H106" s="155">
        <v>107789</v>
      </c>
      <c r="I106" s="308">
        <v>107789</v>
      </c>
    </row>
    <row r="107" spans="2:9" outlineLevel="1">
      <c r="B107" s="122" t="s">
        <v>909</v>
      </c>
      <c r="C107" s="144">
        <v>144138.12</v>
      </c>
      <c r="D107" s="145">
        <v>0</v>
      </c>
      <c r="E107" s="144">
        <v>144138.12</v>
      </c>
      <c r="F107" s="144">
        <v>0</v>
      </c>
      <c r="G107" s="161" t="str">
        <f t="shared" si="3"/>
        <v xml:space="preserve">  107791</v>
      </c>
      <c r="H107" s="155">
        <v>107791</v>
      </c>
      <c r="I107" s="308">
        <v>107791</v>
      </c>
    </row>
    <row r="108" spans="2:9" outlineLevel="1">
      <c r="B108" s="122" t="s">
        <v>910</v>
      </c>
      <c r="C108" s="144">
        <v>-391471.57</v>
      </c>
      <c r="D108" s="145">
        <v>0</v>
      </c>
      <c r="E108" s="144">
        <v>-391471.57</v>
      </c>
      <c r="F108" s="144">
        <v>0</v>
      </c>
      <c r="G108" s="161" t="str">
        <f t="shared" si="3"/>
        <v xml:space="preserve">  107793</v>
      </c>
      <c r="H108" s="155">
        <v>107793</v>
      </c>
      <c r="I108" s="307">
        <v>107793</v>
      </c>
    </row>
    <row r="109" spans="2:9" outlineLevel="1">
      <c r="B109" s="122" t="s">
        <v>911</v>
      </c>
      <c r="C109" s="144">
        <v>-509531.12</v>
      </c>
      <c r="D109" s="145">
        <v>0</v>
      </c>
      <c r="E109" s="144">
        <v>-509531.12</v>
      </c>
      <c r="F109" s="144">
        <v>0</v>
      </c>
      <c r="G109" s="161" t="str">
        <f t="shared" si="3"/>
        <v xml:space="preserve">  107797</v>
      </c>
      <c r="H109" s="155">
        <v>107797</v>
      </c>
      <c r="I109" s="308">
        <v>107797</v>
      </c>
    </row>
    <row r="110" spans="2:9" outlineLevel="1">
      <c r="B110" s="122" t="s">
        <v>912</v>
      </c>
      <c r="C110" s="144">
        <v>69569.73</v>
      </c>
      <c r="D110" s="145">
        <v>0</v>
      </c>
      <c r="E110" s="144">
        <v>69569.73</v>
      </c>
      <c r="F110" s="144">
        <v>0</v>
      </c>
      <c r="G110" s="161" t="str">
        <f t="shared" si="3"/>
        <v xml:space="preserve">  107798</v>
      </c>
      <c r="H110" s="155">
        <v>107798</v>
      </c>
      <c r="I110" s="307">
        <v>107798</v>
      </c>
    </row>
    <row r="111" spans="2:9" outlineLevel="1">
      <c r="B111" s="122" t="s">
        <v>913</v>
      </c>
      <c r="C111" s="144">
        <v>182588.54</v>
      </c>
      <c r="D111" s="145">
        <v>0</v>
      </c>
      <c r="E111" s="144">
        <v>182588.54</v>
      </c>
      <c r="F111" s="144">
        <v>0</v>
      </c>
      <c r="G111" s="161" t="str">
        <f t="shared" ref="G111:G142" si="4">LEFT(B111,8)</f>
        <v xml:space="preserve">  107800</v>
      </c>
      <c r="H111" s="155">
        <v>107800</v>
      </c>
      <c r="I111" s="308">
        <v>107800</v>
      </c>
    </row>
    <row r="112" spans="2:9" outlineLevel="1">
      <c r="B112" s="122" t="s">
        <v>914</v>
      </c>
      <c r="C112" s="144">
        <v>-449768.13</v>
      </c>
      <c r="D112" s="145">
        <v>0</v>
      </c>
      <c r="E112" s="144">
        <v>-449768.13</v>
      </c>
      <c r="F112" s="144">
        <v>0</v>
      </c>
      <c r="G112" s="161" t="str">
        <f t="shared" si="4"/>
        <v xml:space="preserve">  107803</v>
      </c>
      <c r="H112" s="155">
        <v>107803</v>
      </c>
      <c r="I112" s="307">
        <v>107803</v>
      </c>
    </row>
    <row r="113" spans="2:9" outlineLevel="1">
      <c r="B113" s="122" t="s">
        <v>915</v>
      </c>
      <c r="C113" s="144">
        <v>-211827.98</v>
      </c>
      <c r="D113" s="145">
        <v>0</v>
      </c>
      <c r="E113" s="144">
        <v>-211827.98</v>
      </c>
      <c r="F113" s="144">
        <v>0</v>
      </c>
      <c r="G113" s="161" t="str">
        <f t="shared" si="4"/>
        <v xml:space="preserve">  107805</v>
      </c>
      <c r="H113" s="155">
        <v>107805</v>
      </c>
      <c r="I113" s="308">
        <v>107805</v>
      </c>
    </row>
    <row r="114" spans="2:9" outlineLevel="1">
      <c r="B114" s="122" t="s">
        <v>916</v>
      </c>
      <c r="C114" s="144">
        <v>-206657.27</v>
      </c>
      <c r="D114" s="145">
        <v>0</v>
      </c>
      <c r="E114" s="144">
        <v>-206657.27</v>
      </c>
      <c r="F114" s="144">
        <v>0</v>
      </c>
      <c r="G114" s="161" t="str">
        <f t="shared" si="4"/>
        <v xml:space="preserve">  107808</v>
      </c>
      <c r="H114" s="155">
        <v>107808</v>
      </c>
      <c r="I114" s="308">
        <v>107808</v>
      </c>
    </row>
    <row r="115" spans="2:9" outlineLevel="1">
      <c r="B115" s="122" t="s">
        <v>917</v>
      </c>
      <c r="C115" s="144">
        <v>-280729.32</v>
      </c>
      <c r="D115" s="145">
        <v>0</v>
      </c>
      <c r="E115" s="144">
        <v>-280729.32</v>
      </c>
      <c r="F115" s="144">
        <v>0</v>
      </c>
      <c r="G115" s="161" t="str">
        <f t="shared" si="4"/>
        <v xml:space="preserve">  107811</v>
      </c>
      <c r="H115" s="155">
        <v>107811</v>
      </c>
      <c r="I115" s="307">
        <v>107811</v>
      </c>
    </row>
    <row r="116" spans="2:9" outlineLevel="1">
      <c r="B116" s="122" t="s">
        <v>918</v>
      </c>
      <c r="C116" s="144">
        <v>-325631.34000000003</v>
      </c>
      <c r="D116" s="145">
        <v>0</v>
      </c>
      <c r="E116" s="144">
        <v>-325631.34000000003</v>
      </c>
      <c r="F116" s="144">
        <v>0</v>
      </c>
      <c r="G116" s="161" t="str">
        <f t="shared" si="4"/>
        <v xml:space="preserve">  107812</v>
      </c>
      <c r="H116" s="155">
        <v>107812</v>
      </c>
      <c r="I116" s="308">
        <v>107812</v>
      </c>
    </row>
    <row r="117" spans="2:9" outlineLevel="1">
      <c r="B117" s="122" t="s">
        <v>919</v>
      </c>
      <c r="C117" s="145">
        <v>0</v>
      </c>
      <c r="D117" s="145">
        <v>0</v>
      </c>
      <c r="E117" s="144">
        <v>0</v>
      </c>
      <c r="F117" s="144">
        <v>0</v>
      </c>
      <c r="G117" s="161" t="str">
        <f t="shared" si="4"/>
        <v xml:space="preserve">  107815</v>
      </c>
      <c r="H117" s="155">
        <v>107815</v>
      </c>
      <c r="I117" s="308"/>
    </row>
    <row r="118" spans="2:9" outlineLevel="1">
      <c r="B118" s="122" t="s">
        <v>920</v>
      </c>
      <c r="C118" s="144">
        <v>-173566.73</v>
      </c>
      <c r="D118" s="145">
        <v>0</v>
      </c>
      <c r="E118" s="144">
        <v>-173566.73</v>
      </c>
      <c r="F118" s="144">
        <v>0</v>
      </c>
      <c r="G118" s="161" t="str">
        <f t="shared" si="4"/>
        <v xml:space="preserve">  107816</v>
      </c>
      <c r="H118" s="155">
        <v>107816</v>
      </c>
      <c r="I118" s="308">
        <v>107816</v>
      </c>
    </row>
    <row r="119" spans="2:9" outlineLevel="1">
      <c r="B119" s="122" t="s">
        <v>921</v>
      </c>
      <c r="C119" s="144">
        <v>-382598.5</v>
      </c>
      <c r="D119" s="145">
        <v>0</v>
      </c>
      <c r="E119" s="144">
        <v>-382598.5</v>
      </c>
      <c r="F119" s="144">
        <v>0</v>
      </c>
      <c r="G119" s="161" t="str">
        <f t="shared" si="4"/>
        <v xml:space="preserve">  107817</v>
      </c>
      <c r="H119" s="155">
        <v>107817</v>
      </c>
      <c r="I119" s="307">
        <v>107817</v>
      </c>
    </row>
    <row r="120" spans="2:9" outlineLevel="1">
      <c r="B120" s="122" t="s">
        <v>922</v>
      </c>
      <c r="C120" s="144">
        <v>-112907.32</v>
      </c>
      <c r="D120" s="145">
        <v>0</v>
      </c>
      <c r="E120" s="144">
        <v>-112907.32</v>
      </c>
      <c r="F120" s="144">
        <v>0</v>
      </c>
      <c r="G120" s="161" t="str">
        <f t="shared" si="4"/>
        <v xml:space="preserve">  107818</v>
      </c>
      <c r="H120" s="155">
        <v>107818</v>
      </c>
      <c r="I120" s="307">
        <v>107818</v>
      </c>
    </row>
    <row r="121" spans="2:9" outlineLevel="1">
      <c r="B121" s="122" t="s">
        <v>923</v>
      </c>
      <c r="C121" s="145">
        <v>0</v>
      </c>
      <c r="D121" s="145">
        <v>0</v>
      </c>
      <c r="E121" s="144">
        <v>0</v>
      </c>
      <c r="F121" s="144">
        <v>0</v>
      </c>
      <c r="G121" s="161" t="str">
        <f t="shared" si="4"/>
        <v xml:space="preserve">  107819</v>
      </c>
      <c r="H121" s="155">
        <v>107819</v>
      </c>
      <c r="I121" s="307"/>
    </row>
    <row r="122" spans="2:9" outlineLevel="1">
      <c r="B122" s="122" t="s">
        <v>924</v>
      </c>
      <c r="C122" s="144">
        <v>-288509.2</v>
      </c>
      <c r="D122" s="145">
        <v>0</v>
      </c>
      <c r="E122" s="144">
        <v>-288509.2</v>
      </c>
      <c r="F122" s="144">
        <v>0</v>
      </c>
      <c r="G122" s="161" t="str">
        <f t="shared" si="4"/>
        <v xml:space="preserve">  107825</v>
      </c>
      <c r="H122" s="155">
        <v>107825</v>
      </c>
      <c r="I122" s="307">
        <v>107825</v>
      </c>
    </row>
    <row r="123" spans="2:9" outlineLevel="1">
      <c r="B123" s="122" t="s">
        <v>925</v>
      </c>
      <c r="C123" s="144">
        <v>-216091.66</v>
      </c>
      <c r="D123" s="145">
        <v>0</v>
      </c>
      <c r="E123" s="144">
        <v>-216091.66</v>
      </c>
      <c r="F123" s="144">
        <v>0</v>
      </c>
      <c r="G123" s="161" t="str">
        <f t="shared" si="4"/>
        <v xml:space="preserve">  107827</v>
      </c>
      <c r="H123" s="155">
        <v>107827</v>
      </c>
      <c r="I123" s="308">
        <v>107827</v>
      </c>
    </row>
    <row r="124" spans="2:9" outlineLevel="1">
      <c r="B124" s="122" t="s">
        <v>926</v>
      </c>
      <c r="C124" s="144">
        <v>-347235.1</v>
      </c>
      <c r="D124" s="145">
        <v>0</v>
      </c>
      <c r="E124" s="144">
        <v>-347235.1</v>
      </c>
      <c r="F124" s="144">
        <v>0</v>
      </c>
      <c r="G124" s="161" t="str">
        <f t="shared" si="4"/>
        <v xml:space="preserve">  107829</v>
      </c>
      <c r="H124" s="155">
        <v>107829</v>
      </c>
      <c r="I124" s="307">
        <v>107829</v>
      </c>
    </row>
    <row r="125" spans="2:9" outlineLevel="1">
      <c r="B125" s="122" t="s">
        <v>927</v>
      </c>
      <c r="C125" s="144">
        <v>-149330.88</v>
      </c>
      <c r="D125" s="145">
        <v>0</v>
      </c>
      <c r="E125" s="144">
        <v>-149330.88</v>
      </c>
      <c r="F125" s="144">
        <v>0</v>
      </c>
      <c r="G125" s="161" t="str">
        <f t="shared" si="4"/>
        <v xml:space="preserve">  107837</v>
      </c>
      <c r="H125" s="155">
        <v>107837</v>
      </c>
      <c r="I125" s="307">
        <v>107837</v>
      </c>
    </row>
    <row r="126" spans="2:9" outlineLevel="1">
      <c r="B126" s="122" t="s">
        <v>928</v>
      </c>
      <c r="C126" s="144">
        <v>-249575.44</v>
      </c>
      <c r="D126" s="145">
        <v>0</v>
      </c>
      <c r="E126" s="144">
        <v>-249575.44</v>
      </c>
      <c r="F126" s="144">
        <v>0</v>
      </c>
      <c r="G126" s="161" t="str">
        <f t="shared" si="4"/>
        <v xml:space="preserve">  107838</v>
      </c>
      <c r="H126" s="155">
        <v>107838</v>
      </c>
      <c r="I126" s="307">
        <v>107838</v>
      </c>
    </row>
    <row r="127" spans="2:9" outlineLevel="1">
      <c r="B127" s="122" t="s">
        <v>929</v>
      </c>
      <c r="C127" s="144">
        <v>-266579.11</v>
      </c>
      <c r="D127" s="145">
        <v>0</v>
      </c>
      <c r="E127" s="144">
        <v>-266579.11</v>
      </c>
      <c r="F127" s="144">
        <v>0</v>
      </c>
      <c r="G127" s="161" t="str">
        <f t="shared" si="4"/>
        <v xml:space="preserve">  107842</v>
      </c>
      <c r="H127" s="155">
        <v>107842</v>
      </c>
      <c r="I127" s="308">
        <v>107842</v>
      </c>
    </row>
    <row r="128" spans="2:9" outlineLevel="1">
      <c r="B128" s="122" t="s">
        <v>930</v>
      </c>
      <c r="C128" s="144">
        <v>-227750.47</v>
      </c>
      <c r="D128" s="145">
        <v>0</v>
      </c>
      <c r="E128" s="144">
        <v>-227750.47</v>
      </c>
      <c r="F128" s="144">
        <v>0</v>
      </c>
      <c r="G128" s="161" t="str">
        <f t="shared" si="4"/>
        <v xml:space="preserve">  107845</v>
      </c>
      <c r="H128" s="155">
        <v>107845</v>
      </c>
      <c r="I128" s="307">
        <v>107845</v>
      </c>
    </row>
    <row r="129" spans="2:9" outlineLevel="1">
      <c r="B129" s="122" t="s">
        <v>931</v>
      </c>
      <c r="C129" s="144">
        <v>-122182.07</v>
      </c>
      <c r="D129" s="145">
        <v>0</v>
      </c>
      <c r="E129" s="144">
        <v>-122182.07</v>
      </c>
      <c r="F129" s="144">
        <v>0</v>
      </c>
      <c r="G129" s="161" t="str">
        <f t="shared" si="4"/>
        <v xml:space="preserve">  107851</v>
      </c>
      <c r="H129" s="155">
        <v>107851</v>
      </c>
      <c r="I129" s="308">
        <v>107851</v>
      </c>
    </row>
    <row r="130" spans="2:9" outlineLevel="1">
      <c r="B130" s="122" t="s">
        <v>932</v>
      </c>
      <c r="C130" s="144">
        <v>-213704.86</v>
      </c>
      <c r="D130" s="145">
        <v>0</v>
      </c>
      <c r="E130" s="144">
        <v>-213704.86</v>
      </c>
      <c r="F130" s="144">
        <v>0</v>
      </c>
      <c r="G130" s="161" t="str">
        <f t="shared" si="4"/>
        <v xml:space="preserve">  107852</v>
      </c>
      <c r="H130" s="155">
        <v>107852</v>
      </c>
      <c r="I130" s="308">
        <v>107852</v>
      </c>
    </row>
    <row r="131" spans="2:9" outlineLevel="1">
      <c r="B131" s="122" t="s">
        <v>933</v>
      </c>
      <c r="C131" s="144">
        <v>-204297.58</v>
      </c>
      <c r="D131" s="145">
        <v>0</v>
      </c>
      <c r="E131" s="144">
        <v>-204297.58</v>
      </c>
      <c r="F131" s="144">
        <v>0</v>
      </c>
      <c r="G131" s="161" t="str">
        <f t="shared" si="4"/>
        <v xml:space="preserve">  107853</v>
      </c>
      <c r="H131" s="155">
        <v>107853</v>
      </c>
      <c r="I131" s="307">
        <v>107853</v>
      </c>
    </row>
    <row r="132" spans="2:9" outlineLevel="1">
      <c r="B132" s="122" t="s">
        <v>934</v>
      </c>
      <c r="C132" s="144">
        <v>-334312.03000000003</v>
      </c>
      <c r="D132" s="145">
        <v>0</v>
      </c>
      <c r="E132" s="144">
        <v>-334312.03000000003</v>
      </c>
      <c r="F132" s="144">
        <v>0</v>
      </c>
      <c r="G132" s="161" t="str">
        <f t="shared" si="4"/>
        <v xml:space="preserve">  107862</v>
      </c>
      <c r="H132" s="155">
        <v>107862</v>
      </c>
      <c r="I132" s="307">
        <v>107862</v>
      </c>
    </row>
    <row r="133" spans="2:9" outlineLevel="1">
      <c r="B133" s="122" t="s">
        <v>935</v>
      </c>
      <c r="C133" s="144">
        <v>-129598.24</v>
      </c>
      <c r="D133" s="145">
        <v>0</v>
      </c>
      <c r="E133" s="144">
        <v>-129598.24</v>
      </c>
      <c r="F133" s="144">
        <v>0</v>
      </c>
      <c r="G133" s="161" t="str">
        <f t="shared" si="4"/>
        <v xml:space="preserve">  107881</v>
      </c>
      <c r="H133" s="155">
        <v>107881</v>
      </c>
      <c r="I133" s="307">
        <v>107881</v>
      </c>
    </row>
    <row r="134" spans="2:9" outlineLevel="1">
      <c r="B134" s="122" t="s">
        <v>936</v>
      </c>
      <c r="C134" s="144">
        <v>-585565.35</v>
      </c>
      <c r="D134" s="145">
        <v>0</v>
      </c>
      <c r="E134" s="144">
        <v>-585565.35</v>
      </c>
      <c r="F134" s="144">
        <v>0</v>
      </c>
      <c r="G134" s="161" t="str">
        <f t="shared" si="4"/>
        <v xml:space="preserve">  107886</v>
      </c>
      <c r="H134" s="155">
        <v>107886</v>
      </c>
      <c r="I134" s="307">
        <v>107886</v>
      </c>
    </row>
    <row r="135" spans="2:9" outlineLevel="1">
      <c r="B135" s="122" t="s">
        <v>937</v>
      </c>
      <c r="C135" s="144">
        <v>-411595.4</v>
      </c>
      <c r="D135" s="145">
        <v>0</v>
      </c>
      <c r="E135" s="144">
        <v>-411595.4</v>
      </c>
      <c r="F135" s="144">
        <v>0</v>
      </c>
      <c r="G135" s="161" t="str">
        <f t="shared" si="4"/>
        <v xml:space="preserve">  107887</v>
      </c>
      <c r="H135" s="155">
        <v>107887</v>
      </c>
      <c r="I135" s="307">
        <v>107887</v>
      </c>
    </row>
    <row r="136" spans="2:9" outlineLevel="1">
      <c r="B136" s="122" t="s">
        <v>938</v>
      </c>
      <c r="C136" s="144">
        <v>-410895.79</v>
      </c>
      <c r="D136" s="145">
        <v>0</v>
      </c>
      <c r="E136" s="144">
        <v>-410895.79</v>
      </c>
      <c r="F136" s="144">
        <v>0</v>
      </c>
      <c r="G136" s="161" t="str">
        <f t="shared" si="4"/>
        <v xml:space="preserve">  107888</v>
      </c>
      <c r="H136" s="155">
        <v>107888</v>
      </c>
      <c r="I136" s="308">
        <v>107888</v>
      </c>
    </row>
    <row r="137" spans="2:9" outlineLevel="1">
      <c r="B137" s="122" t="s">
        <v>939</v>
      </c>
      <c r="C137" s="144">
        <v>-24435.68</v>
      </c>
      <c r="D137" s="145">
        <v>0</v>
      </c>
      <c r="E137" s="144">
        <v>-24435.68</v>
      </c>
      <c r="F137" s="144">
        <v>0</v>
      </c>
      <c r="G137" s="161" t="str">
        <f t="shared" si="4"/>
        <v xml:space="preserve">  107890</v>
      </c>
      <c r="H137" s="155">
        <v>107890</v>
      </c>
      <c r="I137" s="307">
        <v>107890</v>
      </c>
    </row>
    <row r="138" spans="2:9" outlineLevel="1">
      <c r="B138" s="122" t="s">
        <v>940</v>
      </c>
      <c r="C138" s="144">
        <v>-237446.41</v>
      </c>
      <c r="D138" s="145">
        <v>0</v>
      </c>
      <c r="E138" s="144">
        <v>-237446.41</v>
      </c>
      <c r="F138" s="144">
        <v>0</v>
      </c>
      <c r="G138" s="161" t="str">
        <f t="shared" si="4"/>
        <v xml:space="preserve">  107891</v>
      </c>
      <c r="H138" s="155">
        <v>107891</v>
      </c>
      <c r="I138" s="308">
        <v>107891</v>
      </c>
    </row>
    <row r="139" spans="2:9" outlineLevel="1">
      <c r="B139" s="122" t="s">
        <v>941</v>
      </c>
      <c r="C139" s="144">
        <v>-663833.31999999995</v>
      </c>
      <c r="D139" s="145">
        <v>0</v>
      </c>
      <c r="E139" s="144">
        <v>-663833.31999999995</v>
      </c>
      <c r="F139" s="144">
        <v>0</v>
      </c>
      <c r="G139" s="161" t="str">
        <f t="shared" si="4"/>
        <v xml:space="preserve">  107892</v>
      </c>
      <c r="H139" s="155">
        <v>107892</v>
      </c>
      <c r="I139" s="307">
        <v>107892</v>
      </c>
    </row>
    <row r="140" spans="2:9" outlineLevel="1">
      <c r="B140" s="122" t="s">
        <v>942</v>
      </c>
      <c r="C140" s="144">
        <v>-12284.12</v>
      </c>
      <c r="D140" s="145">
        <v>0</v>
      </c>
      <c r="E140" s="144">
        <v>-12284.12</v>
      </c>
      <c r="F140" s="144">
        <v>0</v>
      </c>
      <c r="G140" s="161" t="str">
        <f t="shared" si="4"/>
        <v xml:space="preserve">  107898</v>
      </c>
      <c r="H140" s="155">
        <v>107898</v>
      </c>
      <c r="I140" s="308">
        <v>107898</v>
      </c>
    </row>
    <row r="141" spans="2:9" outlineLevel="1">
      <c r="B141" s="122" t="s">
        <v>943</v>
      </c>
      <c r="C141" s="144">
        <v>-684992.57</v>
      </c>
      <c r="D141" s="145">
        <v>0</v>
      </c>
      <c r="E141" s="144">
        <v>-684992.57</v>
      </c>
      <c r="F141" s="144">
        <v>0</v>
      </c>
      <c r="G141" s="161" t="str">
        <f t="shared" si="4"/>
        <v xml:space="preserve">  107900</v>
      </c>
      <c r="H141" s="155">
        <v>107900</v>
      </c>
      <c r="I141" s="307">
        <v>107900</v>
      </c>
    </row>
    <row r="142" spans="2:9" outlineLevel="1">
      <c r="B142" s="122" t="s">
        <v>944</v>
      </c>
      <c r="C142" s="144">
        <v>-312648.44</v>
      </c>
      <c r="D142" s="145">
        <v>0</v>
      </c>
      <c r="E142" s="144">
        <v>-312648.44</v>
      </c>
      <c r="F142" s="144">
        <v>0</v>
      </c>
      <c r="G142" s="161" t="str">
        <f t="shared" si="4"/>
        <v xml:space="preserve">  107906</v>
      </c>
      <c r="H142" s="155">
        <v>107906</v>
      </c>
      <c r="I142" s="308">
        <v>107906</v>
      </c>
    </row>
    <row r="143" spans="2:9" outlineLevel="1">
      <c r="B143" s="122" t="s">
        <v>967</v>
      </c>
      <c r="C143" s="144">
        <v>-190364.44</v>
      </c>
      <c r="D143" s="145">
        <v>0</v>
      </c>
      <c r="E143" s="144">
        <v>-190364.44</v>
      </c>
      <c r="F143" s="144">
        <v>0</v>
      </c>
      <c r="G143" s="161" t="str">
        <f t="shared" ref="G143:G160" si="5">LEFT(B143,8)</f>
        <v xml:space="preserve">  107907</v>
      </c>
      <c r="H143" s="155">
        <v>107907</v>
      </c>
      <c r="I143" s="307">
        <v>107907</v>
      </c>
    </row>
    <row r="144" spans="2:9" outlineLevel="1">
      <c r="B144" s="122" t="s">
        <v>945</v>
      </c>
      <c r="C144" s="144">
        <v>-443.35</v>
      </c>
      <c r="D144" s="145">
        <v>0</v>
      </c>
      <c r="E144" s="144">
        <v>-443.35</v>
      </c>
      <c r="F144" s="144">
        <v>0</v>
      </c>
      <c r="G144" s="161" t="str">
        <f t="shared" si="5"/>
        <v xml:space="preserve">  107912</v>
      </c>
      <c r="H144" s="155">
        <v>107912</v>
      </c>
      <c r="I144" s="307"/>
    </row>
    <row r="145" spans="2:9" outlineLevel="1">
      <c r="B145" s="122" t="s">
        <v>946</v>
      </c>
      <c r="C145" s="145">
        <v>0</v>
      </c>
      <c r="D145" s="145">
        <v>0</v>
      </c>
      <c r="E145" s="144">
        <v>0</v>
      </c>
      <c r="F145" s="144">
        <v>0</v>
      </c>
      <c r="G145" s="161" t="str">
        <f t="shared" si="5"/>
        <v xml:space="preserve">  107921</v>
      </c>
      <c r="H145" s="155">
        <v>107921</v>
      </c>
    </row>
    <row r="146" spans="2:9" outlineLevel="1">
      <c r="B146" s="122" t="s">
        <v>947</v>
      </c>
      <c r="C146" s="144">
        <v>-328593.07</v>
      </c>
      <c r="D146" s="145">
        <v>0</v>
      </c>
      <c r="E146" s="144">
        <v>-328593.07</v>
      </c>
      <c r="F146" s="144">
        <v>0</v>
      </c>
      <c r="G146" s="161" t="str">
        <f t="shared" si="5"/>
        <v xml:space="preserve">  107924</v>
      </c>
      <c r="H146" s="155">
        <v>107924</v>
      </c>
      <c r="I146" s="308">
        <v>107924</v>
      </c>
    </row>
    <row r="147" spans="2:9" outlineLevel="1">
      <c r="B147" s="122" t="s">
        <v>948</v>
      </c>
      <c r="C147" s="144">
        <v>-353757.45</v>
      </c>
      <c r="D147" s="145">
        <v>0</v>
      </c>
      <c r="E147" s="144">
        <v>-353757.45</v>
      </c>
      <c r="F147" s="144">
        <v>0</v>
      </c>
      <c r="G147" s="161" t="str">
        <f t="shared" si="5"/>
        <v xml:space="preserve">  107925</v>
      </c>
      <c r="H147" s="155">
        <v>107925</v>
      </c>
      <c r="I147" s="308">
        <v>107925</v>
      </c>
    </row>
    <row r="148" spans="2:9" outlineLevel="1">
      <c r="B148" s="122" t="s">
        <v>949</v>
      </c>
      <c r="C148" s="144">
        <v>-364402.22</v>
      </c>
      <c r="D148" s="145">
        <v>0</v>
      </c>
      <c r="E148" s="144">
        <v>-364402.22</v>
      </c>
      <c r="F148" s="144">
        <v>0</v>
      </c>
      <c r="G148" s="161" t="str">
        <f t="shared" si="5"/>
        <v xml:space="preserve">  107926</v>
      </c>
      <c r="H148" s="155">
        <v>107926</v>
      </c>
      <c r="I148" s="307">
        <v>107926</v>
      </c>
    </row>
    <row r="149" spans="2:9" outlineLevel="1">
      <c r="B149" s="122" t="s">
        <v>950</v>
      </c>
      <c r="C149" s="144">
        <v>-510858.37</v>
      </c>
      <c r="D149" s="145">
        <v>0</v>
      </c>
      <c r="E149" s="144">
        <v>-510858.37</v>
      </c>
      <c r="F149" s="144">
        <v>0</v>
      </c>
      <c r="G149" s="161" t="str">
        <f t="shared" si="5"/>
        <v xml:space="preserve">  107928</v>
      </c>
      <c r="H149" s="155">
        <v>107928</v>
      </c>
      <c r="I149" s="307">
        <v>107928</v>
      </c>
    </row>
    <row r="150" spans="2:9" outlineLevel="1">
      <c r="B150" s="122" t="s">
        <v>951</v>
      </c>
      <c r="C150" s="144">
        <v>-619008.35</v>
      </c>
      <c r="D150" s="145">
        <v>0</v>
      </c>
      <c r="E150" s="144">
        <v>-619008.35</v>
      </c>
      <c r="F150" s="144">
        <v>0</v>
      </c>
      <c r="G150" s="161" t="str">
        <f t="shared" si="5"/>
        <v xml:space="preserve">  107929</v>
      </c>
      <c r="H150" s="155">
        <v>107929</v>
      </c>
      <c r="I150" s="308">
        <v>107929</v>
      </c>
    </row>
    <row r="151" spans="2:9" outlineLevel="1">
      <c r="B151" s="122" t="s">
        <v>952</v>
      </c>
      <c r="C151" s="144">
        <v>-458620.15999999997</v>
      </c>
      <c r="D151" s="145">
        <v>0</v>
      </c>
      <c r="E151" s="144">
        <v>-458620.15999999997</v>
      </c>
      <c r="F151" s="144">
        <v>0</v>
      </c>
      <c r="G151" s="161" t="str">
        <f t="shared" si="5"/>
        <v xml:space="preserve">  107933</v>
      </c>
      <c r="H151" s="155">
        <v>107933</v>
      </c>
      <c r="I151" s="308">
        <v>107933</v>
      </c>
    </row>
    <row r="152" spans="2:9" outlineLevel="1">
      <c r="B152" s="122" t="s">
        <v>953</v>
      </c>
      <c r="C152" s="145">
        <v>0</v>
      </c>
      <c r="D152" s="145">
        <v>0</v>
      </c>
      <c r="E152" s="144">
        <v>0</v>
      </c>
      <c r="F152" s="144">
        <v>0</v>
      </c>
      <c r="G152" s="161" t="str">
        <f t="shared" si="5"/>
        <v xml:space="preserve">  107935</v>
      </c>
      <c r="H152" s="155">
        <v>107935</v>
      </c>
      <c r="I152" s="308"/>
    </row>
    <row r="153" spans="2:9" outlineLevel="1">
      <c r="B153" s="122" t="s">
        <v>954</v>
      </c>
      <c r="C153" s="144">
        <v>-189986.35</v>
      </c>
      <c r="D153" s="145">
        <v>0</v>
      </c>
      <c r="E153" s="144">
        <v>-189986.35</v>
      </c>
      <c r="F153" s="144">
        <v>0</v>
      </c>
      <c r="G153" s="161" t="str">
        <f t="shared" si="5"/>
        <v xml:space="preserve">  107936</v>
      </c>
      <c r="H153" s="155">
        <v>107936</v>
      </c>
      <c r="I153" s="307">
        <v>107936</v>
      </c>
    </row>
    <row r="154" spans="2:9" outlineLevel="1">
      <c r="B154" s="122" t="s">
        <v>955</v>
      </c>
      <c r="C154" s="144">
        <v>-225636.02</v>
      </c>
      <c r="D154" s="145">
        <v>0</v>
      </c>
      <c r="E154" s="144">
        <v>-225636.02</v>
      </c>
      <c r="F154" s="144">
        <v>0</v>
      </c>
      <c r="G154" s="161" t="str">
        <f t="shared" si="5"/>
        <v xml:space="preserve">  107937</v>
      </c>
      <c r="H154" s="155">
        <v>107937</v>
      </c>
      <c r="I154" s="308">
        <v>107937</v>
      </c>
    </row>
    <row r="155" spans="2:9" outlineLevel="1">
      <c r="B155" s="122" t="s">
        <v>956</v>
      </c>
      <c r="C155" s="144">
        <v>-476259.56</v>
      </c>
      <c r="D155" s="145">
        <v>0</v>
      </c>
      <c r="E155" s="144">
        <v>-476259.56</v>
      </c>
      <c r="F155" s="144">
        <v>0</v>
      </c>
      <c r="G155" s="161" t="str">
        <f t="shared" si="5"/>
        <v xml:space="preserve">  107940</v>
      </c>
      <c r="H155" s="155">
        <v>107940</v>
      </c>
      <c r="I155" s="307">
        <v>107940</v>
      </c>
    </row>
    <row r="156" spans="2:9" outlineLevel="1">
      <c r="B156" s="122" t="s">
        <v>957</v>
      </c>
      <c r="C156" s="145">
        <v>0</v>
      </c>
      <c r="D156" s="145">
        <v>0</v>
      </c>
      <c r="E156" s="144">
        <v>0</v>
      </c>
      <c r="F156" s="144">
        <v>0</v>
      </c>
      <c r="G156" s="161" t="str">
        <f t="shared" si="5"/>
        <v xml:space="preserve">  107941</v>
      </c>
      <c r="H156" s="155">
        <v>107941</v>
      </c>
      <c r="I156" s="307"/>
    </row>
    <row r="157" spans="2:9" outlineLevel="1">
      <c r="B157" s="122" t="s">
        <v>958</v>
      </c>
      <c r="C157" s="145">
        <v>0</v>
      </c>
      <c r="D157" s="145">
        <v>0</v>
      </c>
      <c r="E157" s="144">
        <v>0</v>
      </c>
      <c r="F157" s="144">
        <v>0</v>
      </c>
      <c r="G157" s="161" t="str">
        <f t="shared" si="5"/>
        <v xml:space="preserve">  107947</v>
      </c>
      <c r="H157" s="155">
        <v>107947</v>
      </c>
      <c r="I157" s="307"/>
    </row>
    <row r="158" spans="2:9" outlineLevel="1">
      <c r="B158" s="122" t="s">
        <v>959</v>
      </c>
      <c r="C158" s="144">
        <v>-610649.68999999994</v>
      </c>
      <c r="D158" s="145">
        <v>0</v>
      </c>
      <c r="E158" s="144">
        <v>-610649.68999999994</v>
      </c>
      <c r="F158" s="144">
        <v>0</v>
      </c>
      <c r="G158" s="161" t="str">
        <f t="shared" si="5"/>
        <v xml:space="preserve">  107948</v>
      </c>
      <c r="H158" s="155">
        <v>107948</v>
      </c>
      <c r="I158" s="307">
        <v>107948</v>
      </c>
    </row>
    <row r="159" spans="2:9" outlineLevel="1">
      <c r="B159" s="122" t="s">
        <v>960</v>
      </c>
      <c r="C159" s="144">
        <v>-649200.09</v>
      </c>
      <c r="D159" s="145">
        <v>0</v>
      </c>
      <c r="E159" s="144">
        <v>-649200.09</v>
      </c>
      <c r="F159" s="144">
        <v>0</v>
      </c>
      <c r="G159" s="161" t="str">
        <f t="shared" si="5"/>
        <v xml:space="preserve">  107952</v>
      </c>
      <c r="H159" s="155">
        <v>107952</v>
      </c>
      <c r="I159" s="308">
        <v>107952</v>
      </c>
    </row>
    <row r="160" spans="2:9" outlineLevel="1">
      <c r="B160" s="122" t="s">
        <v>961</v>
      </c>
      <c r="C160" s="144">
        <v>-691287.04000000004</v>
      </c>
      <c r="D160" s="145">
        <v>0</v>
      </c>
      <c r="E160" s="144">
        <v>-691287.04000000004</v>
      </c>
      <c r="F160" s="144">
        <v>0</v>
      </c>
      <c r="G160" s="161" t="str">
        <f t="shared" si="5"/>
        <v xml:space="preserve">  107958</v>
      </c>
      <c r="H160" s="155">
        <v>107958</v>
      </c>
      <c r="I160" s="307">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6">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3"/>
      <c r="C185" s="234"/>
      <c r="D185" s="235"/>
      <c r="E185" s="234"/>
      <c r="F185" s="144"/>
      <c r="G185" s="161" t="str">
        <f>LEFT(B185,8)</f>
        <v/>
      </c>
      <c r="H185" s="132"/>
      <c r="I185" s="60"/>
    </row>
    <row r="186" spans="2:9">
      <c r="B186" s="122"/>
      <c r="C186" s="144"/>
      <c r="D186" s="145"/>
      <c r="E186" s="144"/>
      <c r="F186" s="144"/>
      <c r="G186" s="161"/>
      <c r="H186" s="132" t="s">
        <v>710</v>
      </c>
    </row>
    <row r="187" spans="2:9">
      <c r="B187" s="122"/>
      <c r="C187" s="144"/>
      <c r="D187" s="145"/>
      <c r="E187" s="144"/>
      <c r="F187" s="144"/>
      <c r="G187" s="161"/>
      <c r="H187" s="132"/>
    </row>
    <row r="188" spans="2:9">
      <c r="B188" s="146" t="s">
        <v>711</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6" tint="0.59999389629810485"/>
  </sheetPr>
  <dimension ref="A1:EA260"/>
  <sheetViews>
    <sheetView workbookViewId="0">
      <pane xSplit="5" ySplit="4" topLeftCell="F108" activePane="bottomRight" state="frozen"/>
      <selection pane="topRight" activeCell="F1" sqref="F1"/>
      <selection pane="bottomLeft" activeCell="A5" sqref="A5"/>
      <selection pane="bottomRight" activeCell="B162" sqref="B162"/>
    </sheetView>
  </sheetViews>
  <sheetFormatPr defaultRowHeight="12.75"/>
  <cols>
    <col min="1" max="1" width="14.85546875" style="364" bestFit="1" customWidth="1"/>
    <col min="2" max="2" width="13.85546875" style="364" bestFit="1" customWidth="1"/>
    <col min="3" max="3" width="18.7109375" style="364" bestFit="1" customWidth="1"/>
    <col min="4" max="4" width="11.5703125" bestFit="1"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63"/>
      <c r="DR1" s="365" t="s">
        <v>150</v>
      </c>
    </row>
    <row r="2" spans="1:125" s="367" customFormat="1">
      <c r="A2" s="366">
        <v>1</v>
      </c>
      <c r="B2" s="366">
        <f>A2+1</f>
        <v>2</v>
      </c>
      <c r="C2" s="366">
        <f t="shared" ref="C2:E2" si="0">B2+1</f>
        <v>3</v>
      </c>
      <c r="D2" s="366">
        <f t="shared" si="0"/>
        <v>4</v>
      </c>
      <c r="E2" s="366">
        <f t="shared" si="0"/>
        <v>5</v>
      </c>
      <c r="F2" s="366">
        <f t="shared" ref="F2" si="1">E2+1</f>
        <v>6</v>
      </c>
      <c r="G2" s="366">
        <f t="shared" ref="G2" si="2">F2+1</f>
        <v>7</v>
      </c>
      <c r="H2" s="366">
        <f t="shared" ref="H2" si="3">G2+1</f>
        <v>8</v>
      </c>
      <c r="I2" s="366">
        <f t="shared" ref="I2" si="4">H2+1</f>
        <v>9</v>
      </c>
      <c r="J2" s="366">
        <f t="shared" ref="J2" si="5">I2+1</f>
        <v>10</v>
      </c>
      <c r="K2" s="366">
        <f t="shared" ref="K2" si="6">J2+1</f>
        <v>11</v>
      </c>
      <c r="L2" s="366">
        <f t="shared" ref="L2" si="7">K2+1</f>
        <v>12</v>
      </c>
      <c r="M2" s="366">
        <f t="shared" ref="M2" si="8">L2+1</f>
        <v>13</v>
      </c>
      <c r="N2" s="366">
        <f t="shared" ref="N2" si="9">M2+1</f>
        <v>14</v>
      </c>
      <c r="O2" s="366">
        <f t="shared" ref="O2" si="10">N2+1</f>
        <v>15</v>
      </c>
      <c r="P2" s="366">
        <f t="shared" ref="P2" si="11">O2+1</f>
        <v>16</v>
      </c>
      <c r="Q2" s="366">
        <f t="shared" ref="Q2" si="12">P2+1</f>
        <v>17</v>
      </c>
      <c r="R2" s="366">
        <f t="shared" ref="R2" si="13">Q2+1</f>
        <v>18</v>
      </c>
      <c r="S2" s="366">
        <f t="shared" ref="S2" si="14">R2+1</f>
        <v>19</v>
      </c>
      <c r="T2" s="366">
        <f t="shared" ref="T2" si="15">S2+1</f>
        <v>20</v>
      </c>
      <c r="U2" s="366">
        <f t="shared" ref="U2" si="16">T2+1</f>
        <v>21</v>
      </c>
      <c r="V2" s="366">
        <f t="shared" ref="V2" si="17">U2+1</f>
        <v>22</v>
      </c>
      <c r="W2" s="366">
        <f t="shared" ref="W2" si="18">V2+1</f>
        <v>23</v>
      </c>
      <c r="X2" s="366">
        <f t="shared" ref="X2" si="19">W2+1</f>
        <v>24</v>
      </c>
      <c r="Y2" s="366">
        <f t="shared" ref="Y2" si="20">X2+1</f>
        <v>25</v>
      </c>
      <c r="Z2" s="366">
        <f t="shared" ref="Z2" si="21">Y2+1</f>
        <v>26</v>
      </c>
      <c r="AA2" s="366">
        <f t="shared" ref="AA2" si="22">Z2+1</f>
        <v>27</v>
      </c>
      <c r="AB2" s="366">
        <f t="shared" ref="AB2" si="23">AA2+1</f>
        <v>28</v>
      </c>
      <c r="AC2" s="366">
        <f t="shared" ref="AC2" si="24">AB2+1</f>
        <v>29</v>
      </c>
      <c r="AD2" s="366">
        <f t="shared" ref="AD2" si="25">AC2+1</f>
        <v>30</v>
      </c>
      <c r="AE2" s="366">
        <f t="shared" ref="AE2" si="26">AD2+1</f>
        <v>31</v>
      </c>
      <c r="AF2" s="366">
        <f t="shared" ref="AF2" si="27">AE2+1</f>
        <v>32</v>
      </c>
      <c r="AG2" s="366">
        <f t="shared" ref="AG2" si="28">AF2+1</f>
        <v>33</v>
      </c>
      <c r="AH2" s="366">
        <f t="shared" ref="AH2" si="29">AG2+1</f>
        <v>34</v>
      </c>
      <c r="AI2" s="366">
        <f t="shared" ref="AI2" si="30">AH2+1</f>
        <v>35</v>
      </c>
      <c r="AJ2" s="366">
        <f t="shared" ref="AJ2" si="31">AI2+1</f>
        <v>36</v>
      </c>
      <c r="AK2" s="366">
        <f t="shared" ref="AK2" si="32">AJ2+1</f>
        <v>37</v>
      </c>
      <c r="AL2" s="366">
        <f t="shared" ref="AL2" si="33">AK2+1</f>
        <v>38</v>
      </c>
      <c r="AM2" s="366">
        <f t="shared" ref="AM2" si="34">AL2+1</f>
        <v>39</v>
      </c>
      <c r="AN2" s="366">
        <f t="shared" ref="AN2" si="35">AM2+1</f>
        <v>40</v>
      </c>
      <c r="AO2" s="366">
        <f t="shared" ref="AO2" si="36">AN2+1</f>
        <v>41</v>
      </c>
      <c r="AP2" s="366">
        <f t="shared" ref="AP2" si="37">AO2+1</f>
        <v>42</v>
      </c>
      <c r="AQ2" s="366">
        <f t="shared" ref="AQ2" si="38">AP2+1</f>
        <v>43</v>
      </c>
      <c r="AR2" s="366">
        <f t="shared" ref="AR2" si="39">AQ2+1</f>
        <v>44</v>
      </c>
      <c r="AS2" s="366">
        <f t="shared" ref="AS2" si="40">AR2+1</f>
        <v>45</v>
      </c>
      <c r="AT2" s="366">
        <f t="shared" ref="AT2" si="41">AS2+1</f>
        <v>46</v>
      </c>
      <c r="AU2" s="366">
        <f t="shared" ref="AU2" si="42">AT2+1</f>
        <v>47</v>
      </c>
      <c r="AV2" s="366">
        <f t="shared" ref="AV2" si="43">AU2+1</f>
        <v>48</v>
      </c>
      <c r="AW2" s="366">
        <f t="shared" ref="AW2" si="44">AV2+1</f>
        <v>49</v>
      </c>
      <c r="AX2" s="366">
        <f t="shared" ref="AX2" si="45">AW2+1</f>
        <v>50</v>
      </c>
      <c r="AY2" s="366">
        <f t="shared" ref="AY2" si="46">AX2+1</f>
        <v>51</v>
      </c>
      <c r="AZ2" s="366">
        <f t="shared" ref="AZ2" si="47">AY2+1</f>
        <v>52</v>
      </c>
      <c r="BA2" s="366">
        <f t="shared" ref="BA2" si="48">AZ2+1</f>
        <v>53</v>
      </c>
      <c r="BB2" s="366">
        <f t="shared" ref="BB2" si="49">BA2+1</f>
        <v>54</v>
      </c>
      <c r="BC2" s="366">
        <f t="shared" ref="BC2" si="50">BB2+1</f>
        <v>55</v>
      </c>
      <c r="BD2" s="366">
        <f t="shared" ref="BD2" si="51">BC2+1</f>
        <v>56</v>
      </c>
      <c r="BE2" s="366">
        <f t="shared" ref="BE2" si="52">BD2+1</f>
        <v>57</v>
      </c>
      <c r="BF2" s="366">
        <f t="shared" ref="BF2" si="53">BE2+1</f>
        <v>58</v>
      </c>
      <c r="BG2" s="366">
        <f t="shared" ref="BG2" si="54">BF2+1</f>
        <v>59</v>
      </c>
      <c r="BH2" s="366">
        <f t="shared" ref="BH2" si="55">BG2+1</f>
        <v>60</v>
      </c>
      <c r="BI2" s="366">
        <f t="shared" ref="BI2" si="56">BH2+1</f>
        <v>61</v>
      </c>
      <c r="BJ2" s="366">
        <f t="shared" ref="BJ2" si="57">BI2+1</f>
        <v>62</v>
      </c>
      <c r="BK2" s="366">
        <f t="shared" ref="BK2" si="58">BJ2+1</f>
        <v>63</v>
      </c>
      <c r="BL2" s="366">
        <f t="shared" ref="BL2" si="59">BK2+1</f>
        <v>64</v>
      </c>
      <c r="BM2" s="366">
        <f t="shared" ref="BM2" si="60">BL2+1</f>
        <v>65</v>
      </c>
      <c r="BN2" s="366">
        <f t="shared" ref="BN2" si="61">BM2+1</f>
        <v>66</v>
      </c>
      <c r="BO2" s="366">
        <f t="shared" ref="BO2" si="62">BN2+1</f>
        <v>67</v>
      </c>
      <c r="BP2" s="366">
        <f t="shared" ref="BP2" si="63">BO2+1</f>
        <v>68</v>
      </c>
      <c r="BQ2" s="366">
        <f t="shared" ref="BQ2" si="64">BP2+1</f>
        <v>69</v>
      </c>
      <c r="BR2" s="366">
        <f t="shared" ref="BR2" si="65">BQ2+1</f>
        <v>70</v>
      </c>
      <c r="BS2" s="366">
        <f t="shared" ref="BS2" si="66">BR2+1</f>
        <v>71</v>
      </c>
      <c r="BT2" s="366">
        <f t="shared" ref="BT2" si="67">BS2+1</f>
        <v>72</v>
      </c>
      <c r="BU2" s="366">
        <f t="shared" ref="BU2" si="68">BT2+1</f>
        <v>73</v>
      </c>
      <c r="BV2" s="366">
        <f t="shared" ref="BV2" si="69">BU2+1</f>
        <v>74</v>
      </c>
      <c r="BW2" s="366">
        <f t="shared" ref="BW2" si="70">BV2+1</f>
        <v>75</v>
      </c>
      <c r="BX2" s="366">
        <f t="shared" ref="BX2" si="71">BW2+1</f>
        <v>76</v>
      </c>
      <c r="BY2" s="366">
        <f t="shared" ref="BY2" si="72">BX2+1</f>
        <v>77</v>
      </c>
      <c r="BZ2" s="366">
        <f t="shared" ref="BZ2" si="73">BY2+1</f>
        <v>78</v>
      </c>
      <c r="CA2" s="366">
        <f t="shared" ref="CA2" si="74">BZ2+1</f>
        <v>79</v>
      </c>
      <c r="CB2" s="366">
        <f t="shared" ref="CB2" si="75">CA2+1</f>
        <v>80</v>
      </c>
      <c r="CC2" s="366">
        <f t="shared" ref="CC2" si="76">CB2+1</f>
        <v>81</v>
      </c>
      <c r="CD2" s="366">
        <f t="shared" ref="CD2" si="77">CC2+1</f>
        <v>82</v>
      </c>
      <c r="CE2" s="366">
        <f t="shared" ref="CE2" si="78">CD2+1</f>
        <v>83</v>
      </c>
      <c r="CF2" s="366">
        <f t="shared" ref="CF2" si="79">CE2+1</f>
        <v>84</v>
      </c>
      <c r="CG2" s="366">
        <f t="shared" ref="CG2" si="80">CF2+1</f>
        <v>85</v>
      </c>
      <c r="CH2" s="366">
        <f t="shared" ref="CH2" si="81">CG2+1</f>
        <v>86</v>
      </c>
      <c r="CI2" s="366">
        <f t="shared" ref="CI2" si="82">CH2+1</f>
        <v>87</v>
      </c>
      <c r="CJ2" s="366">
        <f t="shared" ref="CJ2" si="83">CI2+1</f>
        <v>88</v>
      </c>
      <c r="CK2" s="366">
        <f t="shared" ref="CK2" si="84">CJ2+1</f>
        <v>89</v>
      </c>
      <c r="CL2" s="366">
        <f t="shared" ref="CL2" si="85">CK2+1</f>
        <v>90</v>
      </c>
      <c r="CM2" s="366">
        <f t="shared" ref="CM2" si="86">CL2+1</f>
        <v>91</v>
      </c>
      <c r="CN2" s="366">
        <f t="shared" ref="CN2" si="87">CM2+1</f>
        <v>92</v>
      </c>
      <c r="CO2" s="366">
        <f t="shared" ref="CO2" si="88">CN2+1</f>
        <v>93</v>
      </c>
      <c r="CP2" s="366">
        <f t="shared" ref="CP2" si="89">CO2+1</f>
        <v>94</v>
      </c>
      <c r="CQ2" s="366">
        <f t="shared" ref="CQ2" si="90">CP2+1</f>
        <v>95</v>
      </c>
      <c r="CR2" s="366">
        <f t="shared" ref="CR2" si="91">CQ2+1</f>
        <v>96</v>
      </c>
      <c r="CS2" s="366">
        <f t="shared" ref="CS2" si="92">CR2+1</f>
        <v>97</v>
      </c>
      <c r="CT2" s="366">
        <f t="shared" ref="CT2" si="93">CS2+1</f>
        <v>98</v>
      </c>
      <c r="CU2" s="366">
        <f t="shared" ref="CU2" si="94">CT2+1</f>
        <v>99</v>
      </c>
      <c r="CV2" s="366">
        <f t="shared" ref="CV2" si="95">CU2+1</f>
        <v>100</v>
      </c>
      <c r="CW2" s="366">
        <f t="shared" ref="CW2" si="96">CV2+1</f>
        <v>101</v>
      </c>
      <c r="CX2" s="366">
        <f t="shared" ref="CX2" si="97">CW2+1</f>
        <v>102</v>
      </c>
      <c r="CY2" s="366">
        <f t="shared" ref="CY2" si="98">CX2+1</f>
        <v>103</v>
      </c>
      <c r="CZ2" s="366">
        <f t="shared" ref="CZ2" si="99">CY2+1</f>
        <v>104</v>
      </c>
      <c r="DA2" s="366">
        <f t="shared" ref="DA2" si="100">CZ2+1</f>
        <v>105</v>
      </c>
      <c r="DB2" s="366">
        <f t="shared" ref="DB2" si="101">DA2+1</f>
        <v>106</v>
      </c>
      <c r="DC2" s="366">
        <f t="shared" ref="DC2" si="102">DB2+1</f>
        <v>107</v>
      </c>
      <c r="DD2" s="366">
        <f t="shared" ref="DD2" si="103">DC2+1</f>
        <v>108</v>
      </c>
      <c r="DE2" s="366">
        <f t="shared" ref="DE2" si="104">DD2+1</f>
        <v>109</v>
      </c>
      <c r="DF2" s="366">
        <f t="shared" ref="DF2" si="105">DE2+1</f>
        <v>110</v>
      </c>
      <c r="DG2" s="366">
        <f t="shared" ref="DG2" si="106">DF2+1</f>
        <v>111</v>
      </c>
      <c r="DH2" s="366">
        <f t="shared" ref="DH2" si="107">DG2+1</f>
        <v>112</v>
      </c>
      <c r="DI2" s="366">
        <f t="shared" ref="DI2" si="108">DH2+1</f>
        <v>113</v>
      </c>
      <c r="DJ2" s="366">
        <f t="shared" ref="DJ2" si="109">DI2+1</f>
        <v>114</v>
      </c>
      <c r="DK2" s="366">
        <f t="shared" ref="DK2" si="110">DJ2+1</f>
        <v>115</v>
      </c>
      <c r="DL2" s="366">
        <f t="shared" ref="DL2" si="111">DK2+1</f>
        <v>116</v>
      </c>
      <c r="DM2" s="366">
        <f t="shared" ref="DM2" si="112">DL2+1</f>
        <v>117</v>
      </c>
      <c r="DN2" s="366">
        <f t="shared" ref="DN2" si="113">DM2+1</f>
        <v>118</v>
      </c>
      <c r="DO2" s="366">
        <f t="shared" ref="DO2" si="114">DN2+1</f>
        <v>119</v>
      </c>
      <c r="DP2" s="366">
        <f t="shared" ref="DP2" si="115">DO2+1</f>
        <v>120</v>
      </c>
      <c r="DQ2" s="366">
        <f t="shared" ref="DQ2" si="116">DP2+1</f>
        <v>121</v>
      </c>
      <c r="DR2" s="366">
        <f t="shared" ref="DR2" si="117">DQ2+1</f>
        <v>122</v>
      </c>
      <c r="DS2" s="366">
        <f t="shared" ref="DS2" si="118">DR2+1</f>
        <v>123</v>
      </c>
      <c r="DT2" s="366">
        <f t="shared" ref="DT2" si="119">DS2+1</f>
        <v>124</v>
      </c>
      <c r="DU2" s="366">
        <f t="shared" ref="DU2" si="120">DT2+1</f>
        <v>125</v>
      </c>
    </row>
    <row r="3" spans="1:125">
      <c r="I3" s="443" t="s">
        <v>151</v>
      </c>
      <c r="J3" s="443"/>
      <c r="K3" s="443"/>
      <c r="L3" s="443"/>
      <c r="M3" s="443"/>
      <c r="N3" s="443"/>
      <c r="O3" s="443"/>
      <c r="Q3" s="444" t="s">
        <v>152</v>
      </c>
      <c r="R3" s="444"/>
      <c r="S3" s="444"/>
      <c r="T3" s="444"/>
      <c r="U3" s="444"/>
      <c r="V3" s="444"/>
      <c r="W3" s="444"/>
      <c r="X3" s="444"/>
      <c r="Y3" s="444"/>
      <c r="Z3" s="444"/>
      <c r="AA3" s="444"/>
      <c r="AB3" s="444"/>
      <c r="AC3" s="444"/>
      <c r="AD3" s="444"/>
      <c r="AE3" s="444"/>
      <c r="AF3" s="444"/>
      <c r="AG3" s="444"/>
      <c r="AH3" s="444"/>
      <c r="AI3" s="444"/>
      <c r="AJ3" s="444"/>
      <c r="AK3" s="444"/>
      <c r="AL3" s="444"/>
      <c r="AN3" s="445" t="s">
        <v>153</v>
      </c>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C3" s="446" t="s">
        <v>154</v>
      </c>
      <c r="CD3" s="446"/>
      <c r="CE3" s="446"/>
      <c r="CF3" s="446"/>
      <c r="CH3" s="447" t="s">
        <v>155</v>
      </c>
      <c r="CI3" s="447"/>
      <c r="CJ3" s="447"/>
      <c r="CK3" s="447"/>
      <c r="CL3" s="447"/>
      <c r="CM3" s="447"/>
      <c r="CN3" s="447"/>
      <c r="CO3" s="447"/>
      <c r="CP3" s="447"/>
      <c r="CR3" s="443" t="s">
        <v>156</v>
      </c>
      <c r="CS3" s="443"/>
      <c r="CT3" s="443"/>
      <c r="CU3" s="443"/>
      <c r="CV3" s="443"/>
      <c r="CW3" s="443"/>
      <c r="CX3" s="443"/>
      <c r="DH3" s="155" t="s">
        <v>157</v>
      </c>
      <c r="DI3" s="156"/>
      <c r="DK3" s="443" t="s">
        <v>158</v>
      </c>
      <c r="DL3" s="443"/>
      <c r="DM3" s="443"/>
      <c r="DN3" s="443" t="s">
        <v>159</v>
      </c>
      <c r="DO3" s="443"/>
      <c r="DP3" s="443"/>
      <c r="DR3" s="368" t="s">
        <v>160</v>
      </c>
    </row>
    <row r="4" spans="1:125" ht="54.75" customHeight="1">
      <c r="A4" s="369" t="s">
        <v>161</v>
      </c>
      <c r="B4" s="369" t="s">
        <v>162</v>
      </c>
      <c r="C4" s="369" t="s">
        <v>163</v>
      </c>
      <c r="D4" s="369" t="s">
        <v>164</v>
      </c>
      <c r="E4" s="369" t="s">
        <v>165</v>
      </c>
      <c r="F4" s="369" t="s">
        <v>166</v>
      </c>
      <c r="G4" s="369" t="s">
        <v>167</v>
      </c>
      <c r="H4" s="369" t="s">
        <v>168</v>
      </c>
      <c r="I4" s="369" t="s">
        <v>2</v>
      </c>
      <c r="J4" s="369" t="s">
        <v>5</v>
      </c>
      <c r="K4" s="369" t="s">
        <v>7</v>
      </c>
      <c r="L4" s="369" t="s">
        <v>10</v>
      </c>
      <c r="M4" s="369" t="s">
        <v>12</v>
      </c>
      <c r="N4" s="369" t="s">
        <v>14</v>
      </c>
      <c r="O4" s="369" t="s">
        <v>169</v>
      </c>
      <c r="P4" s="369"/>
      <c r="Q4" s="370" t="s">
        <v>18</v>
      </c>
      <c r="R4" s="370" t="s">
        <v>20</v>
      </c>
      <c r="S4" s="370" t="s">
        <v>22</v>
      </c>
      <c r="T4" s="370" t="s">
        <v>24</v>
      </c>
      <c r="U4" s="370" t="s">
        <v>26</v>
      </c>
      <c r="V4" s="370" t="s">
        <v>28</v>
      </c>
      <c r="W4" s="370" t="s">
        <v>30</v>
      </c>
      <c r="X4" s="370" t="s">
        <v>32</v>
      </c>
      <c r="Y4" s="370" t="s">
        <v>34</v>
      </c>
      <c r="Z4" s="370" t="s">
        <v>36</v>
      </c>
      <c r="AA4" s="370" t="s">
        <v>38</v>
      </c>
      <c r="AB4" s="370" t="s">
        <v>40</v>
      </c>
      <c r="AC4" s="370" t="s">
        <v>42</v>
      </c>
      <c r="AD4" s="370" t="s">
        <v>44</v>
      </c>
      <c r="AE4" s="370" t="s">
        <v>46</v>
      </c>
      <c r="AF4" s="370" t="s">
        <v>47</v>
      </c>
      <c r="AG4" s="370" t="s">
        <v>49</v>
      </c>
      <c r="AH4" s="370" t="s">
        <v>51</v>
      </c>
      <c r="AI4" s="370" t="s">
        <v>53</v>
      </c>
      <c r="AJ4" s="370" t="s">
        <v>55</v>
      </c>
      <c r="AK4" s="370" t="s">
        <v>57</v>
      </c>
      <c r="AL4" s="370" t="s">
        <v>169</v>
      </c>
      <c r="AM4" s="369"/>
      <c r="AN4" s="371" t="s">
        <v>61</v>
      </c>
      <c r="AO4" s="371" t="s">
        <v>63</v>
      </c>
      <c r="AP4" s="371" t="s">
        <v>65</v>
      </c>
      <c r="AQ4" s="371" t="s">
        <v>67</v>
      </c>
      <c r="AR4" s="371" t="s">
        <v>69</v>
      </c>
      <c r="AS4" s="371" t="s">
        <v>71</v>
      </c>
      <c r="AT4" s="371" t="s">
        <v>73</v>
      </c>
      <c r="AU4" s="371" t="s">
        <v>75</v>
      </c>
      <c r="AV4" s="371" t="s">
        <v>77</v>
      </c>
      <c r="AW4" s="371" t="s">
        <v>79</v>
      </c>
      <c r="AX4" s="371" t="s">
        <v>81</v>
      </c>
      <c r="AY4" s="371" t="s">
        <v>83</v>
      </c>
      <c r="AZ4" s="371" t="s">
        <v>85</v>
      </c>
      <c r="BA4" s="371" t="s">
        <v>87</v>
      </c>
      <c r="BB4" s="371" t="s">
        <v>89</v>
      </c>
      <c r="BC4" s="371" t="s">
        <v>91</v>
      </c>
      <c r="BD4" s="371" t="s">
        <v>93</v>
      </c>
      <c r="BE4" s="371" t="s">
        <v>95</v>
      </c>
      <c r="BF4" s="371" t="s">
        <v>97</v>
      </c>
      <c r="BG4" s="372" t="s">
        <v>790</v>
      </c>
      <c r="BH4" s="372" t="s">
        <v>791</v>
      </c>
      <c r="BI4" s="372" t="s">
        <v>792</v>
      </c>
      <c r="BJ4" s="372" t="s">
        <v>793</v>
      </c>
      <c r="BK4" s="372" t="s">
        <v>794</v>
      </c>
      <c r="BL4" s="372" t="s">
        <v>795</v>
      </c>
      <c r="BM4" s="372" t="s">
        <v>796</v>
      </c>
      <c r="BN4" s="371" t="s">
        <v>101</v>
      </c>
      <c r="BO4" s="371" t="s">
        <v>103</v>
      </c>
      <c r="BP4" s="371" t="s">
        <v>105</v>
      </c>
      <c r="BQ4" s="371" t="s">
        <v>107</v>
      </c>
      <c r="BR4" s="371" t="s">
        <v>109</v>
      </c>
      <c r="BS4" s="371" t="s">
        <v>111</v>
      </c>
      <c r="BT4" s="371" t="s">
        <v>113</v>
      </c>
      <c r="BU4" s="371" t="s">
        <v>170</v>
      </c>
      <c r="BV4" s="373" t="s">
        <v>171</v>
      </c>
      <c r="BW4" s="371" t="s">
        <v>117</v>
      </c>
      <c r="BX4" s="371" t="s">
        <v>119</v>
      </c>
      <c r="BY4" s="371" t="s">
        <v>121</v>
      </c>
      <c r="BZ4" s="371" t="s">
        <v>123</v>
      </c>
      <c r="CA4" s="371" t="s">
        <v>169</v>
      </c>
      <c r="CB4" s="369"/>
      <c r="CC4" s="374" t="s">
        <v>127</v>
      </c>
      <c r="CD4" s="374" t="s">
        <v>129</v>
      </c>
      <c r="CE4" s="374" t="s">
        <v>131</v>
      </c>
      <c r="CF4" s="374" t="s">
        <v>169</v>
      </c>
      <c r="CG4" s="369"/>
      <c r="CH4" s="375" t="s">
        <v>135</v>
      </c>
      <c r="CI4" s="375" t="s">
        <v>137</v>
      </c>
      <c r="CJ4" s="375" t="s">
        <v>139</v>
      </c>
      <c r="CK4" s="375" t="s">
        <v>809</v>
      </c>
      <c r="CL4" s="375" t="s">
        <v>810</v>
      </c>
      <c r="CM4" s="375" t="s">
        <v>811</v>
      </c>
      <c r="CN4" s="375" t="s">
        <v>812</v>
      </c>
      <c r="CO4" s="375" t="s">
        <v>813</v>
      </c>
      <c r="CP4" s="375" t="s">
        <v>169</v>
      </c>
      <c r="CQ4" s="369"/>
      <c r="CR4" s="369" t="s">
        <v>2</v>
      </c>
      <c r="CS4" s="369" t="s">
        <v>5</v>
      </c>
      <c r="CT4" s="369" t="s">
        <v>7</v>
      </c>
      <c r="CU4" s="369" t="s">
        <v>10</v>
      </c>
      <c r="CV4" s="369" t="s">
        <v>12</v>
      </c>
      <c r="CW4" s="369" t="s">
        <v>14</v>
      </c>
      <c r="CX4" s="369" t="s">
        <v>169</v>
      </c>
      <c r="CZ4" s="376" t="s">
        <v>172</v>
      </c>
      <c r="DA4" s="376"/>
      <c r="DB4" s="376" t="s">
        <v>173</v>
      </c>
      <c r="DC4" s="376"/>
      <c r="DD4" s="376" t="s">
        <v>174</v>
      </c>
      <c r="DE4" s="376"/>
      <c r="DF4" s="376" t="s">
        <v>175</v>
      </c>
      <c r="DG4" s="377"/>
      <c r="DH4" s="378" t="s">
        <v>176</v>
      </c>
      <c r="DI4" s="379" t="s">
        <v>177</v>
      </c>
      <c r="DK4" s="369" t="s">
        <v>178</v>
      </c>
      <c r="DL4" s="369" t="s">
        <v>179</v>
      </c>
      <c r="DM4" s="369" t="s">
        <v>169</v>
      </c>
      <c r="DN4" s="369" t="s">
        <v>178</v>
      </c>
      <c r="DO4" s="369" t="s">
        <v>179</v>
      </c>
      <c r="DP4" s="369" t="s">
        <v>169</v>
      </c>
      <c r="DR4" s="373" t="s">
        <v>715</v>
      </c>
      <c r="DS4" s="369" t="s">
        <v>180</v>
      </c>
      <c r="DT4" s="369" t="s">
        <v>181</v>
      </c>
    </row>
    <row r="5" spans="1:125" ht="14.25">
      <c r="A5" s="380">
        <v>784</v>
      </c>
      <c r="B5" s="68">
        <v>9162066</v>
      </c>
      <c r="C5" s="68">
        <v>2066</v>
      </c>
      <c r="D5" s="120"/>
      <c r="E5" s="120" t="s">
        <v>228</v>
      </c>
      <c r="F5" s="120"/>
      <c r="G5" s="120"/>
      <c r="H5" s="68"/>
      <c r="I5" s="381">
        <v>67010.739999999932</v>
      </c>
      <c r="J5" s="381">
        <v>2209.14</v>
      </c>
      <c r="K5" s="381">
        <v>0</v>
      </c>
      <c r="L5" s="381">
        <v>14446.21</v>
      </c>
      <c r="M5" s="381">
        <v>0</v>
      </c>
      <c r="N5" s="381">
        <v>1700.5799999999981</v>
      </c>
      <c r="O5" s="381">
        <v>85366.66999999994</v>
      </c>
      <c r="P5" s="381"/>
      <c r="Q5" s="381">
        <v>416914</v>
      </c>
      <c r="R5" s="381">
        <v>0</v>
      </c>
      <c r="S5" s="381">
        <v>61766</v>
      </c>
      <c r="T5" s="381">
        <v>0</v>
      </c>
      <c r="U5" s="381">
        <v>13235</v>
      </c>
      <c r="V5" s="381">
        <v>24866</v>
      </c>
      <c r="W5" s="381">
        <v>0</v>
      </c>
      <c r="X5" s="381">
        <v>0</v>
      </c>
      <c r="Y5" s="381">
        <v>3200</v>
      </c>
      <c r="Z5" s="381">
        <v>0</v>
      </c>
      <c r="AA5" s="381">
        <v>0</v>
      </c>
      <c r="AB5" s="381">
        <v>0</v>
      </c>
      <c r="AC5" s="381">
        <v>0</v>
      </c>
      <c r="AD5" s="381">
        <v>0</v>
      </c>
      <c r="AE5" s="381">
        <v>0</v>
      </c>
      <c r="AF5" s="381">
        <v>21000</v>
      </c>
      <c r="AG5" s="381">
        <v>0</v>
      </c>
      <c r="AH5" s="381">
        <v>0</v>
      </c>
      <c r="AI5" s="381">
        <v>0</v>
      </c>
      <c r="AJ5" s="381">
        <v>0</v>
      </c>
      <c r="AK5" s="381">
        <v>0</v>
      </c>
      <c r="AL5" s="381">
        <v>540981</v>
      </c>
      <c r="AM5" s="381"/>
      <c r="AN5" s="381">
        <v>225329</v>
      </c>
      <c r="AO5" s="381">
        <v>14000</v>
      </c>
      <c r="AP5" s="381">
        <v>141974</v>
      </c>
      <c r="AQ5" s="381">
        <v>21866</v>
      </c>
      <c r="AR5" s="381">
        <v>27935</v>
      </c>
      <c r="AS5" s="381">
        <v>0</v>
      </c>
      <c r="AT5" s="381">
        <v>17210</v>
      </c>
      <c r="AU5" s="381">
        <v>2500</v>
      </c>
      <c r="AV5" s="381">
        <v>2500</v>
      </c>
      <c r="AW5" s="381">
        <v>844</v>
      </c>
      <c r="AX5" s="381">
        <v>0</v>
      </c>
      <c r="AY5" s="381">
        <v>11174</v>
      </c>
      <c r="AZ5" s="381">
        <v>1895</v>
      </c>
      <c r="BA5" s="381">
        <v>0</v>
      </c>
      <c r="BB5" s="381">
        <v>2100</v>
      </c>
      <c r="BC5" s="381">
        <v>11000</v>
      </c>
      <c r="BD5" s="381">
        <v>8883</v>
      </c>
      <c r="BE5" s="381">
        <v>1500</v>
      </c>
      <c r="BF5" s="381">
        <v>13722</v>
      </c>
      <c r="BG5" s="381">
        <v>5000</v>
      </c>
      <c r="BH5" s="381">
        <v>0</v>
      </c>
      <c r="BI5" s="381">
        <v>2159</v>
      </c>
      <c r="BJ5" s="381">
        <v>1591</v>
      </c>
      <c r="BK5" s="381">
        <v>0</v>
      </c>
      <c r="BL5" s="381">
        <v>2000</v>
      </c>
      <c r="BM5" s="381">
        <v>2500</v>
      </c>
      <c r="BN5" s="381">
        <v>0</v>
      </c>
      <c r="BO5" s="381">
        <v>625</v>
      </c>
      <c r="BP5" s="381">
        <v>1494</v>
      </c>
      <c r="BQ5" s="381">
        <v>0</v>
      </c>
      <c r="BR5" s="381">
        <v>12649</v>
      </c>
      <c r="BS5" s="381">
        <v>2000</v>
      </c>
      <c r="BT5" s="381">
        <v>9683</v>
      </c>
      <c r="BU5" s="381">
        <v>13970</v>
      </c>
      <c r="BV5" s="381">
        <v>0</v>
      </c>
      <c r="BW5" s="381">
        <v>0</v>
      </c>
      <c r="BX5" s="381">
        <v>0</v>
      </c>
      <c r="BY5" s="382">
        <v>22701</v>
      </c>
      <c r="BZ5" s="382">
        <v>0</v>
      </c>
      <c r="CA5" s="382">
        <v>580804</v>
      </c>
      <c r="CB5" s="381"/>
      <c r="CC5" s="381">
        <v>4630</v>
      </c>
      <c r="CD5" s="381">
        <v>0</v>
      </c>
      <c r="CE5" s="381">
        <v>0</v>
      </c>
      <c r="CF5" s="381">
        <v>4630</v>
      </c>
      <c r="CG5" s="381"/>
      <c r="CH5" s="381">
        <v>0</v>
      </c>
      <c r="CI5" s="381">
        <v>19076</v>
      </c>
      <c r="CJ5" s="381">
        <v>0</v>
      </c>
      <c r="CK5" s="381">
        <v>0</v>
      </c>
      <c r="CL5" s="381">
        <v>0</v>
      </c>
      <c r="CM5" s="381">
        <v>0</v>
      </c>
      <c r="CN5" s="381">
        <v>0</v>
      </c>
      <c r="CO5" s="381">
        <v>0</v>
      </c>
      <c r="CP5" s="381">
        <v>19076</v>
      </c>
      <c r="CQ5" s="381"/>
      <c r="CR5" s="381">
        <v>31097.879999999936</v>
      </c>
      <c r="CS5" s="381">
        <v>0</v>
      </c>
      <c r="CT5" s="383">
        <v>0</v>
      </c>
      <c r="CU5" s="381">
        <v>0.20999999999912689</v>
      </c>
      <c r="CV5" s="381">
        <v>0</v>
      </c>
      <c r="CW5" s="381">
        <v>-0.42000000000189175</v>
      </c>
      <c r="CX5">
        <v>31097.669999999933</v>
      </c>
      <c r="CY5" s="381"/>
      <c r="CZ5" s="117"/>
      <c r="DA5" s="384"/>
      <c r="DB5" s="117"/>
      <c r="DC5" s="384"/>
      <c r="DD5" s="385"/>
      <c r="DE5" s="117"/>
      <c r="DF5" s="117"/>
      <c r="DG5" s="381"/>
      <c r="DH5" s="386"/>
      <c r="DI5" s="387"/>
      <c r="DJ5" s="381"/>
      <c r="DK5" s="381">
        <v>70920.459999999934</v>
      </c>
      <c r="DL5" s="381">
        <v>14446.21</v>
      </c>
      <c r="DM5" s="381">
        <v>85366.669999999925</v>
      </c>
      <c r="DN5" s="381">
        <v>31097.459999999934</v>
      </c>
      <c r="DO5" s="381">
        <v>0.20999999999912689</v>
      </c>
      <c r="DP5" s="381">
        <v>31097.669999999933</v>
      </c>
      <c r="DQ5" s="383"/>
      <c r="DR5" s="381"/>
      <c r="DS5" s="388"/>
      <c r="DT5" s="388"/>
    </row>
    <row r="6" spans="1:125" ht="14.25">
      <c r="A6" s="380">
        <v>583</v>
      </c>
      <c r="B6" s="68">
        <v>9162138</v>
      </c>
      <c r="C6" s="68">
        <v>2138</v>
      </c>
      <c r="D6" s="120"/>
      <c r="E6" s="120" t="s">
        <v>215</v>
      </c>
      <c r="F6" s="120"/>
      <c r="G6" s="120"/>
      <c r="H6" s="68"/>
      <c r="I6" s="381">
        <v>14193.050000000034</v>
      </c>
      <c r="J6" s="381">
        <v>9451.8700000000008</v>
      </c>
      <c r="K6" s="381">
        <v>0</v>
      </c>
      <c r="L6" s="381">
        <v>11438.560000000001</v>
      </c>
      <c r="M6" s="381">
        <v>0</v>
      </c>
      <c r="N6" s="381">
        <v>0</v>
      </c>
      <c r="O6" s="381">
        <v>35083.48000000004</v>
      </c>
      <c r="P6" s="381"/>
      <c r="Q6" s="381">
        <v>888165</v>
      </c>
      <c r="R6" s="381">
        <v>0</v>
      </c>
      <c r="S6" s="381">
        <v>59786</v>
      </c>
      <c r="T6" s="381">
        <v>0</v>
      </c>
      <c r="U6" s="381">
        <v>48840</v>
      </c>
      <c r="V6" s="381">
        <v>58567</v>
      </c>
      <c r="W6" s="381">
        <v>0</v>
      </c>
      <c r="X6" s="381">
        <v>0</v>
      </c>
      <c r="Y6" s="381">
        <v>0</v>
      </c>
      <c r="Z6" s="381">
        <v>5000</v>
      </c>
      <c r="AA6" s="381">
        <v>0</v>
      </c>
      <c r="AB6" s="381">
        <v>0</v>
      </c>
      <c r="AC6" s="381">
        <v>0</v>
      </c>
      <c r="AD6" s="381">
        <v>0</v>
      </c>
      <c r="AE6" s="381">
        <v>0</v>
      </c>
      <c r="AF6" s="381">
        <v>0</v>
      </c>
      <c r="AG6" s="381">
        <v>0</v>
      </c>
      <c r="AH6" s="381">
        <v>0</v>
      </c>
      <c r="AI6" s="381">
        <v>0</v>
      </c>
      <c r="AJ6" s="381">
        <v>0</v>
      </c>
      <c r="AK6" s="381">
        <v>0</v>
      </c>
      <c r="AL6" s="381">
        <v>1060358</v>
      </c>
      <c r="AM6" s="381"/>
      <c r="AN6" s="381">
        <v>545031</v>
      </c>
      <c r="AO6" s="381">
        <v>2000</v>
      </c>
      <c r="AP6" s="381">
        <v>294992</v>
      </c>
      <c r="AQ6" s="381">
        <v>8490</v>
      </c>
      <c r="AR6" s="381">
        <v>37873</v>
      </c>
      <c r="AS6" s="381">
        <v>0</v>
      </c>
      <c r="AT6" s="381">
        <v>12498</v>
      </c>
      <c r="AU6" s="381">
        <v>4541</v>
      </c>
      <c r="AV6" s="381">
        <v>4000</v>
      </c>
      <c r="AW6" s="381">
        <v>7488</v>
      </c>
      <c r="AX6" s="381">
        <v>0</v>
      </c>
      <c r="AY6" s="381">
        <v>11436</v>
      </c>
      <c r="AZ6" s="381">
        <v>1562</v>
      </c>
      <c r="BA6" s="381">
        <v>18435</v>
      </c>
      <c r="BB6" s="381">
        <v>2500</v>
      </c>
      <c r="BC6" s="381">
        <v>8500</v>
      </c>
      <c r="BD6" s="381">
        <v>12226</v>
      </c>
      <c r="BE6" s="381">
        <v>4442</v>
      </c>
      <c r="BF6" s="381">
        <v>28928</v>
      </c>
      <c r="BG6" s="381">
        <v>2700</v>
      </c>
      <c r="BH6" s="381">
        <v>0</v>
      </c>
      <c r="BI6" s="381">
        <v>8500</v>
      </c>
      <c r="BJ6" s="381">
        <v>0</v>
      </c>
      <c r="BK6" s="381">
        <v>3000</v>
      </c>
      <c r="BL6" s="381">
        <v>0</v>
      </c>
      <c r="BM6" s="381">
        <v>4002</v>
      </c>
      <c r="BN6" s="381">
        <v>0</v>
      </c>
      <c r="BO6" s="381">
        <v>3355</v>
      </c>
      <c r="BP6" s="381">
        <v>8151</v>
      </c>
      <c r="BQ6" s="381">
        <v>0</v>
      </c>
      <c r="BR6" s="381">
        <v>59252</v>
      </c>
      <c r="BS6" s="381">
        <v>13000</v>
      </c>
      <c r="BT6" s="381">
        <v>24124</v>
      </c>
      <c r="BU6" s="381">
        <v>11586</v>
      </c>
      <c r="BV6" s="381">
        <v>0</v>
      </c>
      <c r="BW6" s="381">
        <v>0</v>
      </c>
      <c r="BX6" s="381">
        <v>0</v>
      </c>
      <c r="BY6" s="382">
        <v>0</v>
      </c>
      <c r="BZ6" s="382">
        <v>0</v>
      </c>
      <c r="CA6" s="382">
        <v>1142612</v>
      </c>
      <c r="CB6" s="381"/>
      <c r="CC6" s="381">
        <v>5474</v>
      </c>
      <c r="CD6" s="381">
        <v>0</v>
      </c>
      <c r="CE6" s="381">
        <v>0</v>
      </c>
      <c r="CF6" s="381">
        <v>5474</v>
      </c>
      <c r="CG6" s="381"/>
      <c r="CH6" s="381">
        <v>0</v>
      </c>
      <c r="CI6" s="381">
        <v>12913</v>
      </c>
      <c r="CJ6" s="381">
        <v>0</v>
      </c>
      <c r="CK6" s="381">
        <v>0</v>
      </c>
      <c r="CL6" s="381">
        <v>0</v>
      </c>
      <c r="CM6" s="381">
        <v>1000</v>
      </c>
      <c r="CN6" s="381">
        <v>3000</v>
      </c>
      <c r="CO6" s="381">
        <v>0</v>
      </c>
      <c r="CP6" s="381">
        <v>16913</v>
      </c>
      <c r="CQ6" s="381"/>
      <c r="CR6" s="381">
        <v>-58609.079999999965</v>
      </c>
      <c r="CS6" s="381">
        <v>0</v>
      </c>
      <c r="CT6" s="381">
        <v>0</v>
      </c>
      <c r="CU6" s="381">
        <v>-0.43999999999869033</v>
      </c>
      <c r="CV6" s="381">
        <v>0</v>
      </c>
      <c r="CW6" s="381">
        <v>0</v>
      </c>
      <c r="CX6" s="381">
        <v>-58609.51999999996</v>
      </c>
      <c r="CY6" s="381"/>
      <c r="CZ6" s="117"/>
      <c r="DA6" s="384"/>
      <c r="DB6" s="117"/>
      <c r="DC6" s="384"/>
      <c r="DD6" s="385"/>
      <c r="DE6" s="117"/>
      <c r="DF6" s="117"/>
      <c r="DG6" s="381"/>
      <c r="DH6" s="386"/>
      <c r="DI6" s="387"/>
      <c r="DJ6" s="381"/>
      <c r="DK6" s="381">
        <v>23644.920000000035</v>
      </c>
      <c r="DL6" s="381">
        <v>11438.560000000001</v>
      </c>
      <c r="DM6" s="381">
        <v>35083.48000000004</v>
      </c>
      <c r="DN6" s="381">
        <v>-58609.079999999965</v>
      </c>
      <c r="DO6" s="381">
        <v>-0.43999999999869033</v>
      </c>
      <c r="DP6" s="381">
        <v>-58609.51999999996</v>
      </c>
      <c r="DQ6" s="383"/>
      <c r="DR6" s="381"/>
      <c r="DS6" s="388"/>
      <c r="DT6" s="388"/>
    </row>
    <row r="7" spans="1:125" ht="14.25">
      <c r="A7" s="380">
        <v>125</v>
      </c>
      <c r="B7" s="68">
        <v>9167019</v>
      </c>
      <c r="C7" s="68">
        <v>7019</v>
      </c>
      <c r="D7" s="120"/>
      <c r="E7" s="120" t="s">
        <v>738</v>
      </c>
      <c r="F7" s="120"/>
      <c r="G7" s="120"/>
      <c r="H7" s="68"/>
      <c r="I7" s="381">
        <v>2753532.5599999987</v>
      </c>
      <c r="J7" s="381">
        <v>22080.510000000009</v>
      </c>
      <c r="K7" s="381">
        <v>0</v>
      </c>
      <c r="L7" s="381">
        <v>9700.8400000000038</v>
      </c>
      <c r="M7" s="381">
        <v>0</v>
      </c>
      <c r="N7" s="381">
        <v>0</v>
      </c>
      <c r="O7" s="381">
        <v>2785313.9099999983</v>
      </c>
      <c r="P7" s="381"/>
      <c r="Q7" s="381">
        <v>2521029</v>
      </c>
      <c r="R7" s="381">
        <v>0</v>
      </c>
      <c r="S7" s="381">
        <v>2677940</v>
      </c>
      <c r="T7" s="381">
        <v>0</v>
      </c>
      <c r="U7" s="381">
        <v>79550</v>
      </c>
      <c r="V7" s="381">
        <v>16386</v>
      </c>
      <c r="W7" s="381">
        <v>0</v>
      </c>
      <c r="X7" s="381">
        <v>0</v>
      </c>
      <c r="Y7" s="381">
        <v>94500</v>
      </c>
      <c r="Z7" s="381">
        <v>0</v>
      </c>
      <c r="AA7" s="381">
        <v>0</v>
      </c>
      <c r="AB7" s="381">
        <v>0</v>
      </c>
      <c r="AC7" s="381">
        <v>40000</v>
      </c>
      <c r="AD7" s="381">
        <v>4500</v>
      </c>
      <c r="AE7" s="381">
        <v>0</v>
      </c>
      <c r="AF7" s="381">
        <v>0</v>
      </c>
      <c r="AG7" s="381">
        <v>0</v>
      </c>
      <c r="AH7" s="381">
        <v>0</v>
      </c>
      <c r="AI7" s="381">
        <v>0</v>
      </c>
      <c r="AJ7" s="381">
        <v>0</v>
      </c>
      <c r="AK7" s="381">
        <v>0</v>
      </c>
      <c r="AL7" s="381">
        <v>5433905</v>
      </c>
      <c r="AM7" s="381"/>
      <c r="AN7" s="381">
        <v>2682822</v>
      </c>
      <c r="AO7" s="381">
        <v>45390</v>
      </c>
      <c r="AP7" s="381">
        <v>1893494</v>
      </c>
      <c r="AQ7" s="381">
        <v>87972</v>
      </c>
      <c r="AR7" s="381">
        <v>504044</v>
      </c>
      <c r="AS7" s="381">
        <v>0</v>
      </c>
      <c r="AT7" s="381">
        <v>0</v>
      </c>
      <c r="AU7" s="381">
        <v>27745</v>
      </c>
      <c r="AV7" s="381">
        <v>20000</v>
      </c>
      <c r="AW7" s="381">
        <v>0</v>
      </c>
      <c r="AX7" s="381">
        <v>0</v>
      </c>
      <c r="AY7" s="381">
        <v>91300</v>
      </c>
      <c r="AZ7" s="381">
        <v>5450</v>
      </c>
      <c r="BA7" s="381">
        <v>84150</v>
      </c>
      <c r="BB7" s="381">
        <v>9000</v>
      </c>
      <c r="BC7" s="381">
        <v>63000</v>
      </c>
      <c r="BD7" s="381">
        <v>0</v>
      </c>
      <c r="BE7" s="381">
        <v>7800</v>
      </c>
      <c r="BF7" s="381">
        <v>176096</v>
      </c>
      <c r="BG7" s="381">
        <v>4962</v>
      </c>
      <c r="BH7" s="381">
        <v>0</v>
      </c>
      <c r="BI7" s="381">
        <v>10635</v>
      </c>
      <c r="BJ7" s="381">
        <v>37675</v>
      </c>
      <c r="BK7" s="381">
        <v>20000</v>
      </c>
      <c r="BL7" s="381">
        <v>4832</v>
      </c>
      <c r="BM7" s="381">
        <v>2596</v>
      </c>
      <c r="BN7" s="381">
        <v>30000</v>
      </c>
      <c r="BO7" s="381">
        <v>36161</v>
      </c>
      <c r="BP7" s="381">
        <v>36474</v>
      </c>
      <c r="BQ7" s="381">
        <v>0</v>
      </c>
      <c r="BR7" s="381">
        <v>23395</v>
      </c>
      <c r="BS7" s="381">
        <v>0</v>
      </c>
      <c r="BT7" s="381">
        <v>115952</v>
      </c>
      <c r="BU7" s="381">
        <v>90961</v>
      </c>
      <c r="BV7" s="381">
        <v>0</v>
      </c>
      <c r="BW7" s="381">
        <v>0</v>
      </c>
      <c r="BX7" s="381">
        <v>536980</v>
      </c>
      <c r="BY7" s="382">
        <v>0</v>
      </c>
      <c r="BZ7" s="382">
        <v>0</v>
      </c>
      <c r="CA7" s="382">
        <v>6648886</v>
      </c>
      <c r="CB7" s="381"/>
      <c r="CC7" s="381">
        <v>15188</v>
      </c>
      <c r="CD7" s="381">
        <v>0</v>
      </c>
      <c r="CE7" s="381">
        <v>536980</v>
      </c>
      <c r="CF7" s="381">
        <v>552168</v>
      </c>
      <c r="CG7" s="381"/>
      <c r="CH7" s="381">
        <v>0</v>
      </c>
      <c r="CI7" s="381">
        <v>561869</v>
      </c>
      <c r="CJ7" s="381">
        <v>0</v>
      </c>
      <c r="CK7" s="381">
        <v>0</v>
      </c>
      <c r="CL7" s="381">
        <v>0</v>
      </c>
      <c r="CM7" s="381">
        <v>0</v>
      </c>
      <c r="CN7" s="381">
        <v>0</v>
      </c>
      <c r="CO7" s="381">
        <v>0</v>
      </c>
      <c r="CP7" s="381">
        <v>561869</v>
      </c>
      <c r="CQ7" s="381"/>
      <c r="CR7" s="381">
        <v>1560632.0699999984</v>
      </c>
      <c r="CS7" s="381">
        <v>0</v>
      </c>
      <c r="CT7" s="381">
        <v>0</v>
      </c>
      <c r="CU7" s="381">
        <v>-0.1599999999962165</v>
      </c>
      <c r="CV7" s="381">
        <v>0</v>
      </c>
      <c r="CW7" s="381">
        <v>0</v>
      </c>
      <c r="CX7" s="381">
        <v>1560631.9099999985</v>
      </c>
      <c r="CY7" s="381"/>
      <c r="CZ7" s="117"/>
      <c r="DA7" s="384"/>
      <c r="DB7" s="117"/>
      <c r="DC7" s="384"/>
      <c r="DD7" s="385"/>
      <c r="DE7" s="117"/>
      <c r="DF7" s="117"/>
      <c r="DG7" s="381"/>
      <c r="DH7" s="386"/>
      <c r="DI7" s="387"/>
      <c r="DJ7" s="381"/>
      <c r="DK7" s="381">
        <v>2775613.0699999984</v>
      </c>
      <c r="DL7" s="381">
        <v>9700.8400000000038</v>
      </c>
      <c r="DM7" s="381">
        <v>2785313.9099999983</v>
      </c>
      <c r="DN7" s="381">
        <v>1560632.0699999984</v>
      </c>
      <c r="DO7" s="381">
        <v>-0.1599999999962165</v>
      </c>
      <c r="DP7" s="381">
        <v>1560631.9099999985</v>
      </c>
      <c r="DQ7" s="383"/>
      <c r="DR7" s="381"/>
      <c r="DS7" s="388"/>
      <c r="DT7" s="388"/>
    </row>
    <row r="8" spans="1:125" ht="14.25">
      <c r="A8" s="380">
        <v>925</v>
      </c>
      <c r="B8" s="68">
        <v>9162034</v>
      </c>
      <c r="C8" s="68">
        <v>2034</v>
      </c>
      <c r="D8" s="120"/>
      <c r="E8" s="120" t="s">
        <v>202</v>
      </c>
      <c r="F8" s="120"/>
      <c r="G8" s="120"/>
      <c r="H8" s="68"/>
      <c r="I8" s="381">
        <v>131799.76000000024</v>
      </c>
      <c r="J8" s="381">
        <v>0</v>
      </c>
      <c r="K8" s="381">
        <v>0</v>
      </c>
      <c r="L8" s="381">
        <v>0</v>
      </c>
      <c r="M8" s="381">
        <v>0</v>
      </c>
      <c r="N8" s="381">
        <v>0</v>
      </c>
      <c r="O8" s="381">
        <v>131799.76000000024</v>
      </c>
      <c r="P8" s="381"/>
      <c r="Q8" s="381">
        <v>1248660</v>
      </c>
      <c r="R8" s="381">
        <v>0</v>
      </c>
      <c r="S8" s="381">
        <v>55721</v>
      </c>
      <c r="T8" s="381">
        <v>0</v>
      </c>
      <c r="U8" s="381">
        <v>23325</v>
      </c>
      <c r="V8" s="381">
        <v>152686</v>
      </c>
      <c r="W8" s="381">
        <v>0</v>
      </c>
      <c r="X8" s="381">
        <v>2300</v>
      </c>
      <c r="Y8" s="381">
        <v>88800</v>
      </c>
      <c r="Z8" s="381">
        <v>0</v>
      </c>
      <c r="AA8" s="381">
        <v>0</v>
      </c>
      <c r="AB8" s="381">
        <v>0</v>
      </c>
      <c r="AC8" s="381">
        <v>0</v>
      </c>
      <c r="AD8" s="381">
        <v>0</v>
      </c>
      <c r="AE8" s="381">
        <v>0</v>
      </c>
      <c r="AF8" s="381">
        <v>0</v>
      </c>
      <c r="AG8" s="381">
        <v>0</v>
      </c>
      <c r="AH8" s="381">
        <v>0</v>
      </c>
      <c r="AI8" s="381">
        <v>0</v>
      </c>
      <c r="AJ8" s="381">
        <v>0</v>
      </c>
      <c r="AK8" s="381">
        <v>0</v>
      </c>
      <c r="AL8" s="381">
        <v>1571492</v>
      </c>
      <c r="AM8" s="381"/>
      <c r="AN8" s="381">
        <v>826396</v>
      </c>
      <c r="AO8" s="381">
        <v>15000</v>
      </c>
      <c r="AP8" s="381">
        <v>288745</v>
      </c>
      <c r="AQ8" s="381">
        <v>20793</v>
      </c>
      <c r="AR8" s="381">
        <v>61546</v>
      </c>
      <c r="AS8" s="381">
        <v>0</v>
      </c>
      <c r="AT8" s="381">
        <v>73484</v>
      </c>
      <c r="AU8" s="381">
        <v>6030</v>
      </c>
      <c r="AV8" s="381">
        <v>9360</v>
      </c>
      <c r="AW8" s="381">
        <v>769</v>
      </c>
      <c r="AX8" s="381">
        <v>0</v>
      </c>
      <c r="AY8" s="381">
        <v>16792</v>
      </c>
      <c r="AZ8" s="381">
        <v>0</v>
      </c>
      <c r="BA8" s="381">
        <v>24183</v>
      </c>
      <c r="BB8" s="381">
        <v>5300</v>
      </c>
      <c r="BC8" s="381">
        <v>11150</v>
      </c>
      <c r="BD8" s="381">
        <v>0</v>
      </c>
      <c r="BE8" s="381">
        <v>2484</v>
      </c>
      <c r="BF8" s="381">
        <v>43239</v>
      </c>
      <c r="BG8" s="381">
        <v>4194</v>
      </c>
      <c r="BH8" s="381">
        <v>0</v>
      </c>
      <c r="BI8" s="381">
        <v>6583</v>
      </c>
      <c r="BJ8" s="381">
        <v>6139</v>
      </c>
      <c r="BK8" s="381">
        <v>1000</v>
      </c>
      <c r="BL8" s="381">
        <v>18000</v>
      </c>
      <c r="BM8" s="381">
        <v>4975</v>
      </c>
      <c r="BN8" s="381">
        <v>0</v>
      </c>
      <c r="BO8" s="381">
        <v>7180</v>
      </c>
      <c r="BP8" s="381">
        <v>13933</v>
      </c>
      <c r="BQ8" s="381">
        <v>0</v>
      </c>
      <c r="BR8" s="381">
        <v>121995</v>
      </c>
      <c r="BS8" s="381">
        <v>0</v>
      </c>
      <c r="BT8" s="381">
        <v>0</v>
      </c>
      <c r="BU8" s="381">
        <v>16034</v>
      </c>
      <c r="BV8" s="381">
        <v>0</v>
      </c>
      <c r="BW8" s="381">
        <v>0</v>
      </c>
      <c r="BX8" s="381">
        <v>0</v>
      </c>
      <c r="BY8" s="382">
        <v>0</v>
      </c>
      <c r="BZ8" s="382">
        <v>0</v>
      </c>
      <c r="CA8" s="382">
        <v>1605304</v>
      </c>
      <c r="CB8" s="381"/>
      <c r="CC8" s="381">
        <v>7026</v>
      </c>
      <c r="CD8" s="381">
        <v>0</v>
      </c>
      <c r="CE8" s="381">
        <v>0</v>
      </c>
      <c r="CF8" s="381">
        <v>7026</v>
      </c>
      <c r="CG8" s="381"/>
      <c r="CH8" s="381">
        <v>0</v>
      </c>
      <c r="CI8" s="381">
        <v>7026</v>
      </c>
      <c r="CJ8" s="381">
        <v>0</v>
      </c>
      <c r="CK8" s="381">
        <v>0</v>
      </c>
      <c r="CL8" s="381">
        <v>0</v>
      </c>
      <c r="CM8" s="381">
        <v>0</v>
      </c>
      <c r="CN8" s="381">
        <v>0</v>
      </c>
      <c r="CO8" s="381">
        <v>0</v>
      </c>
      <c r="CP8" s="381">
        <v>7026</v>
      </c>
      <c r="CQ8" s="381"/>
      <c r="CR8" s="381">
        <v>97987.760000000242</v>
      </c>
      <c r="CS8" s="381">
        <v>0</v>
      </c>
      <c r="CT8" s="381">
        <v>0</v>
      </c>
      <c r="CU8" s="381">
        <v>0</v>
      </c>
      <c r="CV8" s="381">
        <v>0</v>
      </c>
      <c r="CW8" s="381">
        <v>0</v>
      </c>
      <c r="CX8" s="381">
        <v>97987.760000000242</v>
      </c>
      <c r="CY8" s="381"/>
      <c r="CZ8" s="117"/>
      <c r="DA8" s="384"/>
      <c r="DB8" s="117"/>
      <c r="DC8" s="384"/>
      <c r="DD8" s="385"/>
      <c r="DE8" s="117"/>
      <c r="DF8" s="117"/>
      <c r="DG8" s="381"/>
      <c r="DH8" s="386"/>
      <c r="DI8" s="387"/>
      <c r="DJ8" s="381"/>
      <c r="DK8" s="381">
        <v>131799.76000000024</v>
      </c>
      <c r="DL8" s="381">
        <v>0</v>
      </c>
      <c r="DM8" s="381">
        <v>131799.76000000024</v>
      </c>
      <c r="DN8" s="381">
        <v>97987.760000000242</v>
      </c>
      <c r="DO8" s="381">
        <v>0</v>
      </c>
      <c r="DP8" s="381">
        <v>97987.760000000242</v>
      </c>
      <c r="DQ8" s="383"/>
      <c r="DR8" s="381"/>
      <c r="DS8" s="388"/>
      <c r="DT8" s="388"/>
    </row>
    <row r="9" spans="1:125" ht="14.25">
      <c r="A9" s="380">
        <v>139</v>
      </c>
      <c r="B9" s="68">
        <v>9167017</v>
      </c>
      <c r="C9" s="68">
        <v>7017</v>
      </c>
      <c r="D9" s="120"/>
      <c r="E9" s="120" t="s">
        <v>736</v>
      </c>
      <c r="F9" s="120"/>
      <c r="G9" s="120"/>
      <c r="H9" s="68"/>
      <c r="I9" s="381">
        <v>45813.040000000692</v>
      </c>
      <c r="J9" s="381">
        <v>1174</v>
      </c>
      <c r="K9" s="381">
        <v>0</v>
      </c>
      <c r="L9" s="381">
        <v>0.25</v>
      </c>
      <c r="M9" s="381">
        <v>0</v>
      </c>
      <c r="N9" s="381">
        <v>0</v>
      </c>
      <c r="O9" s="381">
        <v>46987.290000000692</v>
      </c>
      <c r="P9" s="381"/>
      <c r="Q9" s="381">
        <v>1552602</v>
      </c>
      <c r="R9" s="381">
        <v>0</v>
      </c>
      <c r="S9" s="381">
        <v>2022642</v>
      </c>
      <c r="T9" s="381">
        <v>0</v>
      </c>
      <c r="U9" s="381">
        <v>79725</v>
      </c>
      <c r="V9" s="381">
        <v>24913</v>
      </c>
      <c r="W9" s="381">
        <v>0</v>
      </c>
      <c r="X9" s="381">
        <v>0</v>
      </c>
      <c r="Y9" s="381">
        <v>40000</v>
      </c>
      <c r="Z9" s="381">
        <v>0</v>
      </c>
      <c r="AA9" s="381">
        <v>0</v>
      </c>
      <c r="AB9" s="381">
        <v>0</v>
      </c>
      <c r="AC9" s="381">
        <v>0</v>
      </c>
      <c r="AD9" s="381">
        <v>0</v>
      </c>
      <c r="AE9" s="381">
        <v>0</v>
      </c>
      <c r="AF9" s="381">
        <v>0</v>
      </c>
      <c r="AG9" s="381">
        <v>0</v>
      </c>
      <c r="AH9" s="381">
        <v>0</v>
      </c>
      <c r="AI9" s="381">
        <v>0</v>
      </c>
      <c r="AJ9" s="381">
        <v>0</v>
      </c>
      <c r="AK9" s="381">
        <v>0</v>
      </c>
      <c r="AL9" s="381">
        <v>3719882</v>
      </c>
      <c r="AM9" s="381"/>
      <c r="AN9" s="381">
        <v>1542730</v>
      </c>
      <c r="AO9" s="381">
        <v>0</v>
      </c>
      <c r="AP9" s="381">
        <v>1537632</v>
      </c>
      <c r="AQ9" s="381">
        <v>39423</v>
      </c>
      <c r="AR9" s="381">
        <v>146969</v>
      </c>
      <c r="AS9" s="381">
        <v>0</v>
      </c>
      <c r="AT9" s="381">
        <v>56877</v>
      </c>
      <c r="AU9" s="381">
        <v>15500</v>
      </c>
      <c r="AV9" s="381">
        <v>13000</v>
      </c>
      <c r="AW9" s="381">
        <v>5000</v>
      </c>
      <c r="AX9" s="381">
        <v>17000</v>
      </c>
      <c r="AY9" s="381">
        <v>12985</v>
      </c>
      <c r="AZ9" s="381">
        <v>6500</v>
      </c>
      <c r="BA9" s="381">
        <v>69505</v>
      </c>
      <c r="BB9" s="381">
        <v>8000</v>
      </c>
      <c r="BC9" s="381">
        <v>73000</v>
      </c>
      <c r="BD9" s="381">
        <v>0</v>
      </c>
      <c r="BE9" s="381">
        <v>16350</v>
      </c>
      <c r="BF9" s="381">
        <v>37825</v>
      </c>
      <c r="BG9" s="381">
        <v>6500</v>
      </c>
      <c r="BH9" s="381">
        <v>0</v>
      </c>
      <c r="BI9" s="381">
        <v>12200</v>
      </c>
      <c r="BJ9" s="381">
        <v>600</v>
      </c>
      <c r="BK9" s="381">
        <v>3000</v>
      </c>
      <c r="BL9" s="381">
        <v>0</v>
      </c>
      <c r="BM9" s="381">
        <v>7972</v>
      </c>
      <c r="BN9" s="381">
        <v>0</v>
      </c>
      <c r="BO9" s="381">
        <v>4050</v>
      </c>
      <c r="BP9" s="381">
        <v>23728</v>
      </c>
      <c r="BQ9" s="381">
        <v>6400</v>
      </c>
      <c r="BR9" s="381">
        <v>29525</v>
      </c>
      <c r="BS9" s="381">
        <v>0</v>
      </c>
      <c r="BT9" s="381">
        <v>18600</v>
      </c>
      <c r="BU9" s="381">
        <v>26502</v>
      </c>
      <c r="BV9" s="381">
        <v>0</v>
      </c>
      <c r="BW9" s="381">
        <v>0</v>
      </c>
      <c r="BX9" s="381">
        <v>0</v>
      </c>
      <c r="BY9" s="382">
        <v>0</v>
      </c>
      <c r="BZ9" s="382">
        <v>0</v>
      </c>
      <c r="CA9" s="382">
        <v>3737373</v>
      </c>
      <c r="CB9" s="381"/>
      <c r="CC9" s="381">
        <v>10784</v>
      </c>
      <c r="CD9" s="381">
        <v>0</v>
      </c>
      <c r="CE9" s="381">
        <v>0</v>
      </c>
      <c r="CF9" s="381">
        <v>10784</v>
      </c>
      <c r="CG9" s="381"/>
      <c r="CH9" s="381">
        <v>0</v>
      </c>
      <c r="CI9" s="381">
        <v>10784</v>
      </c>
      <c r="CJ9" s="381">
        <v>0</v>
      </c>
      <c r="CK9" s="381">
        <v>0</v>
      </c>
      <c r="CL9" s="381">
        <v>0</v>
      </c>
      <c r="CM9" s="381">
        <v>0</v>
      </c>
      <c r="CN9" s="381">
        <v>0</v>
      </c>
      <c r="CO9" s="381">
        <v>0</v>
      </c>
      <c r="CP9" s="381">
        <v>10784</v>
      </c>
      <c r="CQ9" s="381"/>
      <c r="CR9" s="381">
        <v>29496.040000000692</v>
      </c>
      <c r="CS9" s="381">
        <v>0</v>
      </c>
      <c r="CT9" s="381">
        <v>0</v>
      </c>
      <c r="CU9" s="381">
        <v>0.25</v>
      </c>
      <c r="CV9" s="381">
        <v>0</v>
      </c>
      <c r="CW9" s="381">
        <v>0</v>
      </c>
      <c r="CX9" s="381">
        <v>29496.290000000692</v>
      </c>
      <c r="CY9" s="381"/>
      <c r="CZ9" s="117"/>
      <c r="DA9" s="384"/>
      <c r="DB9" s="117"/>
      <c r="DC9" s="384"/>
      <c r="DD9" s="385"/>
      <c r="DE9" s="117"/>
      <c r="DF9" s="117"/>
      <c r="DG9" s="381"/>
      <c r="DH9" s="386"/>
      <c r="DI9" s="387"/>
      <c r="DJ9" s="381"/>
      <c r="DK9" s="381">
        <v>46987.040000000692</v>
      </c>
      <c r="DL9" s="381">
        <v>0.25</v>
      </c>
      <c r="DM9" s="381">
        <v>46987.290000000692</v>
      </c>
      <c r="DN9" s="381">
        <v>29496.040000000692</v>
      </c>
      <c r="DO9" s="381">
        <v>0.25</v>
      </c>
      <c r="DP9" s="381">
        <v>29496.290000000692</v>
      </c>
      <c r="DQ9" s="383"/>
      <c r="DR9" s="381"/>
      <c r="DS9" s="388"/>
      <c r="DT9" s="388"/>
    </row>
    <row r="10" spans="1:125" ht="15">
      <c r="A10" s="380">
        <v>827</v>
      </c>
      <c r="B10" s="68">
        <v>9162101</v>
      </c>
      <c r="C10" s="68">
        <v>2101</v>
      </c>
      <c r="D10" s="120"/>
      <c r="E10" s="120" t="s">
        <v>250</v>
      </c>
      <c r="F10" s="120"/>
      <c r="G10" s="120"/>
      <c r="H10" s="68"/>
      <c r="I10" s="381">
        <v>82874.320000000022</v>
      </c>
      <c r="J10" s="381">
        <v>4018.5</v>
      </c>
      <c r="K10" s="381">
        <v>0</v>
      </c>
      <c r="L10" s="381">
        <v>-1.8189894035458565E-12</v>
      </c>
      <c r="M10" s="381">
        <v>0</v>
      </c>
      <c r="N10" s="381">
        <v>0</v>
      </c>
      <c r="O10" s="381">
        <v>86892.820000000022</v>
      </c>
      <c r="P10" s="389"/>
      <c r="Q10" s="381">
        <v>792807</v>
      </c>
      <c r="R10" s="381">
        <v>0</v>
      </c>
      <c r="S10" s="381">
        <v>92917</v>
      </c>
      <c r="T10" s="381">
        <v>0</v>
      </c>
      <c r="U10" s="381">
        <v>17780</v>
      </c>
      <c r="V10" s="381">
        <v>42430</v>
      </c>
      <c r="W10" s="381">
        <v>0</v>
      </c>
      <c r="X10" s="381">
        <v>380</v>
      </c>
      <c r="Y10" s="381">
        <v>22720</v>
      </c>
      <c r="Z10" s="381">
        <v>0</v>
      </c>
      <c r="AA10" s="381">
        <v>3080</v>
      </c>
      <c r="AB10" s="381">
        <v>0</v>
      </c>
      <c r="AC10" s="381">
        <v>20500</v>
      </c>
      <c r="AD10" s="381">
        <v>500</v>
      </c>
      <c r="AE10" s="381">
        <v>0</v>
      </c>
      <c r="AF10" s="381">
        <v>0</v>
      </c>
      <c r="AG10" s="381">
        <v>0</v>
      </c>
      <c r="AH10" s="381">
        <v>0</v>
      </c>
      <c r="AI10" s="381">
        <v>0</v>
      </c>
      <c r="AJ10" s="381">
        <v>0</v>
      </c>
      <c r="AK10" s="381">
        <v>0</v>
      </c>
      <c r="AL10" s="381">
        <v>993114</v>
      </c>
      <c r="AM10" s="389"/>
      <c r="AN10" s="381">
        <v>473795</v>
      </c>
      <c r="AO10" s="381">
        <v>13000</v>
      </c>
      <c r="AP10" s="381">
        <v>168211</v>
      </c>
      <c r="AQ10" s="381">
        <v>23015</v>
      </c>
      <c r="AR10" s="381">
        <v>58076</v>
      </c>
      <c r="AS10" s="381">
        <v>0</v>
      </c>
      <c r="AT10" s="381">
        <v>47523</v>
      </c>
      <c r="AU10" s="381">
        <v>4114</v>
      </c>
      <c r="AV10" s="381">
        <v>2864</v>
      </c>
      <c r="AW10" s="381">
        <v>393</v>
      </c>
      <c r="AX10" s="381">
        <v>7132</v>
      </c>
      <c r="AY10" s="381">
        <v>8481</v>
      </c>
      <c r="AZ10" s="381">
        <v>1700</v>
      </c>
      <c r="BA10" s="381">
        <v>2060</v>
      </c>
      <c r="BB10" s="381">
        <v>3630</v>
      </c>
      <c r="BC10" s="381">
        <v>20000</v>
      </c>
      <c r="BD10" s="381">
        <v>12725</v>
      </c>
      <c r="BE10" s="381">
        <v>4400</v>
      </c>
      <c r="BF10" s="381">
        <v>55880</v>
      </c>
      <c r="BG10" s="381">
        <v>3090</v>
      </c>
      <c r="BH10" s="381">
        <v>0</v>
      </c>
      <c r="BI10" s="381">
        <v>12508</v>
      </c>
      <c r="BJ10" s="381">
        <v>3527</v>
      </c>
      <c r="BK10" s="381">
        <v>0</v>
      </c>
      <c r="BL10" s="381">
        <v>0</v>
      </c>
      <c r="BM10" s="381">
        <v>5355</v>
      </c>
      <c r="BN10" s="381">
        <v>0</v>
      </c>
      <c r="BO10" s="381">
        <v>2854</v>
      </c>
      <c r="BP10" s="381">
        <v>6963</v>
      </c>
      <c r="BQ10" s="381">
        <v>0</v>
      </c>
      <c r="BR10" s="381">
        <v>33617</v>
      </c>
      <c r="BS10" s="381">
        <v>0</v>
      </c>
      <c r="BT10" s="381">
        <v>13800</v>
      </c>
      <c r="BU10" s="381">
        <v>15016</v>
      </c>
      <c r="BV10" s="381">
        <v>0</v>
      </c>
      <c r="BW10" s="381">
        <v>0</v>
      </c>
      <c r="BX10" s="381">
        <v>0</v>
      </c>
      <c r="BY10" s="382">
        <v>0</v>
      </c>
      <c r="BZ10" s="382">
        <v>0</v>
      </c>
      <c r="CA10" s="382">
        <v>1003729</v>
      </c>
      <c r="CB10" s="389"/>
      <c r="CC10" s="381">
        <v>5451</v>
      </c>
      <c r="CD10" s="381">
        <v>0</v>
      </c>
      <c r="CE10" s="381">
        <v>0</v>
      </c>
      <c r="CF10" s="381">
        <v>5451</v>
      </c>
      <c r="CG10" s="389"/>
      <c r="CH10" s="381">
        <v>0</v>
      </c>
      <c r="CI10" s="381">
        <v>5451</v>
      </c>
      <c r="CJ10" s="381">
        <v>0</v>
      </c>
      <c r="CK10" s="381">
        <v>0</v>
      </c>
      <c r="CL10" s="381">
        <v>0</v>
      </c>
      <c r="CM10" s="381">
        <v>0</v>
      </c>
      <c r="CN10" s="381">
        <v>0</v>
      </c>
      <c r="CO10" s="381">
        <v>0</v>
      </c>
      <c r="CP10" s="381">
        <v>5451</v>
      </c>
      <c r="CQ10" s="390"/>
      <c r="CR10" s="381">
        <v>76277.820000000022</v>
      </c>
      <c r="CS10" s="381">
        <v>0</v>
      </c>
      <c r="CT10" s="381">
        <v>0</v>
      </c>
      <c r="CU10" s="381">
        <v>-1.8189894035458565E-12</v>
      </c>
      <c r="CV10" s="381">
        <v>0</v>
      </c>
      <c r="CW10" s="381">
        <v>0</v>
      </c>
      <c r="CX10" s="381">
        <v>76277.820000000022</v>
      </c>
      <c r="CY10" s="381"/>
      <c r="CZ10" s="117"/>
      <c r="DA10" s="384"/>
      <c r="DB10" s="117"/>
      <c r="DC10" s="384"/>
      <c r="DD10" s="385"/>
      <c r="DE10" s="117"/>
      <c r="DF10" s="117"/>
      <c r="DG10" s="381"/>
      <c r="DH10" s="386"/>
      <c r="DI10" s="387"/>
      <c r="DJ10" s="381"/>
      <c r="DK10" s="381">
        <v>86892.820000000022</v>
      </c>
      <c r="DL10" s="381">
        <v>-1.8189894035458565E-12</v>
      </c>
      <c r="DM10" s="381">
        <v>86892.820000000022</v>
      </c>
      <c r="DN10" s="381">
        <v>76277.820000000022</v>
      </c>
      <c r="DO10" s="381">
        <v>-1.8189894035458565E-12</v>
      </c>
      <c r="DP10" s="381">
        <v>76277.820000000022</v>
      </c>
      <c r="DQ10" s="383"/>
      <c r="DR10" s="381"/>
      <c r="DS10" s="388"/>
      <c r="DT10" s="388"/>
    </row>
    <row r="11" spans="1:125" ht="14.25">
      <c r="A11" s="380">
        <v>605</v>
      </c>
      <c r="B11" s="68">
        <v>9163053</v>
      </c>
      <c r="C11" s="68">
        <v>3053</v>
      </c>
      <c r="D11" s="120"/>
      <c r="E11" s="120" t="s">
        <v>252</v>
      </c>
      <c r="F11" s="120"/>
      <c r="G11" s="120"/>
      <c r="H11" s="68"/>
      <c r="I11" s="381">
        <v>26866.279999999955</v>
      </c>
      <c r="J11" s="381">
        <v>6353.25</v>
      </c>
      <c r="K11" s="381">
        <v>0</v>
      </c>
      <c r="L11" s="381">
        <v>3479.05</v>
      </c>
      <c r="M11" s="381">
        <v>0</v>
      </c>
      <c r="N11" s="381">
        <v>0</v>
      </c>
      <c r="O11" s="381">
        <v>36698.579999999958</v>
      </c>
      <c r="P11" s="381"/>
      <c r="Q11" s="381">
        <v>383685</v>
      </c>
      <c r="R11" s="381">
        <v>0</v>
      </c>
      <c r="S11" s="381">
        <v>13516</v>
      </c>
      <c r="T11" s="381">
        <v>0</v>
      </c>
      <c r="U11" s="381">
        <v>21030</v>
      </c>
      <c r="V11" s="381">
        <v>24724</v>
      </c>
      <c r="W11" s="381">
        <v>0</v>
      </c>
      <c r="X11" s="381">
        <v>0</v>
      </c>
      <c r="Y11" s="381">
        <v>7302</v>
      </c>
      <c r="Z11" s="381">
        <v>0</v>
      </c>
      <c r="AA11" s="381">
        <v>0</v>
      </c>
      <c r="AB11" s="381">
        <v>0</v>
      </c>
      <c r="AC11" s="381">
        <v>0</v>
      </c>
      <c r="AD11" s="381">
        <v>0</v>
      </c>
      <c r="AE11" s="381">
        <v>0</v>
      </c>
      <c r="AF11" s="381">
        <v>0</v>
      </c>
      <c r="AG11" s="381">
        <v>0</v>
      </c>
      <c r="AH11" s="381">
        <v>0</v>
      </c>
      <c r="AI11" s="381">
        <v>0</v>
      </c>
      <c r="AJ11" s="381">
        <v>0</v>
      </c>
      <c r="AK11" s="381">
        <v>0</v>
      </c>
      <c r="AL11" s="381">
        <v>450257</v>
      </c>
      <c r="AM11" s="381"/>
      <c r="AN11" s="381">
        <v>250430</v>
      </c>
      <c r="AO11" s="381">
        <v>7500</v>
      </c>
      <c r="AP11" s="381">
        <v>90111</v>
      </c>
      <c r="AQ11" s="381">
        <v>12944</v>
      </c>
      <c r="AR11" s="381">
        <v>39343</v>
      </c>
      <c r="AS11" s="381">
        <v>0</v>
      </c>
      <c r="AT11" s="381">
        <v>15753</v>
      </c>
      <c r="AU11" s="381">
        <v>1979</v>
      </c>
      <c r="AV11" s="381">
        <v>2000</v>
      </c>
      <c r="AW11" s="381">
        <v>2131</v>
      </c>
      <c r="AX11" s="381">
        <v>0</v>
      </c>
      <c r="AY11" s="381">
        <v>12041</v>
      </c>
      <c r="AZ11" s="381">
        <v>600</v>
      </c>
      <c r="BA11" s="381">
        <v>1500</v>
      </c>
      <c r="BB11" s="381">
        <v>1500</v>
      </c>
      <c r="BC11" s="381">
        <v>10500</v>
      </c>
      <c r="BD11" s="381">
        <v>5115</v>
      </c>
      <c r="BE11" s="381">
        <v>3760</v>
      </c>
      <c r="BF11" s="381">
        <v>8861</v>
      </c>
      <c r="BG11" s="381">
        <v>2950</v>
      </c>
      <c r="BH11" s="381">
        <v>0</v>
      </c>
      <c r="BI11" s="381">
        <v>3500</v>
      </c>
      <c r="BJ11" s="381">
        <v>3750</v>
      </c>
      <c r="BK11" s="381">
        <v>0</v>
      </c>
      <c r="BL11" s="381">
        <v>0</v>
      </c>
      <c r="BM11" s="381">
        <v>5598</v>
      </c>
      <c r="BN11" s="381">
        <v>0</v>
      </c>
      <c r="BO11" s="381">
        <v>800</v>
      </c>
      <c r="BP11" s="381">
        <v>2321</v>
      </c>
      <c r="BQ11" s="381">
        <v>0</v>
      </c>
      <c r="BR11" s="381">
        <v>13944</v>
      </c>
      <c r="BS11" s="381">
        <v>0</v>
      </c>
      <c r="BT11" s="381">
        <v>11758</v>
      </c>
      <c r="BU11" s="381">
        <v>12501</v>
      </c>
      <c r="BV11" s="381">
        <v>0</v>
      </c>
      <c r="BW11" s="381">
        <v>0</v>
      </c>
      <c r="BX11" s="381">
        <v>0</v>
      </c>
      <c r="BY11" s="382">
        <v>0</v>
      </c>
      <c r="BZ11" s="382">
        <v>0</v>
      </c>
      <c r="CA11" s="382">
        <v>523190</v>
      </c>
      <c r="CB11" s="381"/>
      <c r="CC11" s="381">
        <v>4518</v>
      </c>
      <c r="CD11" s="381">
        <v>0</v>
      </c>
      <c r="CE11" s="381">
        <v>0</v>
      </c>
      <c r="CF11" s="381">
        <v>4518</v>
      </c>
      <c r="CG11" s="381"/>
      <c r="CH11" s="381">
        <v>0</v>
      </c>
      <c r="CI11" s="381">
        <v>7997</v>
      </c>
      <c r="CJ11" s="381">
        <v>0</v>
      </c>
      <c r="CK11" s="381">
        <v>0</v>
      </c>
      <c r="CL11" s="381">
        <v>0</v>
      </c>
      <c r="CM11" s="381">
        <v>0</v>
      </c>
      <c r="CN11" s="381">
        <v>0</v>
      </c>
      <c r="CO11" s="381">
        <v>0</v>
      </c>
      <c r="CP11" s="381">
        <v>7997</v>
      </c>
      <c r="CQ11" s="381"/>
      <c r="CR11" s="381">
        <v>-39713.470000000045</v>
      </c>
      <c r="CS11" s="381">
        <v>0</v>
      </c>
      <c r="CT11" s="381">
        <v>0</v>
      </c>
      <c r="CU11" s="381">
        <v>5.0000000000181899E-2</v>
      </c>
      <c r="CV11" s="381">
        <v>0</v>
      </c>
      <c r="CW11" s="381">
        <v>0</v>
      </c>
      <c r="CX11" s="381">
        <v>-39713.420000000042</v>
      </c>
      <c r="CY11" s="381"/>
      <c r="CZ11" s="117"/>
      <c r="DA11" s="384"/>
      <c r="DB11" s="117"/>
      <c r="DC11" s="384"/>
      <c r="DD11" s="385"/>
      <c r="DE11" s="117"/>
      <c r="DF11" s="117"/>
      <c r="DG11" s="381"/>
      <c r="DH11" s="386"/>
      <c r="DI11" s="387"/>
      <c r="DJ11" s="381"/>
      <c r="DK11" s="381">
        <v>33219.529999999955</v>
      </c>
      <c r="DL11" s="381">
        <v>3479.05</v>
      </c>
      <c r="DM11" s="381">
        <v>36698.579999999958</v>
      </c>
      <c r="DN11" s="381">
        <v>-39713.470000000045</v>
      </c>
      <c r="DO11" s="381">
        <v>5.0000000000181899E-2</v>
      </c>
      <c r="DP11" s="381">
        <v>-39713.420000000042</v>
      </c>
      <c r="DQ11" s="383"/>
      <c r="DR11" s="381"/>
      <c r="DS11" s="388"/>
      <c r="DT11" s="388"/>
    </row>
    <row r="12" spans="1:125" ht="14.25">
      <c r="A12" s="380">
        <v>145</v>
      </c>
      <c r="B12" s="68">
        <v>9167025</v>
      </c>
      <c r="C12" s="68">
        <v>7025</v>
      </c>
      <c r="D12" s="120"/>
      <c r="E12" s="120" t="s">
        <v>740</v>
      </c>
      <c r="F12" s="120"/>
      <c r="G12" s="120"/>
      <c r="H12" s="68"/>
      <c r="I12" s="381">
        <v>91400.980000000171</v>
      </c>
      <c r="J12" s="381">
        <v>65598.64</v>
      </c>
      <c r="K12" s="381">
        <v>0</v>
      </c>
      <c r="L12" s="381">
        <v>19345.78</v>
      </c>
      <c r="M12" s="381">
        <v>0</v>
      </c>
      <c r="N12" s="381">
        <v>0</v>
      </c>
      <c r="O12" s="381">
        <v>176345.40000000017</v>
      </c>
      <c r="P12" s="381"/>
      <c r="Q12" s="381">
        <v>1655307</v>
      </c>
      <c r="R12" s="381">
        <v>1500</v>
      </c>
      <c r="S12" s="381">
        <v>2379541</v>
      </c>
      <c r="T12" s="381">
        <v>0</v>
      </c>
      <c r="U12" s="381">
        <v>115175</v>
      </c>
      <c r="V12" s="381">
        <v>21136</v>
      </c>
      <c r="W12" s="381">
        <v>0</v>
      </c>
      <c r="X12" s="381">
        <v>0</v>
      </c>
      <c r="Y12" s="381">
        <v>8000</v>
      </c>
      <c r="Z12" s="381">
        <v>0</v>
      </c>
      <c r="AA12" s="381">
        <v>0</v>
      </c>
      <c r="AB12" s="381">
        <v>6000</v>
      </c>
      <c r="AC12" s="381">
        <v>0</v>
      </c>
      <c r="AD12" s="381">
        <v>500</v>
      </c>
      <c r="AE12" s="381">
        <v>0</v>
      </c>
      <c r="AF12" s="381">
        <v>0</v>
      </c>
      <c r="AG12" s="381">
        <v>0</v>
      </c>
      <c r="AH12" s="381">
        <v>0</v>
      </c>
      <c r="AI12" s="381">
        <v>0</v>
      </c>
      <c r="AJ12" s="381">
        <v>0</v>
      </c>
      <c r="AK12" s="381">
        <v>0</v>
      </c>
      <c r="AL12" s="381">
        <v>4187159</v>
      </c>
      <c r="AM12" s="381"/>
      <c r="AN12" s="381">
        <v>1362153</v>
      </c>
      <c r="AO12" s="381">
        <v>30000</v>
      </c>
      <c r="AP12" s="381">
        <v>1915703</v>
      </c>
      <c r="AQ12" s="381">
        <v>155946</v>
      </c>
      <c r="AR12" s="381">
        <v>189462</v>
      </c>
      <c r="AS12" s="381">
        <v>0</v>
      </c>
      <c r="AT12" s="381">
        <v>64576</v>
      </c>
      <c r="AU12" s="381">
        <v>36220</v>
      </c>
      <c r="AV12" s="381">
        <v>22700</v>
      </c>
      <c r="AW12" s="381">
        <v>19475</v>
      </c>
      <c r="AX12" s="381">
        <v>0</v>
      </c>
      <c r="AY12" s="381">
        <v>57888</v>
      </c>
      <c r="AZ12" s="381">
        <v>13432</v>
      </c>
      <c r="BA12" s="381">
        <v>16500</v>
      </c>
      <c r="BB12" s="381">
        <v>5000</v>
      </c>
      <c r="BC12" s="381">
        <v>89000</v>
      </c>
      <c r="BD12" s="381">
        <v>0</v>
      </c>
      <c r="BE12" s="381">
        <v>27500</v>
      </c>
      <c r="BF12" s="381">
        <v>134423</v>
      </c>
      <c r="BG12" s="381">
        <v>0</v>
      </c>
      <c r="BH12" s="381">
        <v>0</v>
      </c>
      <c r="BI12" s="381">
        <v>26350</v>
      </c>
      <c r="BJ12" s="381">
        <v>4000</v>
      </c>
      <c r="BK12" s="381">
        <v>0</v>
      </c>
      <c r="BL12" s="381">
        <v>0</v>
      </c>
      <c r="BM12" s="381">
        <v>2500</v>
      </c>
      <c r="BN12" s="381">
        <v>750</v>
      </c>
      <c r="BO12" s="381">
        <v>19500</v>
      </c>
      <c r="BP12" s="381">
        <v>24675</v>
      </c>
      <c r="BQ12" s="381">
        <v>0</v>
      </c>
      <c r="BR12" s="381">
        <v>22437</v>
      </c>
      <c r="BS12" s="381">
        <v>0</v>
      </c>
      <c r="BT12" s="381">
        <v>64419</v>
      </c>
      <c r="BU12" s="381">
        <v>31966</v>
      </c>
      <c r="BV12" s="381">
        <v>0</v>
      </c>
      <c r="BW12" s="381">
        <v>0</v>
      </c>
      <c r="BX12" s="381">
        <v>0</v>
      </c>
      <c r="BY12" s="382">
        <v>0</v>
      </c>
      <c r="BZ12" s="382">
        <v>0</v>
      </c>
      <c r="CA12" s="382">
        <v>4336575</v>
      </c>
      <c r="CB12" s="381"/>
      <c r="CC12" s="381">
        <v>10632</v>
      </c>
      <c r="CD12" s="381">
        <v>0</v>
      </c>
      <c r="CE12" s="381">
        <v>0</v>
      </c>
      <c r="CF12" s="381">
        <v>10632</v>
      </c>
      <c r="CG12" s="381"/>
      <c r="CH12" s="381">
        <v>0</v>
      </c>
      <c r="CI12" s="381">
        <v>29978</v>
      </c>
      <c r="CJ12" s="381">
        <v>0</v>
      </c>
      <c r="CK12" s="381">
        <v>0</v>
      </c>
      <c r="CL12" s="381">
        <v>0</v>
      </c>
      <c r="CM12" s="381">
        <v>0</v>
      </c>
      <c r="CN12" s="381">
        <v>0</v>
      </c>
      <c r="CO12" s="381">
        <v>0</v>
      </c>
      <c r="CP12" s="381">
        <v>29978</v>
      </c>
      <c r="CQ12" s="381"/>
      <c r="CR12" s="381">
        <v>7583.62000000017</v>
      </c>
      <c r="CS12" s="381">
        <v>0</v>
      </c>
      <c r="CT12" s="381">
        <v>0</v>
      </c>
      <c r="CU12" s="381">
        <v>-0.22000000000116415</v>
      </c>
      <c r="CV12" s="381">
        <v>0</v>
      </c>
      <c r="CW12" s="381">
        <v>0</v>
      </c>
      <c r="CX12" s="381">
        <v>7583.4000000001688</v>
      </c>
      <c r="CY12" s="381"/>
      <c r="CZ12" s="117"/>
      <c r="DA12" s="384"/>
      <c r="DB12" s="117"/>
      <c r="DC12" s="384"/>
      <c r="DD12" s="385"/>
      <c r="DE12" s="117"/>
      <c r="DF12" s="117"/>
      <c r="DG12" s="381"/>
      <c r="DH12" s="386"/>
      <c r="DI12" s="387"/>
      <c r="DJ12" s="381"/>
      <c r="DK12" s="381">
        <v>156999.62000000017</v>
      </c>
      <c r="DL12" s="381">
        <v>19345.78</v>
      </c>
      <c r="DM12" s="381">
        <v>176345.40000000017</v>
      </c>
      <c r="DN12" s="381">
        <v>7583.62000000017</v>
      </c>
      <c r="DO12" s="381">
        <v>-0.22000000000116415</v>
      </c>
      <c r="DP12" s="381">
        <v>7583.4000000001688</v>
      </c>
      <c r="DQ12" s="383"/>
      <c r="DR12" s="381"/>
      <c r="DS12" s="388"/>
      <c r="DT12" s="388"/>
    </row>
    <row r="13" spans="1:125" ht="15">
      <c r="A13" s="380">
        <v>721</v>
      </c>
      <c r="B13" s="68">
        <v>9163338</v>
      </c>
      <c r="C13" s="68">
        <v>3338</v>
      </c>
      <c r="D13" s="120"/>
      <c r="E13" s="120" t="s">
        <v>210</v>
      </c>
      <c r="F13" s="120"/>
      <c r="G13" s="120"/>
      <c r="H13" s="68"/>
      <c r="I13" s="381">
        <v>168465.14000000022</v>
      </c>
      <c r="J13" s="381">
        <v>283.01999999999953</v>
      </c>
      <c r="K13" s="381">
        <v>0</v>
      </c>
      <c r="L13" s="381">
        <v>0</v>
      </c>
      <c r="M13" s="381">
        <v>0</v>
      </c>
      <c r="N13" s="381">
        <v>0</v>
      </c>
      <c r="O13" s="381">
        <v>168748.16000000021</v>
      </c>
      <c r="P13" s="389"/>
      <c r="Q13" s="381">
        <v>1160065</v>
      </c>
      <c r="R13" s="381">
        <v>0</v>
      </c>
      <c r="S13" s="381">
        <v>138475</v>
      </c>
      <c r="T13" s="381">
        <v>0</v>
      </c>
      <c r="U13" s="381">
        <v>62765</v>
      </c>
      <c r="V13" s="381">
        <v>47440</v>
      </c>
      <c r="W13" s="381">
        <v>0</v>
      </c>
      <c r="X13" s="381">
        <v>0</v>
      </c>
      <c r="Y13" s="381">
        <v>27053</v>
      </c>
      <c r="Z13" s="381">
        <v>0</v>
      </c>
      <c r="AA13" s="381">
        <v>0</v>
      </c>
      <c r="AB13" s="381">
        <v>0</v>
      </c>
      <c r="AC13" s="381">
        <v>7988</v>
      </c>
      <c r="AD13" s="381">
        <v>2000</v>
      </c>
      <c r="AE13" s="381">
        <v>0</v>
      </c>
      <c r="AF13" s="381">
        <v>0</v>
      </c>
      <c r="AG13" s="381">
        <v>0</v>
      </c>
      <c r="AH13" s="381">
        <v>0</v>
      </c>
      <c r="AI13" s="381">
        <v>0</v>
      </c>
      <c r="AJ13" s="381">
        <v>0</v>
      </c>
      <c r="AK13" s="381">
        <v>0</v>
      </c>
      <c r="AL13" s="381">
        <v>1445786</v>
      </c>
      <c r="AM13" s="389"/>
      <c r="AN13" s="381">
        <v>744244</v>
      </c>
      <c r="AO13" s="381">
        <v>22000</v>
      </c>
      <c r="AP13" s="381">
        <v>327575</v>
      </c>
      <c r="AQ13" s="381">
        <v>34810</v>
      </c>
      <c r="AR13" s="381">
        <v>58061</v>
      </c>
      <c r="AS13" s="381">
        <v>0</v>
      </c>
      <c r="AT13" s="381">
        <v>57405</v>
      </c>
      <c r="AU13" s="381">
        <v>200</v>
      </c>
      <c r="AV13" s="381">
        <v>2050</v>
      </c>
      <c r="AW13" s="381">
        <v>4274</v>
      </c>
      <c r="AX13" s="381">
        <v>300</v>
      </c>
      <c r="AY13" s="381">
        <v>7864</v>
      </c>
      <c r="AZ13" s="381">
        <v>18397</v>
      </c>
      <c r="BA13" s="381">
        <v>2500</v>
      </c>
      <c r="BB13" s="381">
        <v>4000</v>
      </c>
      <c r="BC13" s="381">
        <v>25500</v>
      </c>
      <c r="BD13" s="381">
        <v>5040</v>
      </c>
      <c r="BE13" s="381">
        <v>3860</v>
      </c>
      <c r="BF13" s="381">
        <v>36720</v>
      </c>
      <c r="BG13" s="381">
        <v>4650</v>
      </c>
      <c r="BH13" s="381">
        <v>0</v>
      </c>
      <c r="BI13" s="381">
        <v>6800</v>
      </c>
      <c r="BJ13" s="381">
        <v>2600</v>
      </c>
      <c r="BK13" s="381">
        <v>7100</v>
      </c>
      <c r="BL13" s="381">
        <v>0</v>
      </c>
      <c r="BM13" s="381">
        <v>6225</v>
      </c>
      <c r="BN13" s="381">
        <v>0</v>
      </c>
      <c r="BO13" s="381">
        <v>2620</v>
      </c>
      <c r="BP13" s="381">
        <v>11336</v>
      </c>
      <c r="BQ13" s="381">
        <v>0</v>
      </c>
      <c r="BR13" s="381">
        <v>54759</v>
      </c>
      <c r="BS13" s="381">
        <v>0</v>
      </c>
      <c r="BT13" s="381">
        <v>38416</v>
      </c>
      <c r="BU13" s="381">
        <v>19519</v>
      </c>
      <c r="BV13" s="381">
        <v>0</v>
      </c>
      <c r="BW13" s="381">
        <v>0</v>
      </c>
      <c r="BX13" s="381">
        <v>0</v>
      </c>
      <c r="BY13" s="382">
        <v>0</v>
      </c>
      <c r="BZ13" s="382">
        <v>0</v>
      </c>
      <c r="CA13" s="382">
        <v>1508825</v>
      </c>
      <c r="CB13" s="389"/>
      <c r="CC13" s="381">
        <v>0</v>
      </c>
      <c r="CD13" s="381">
        <v>0</v>
      </c>
      <c r="CE13" s="381">
        <v>0</v>
      </c>
      <c r="CF13" s="381">
        <v>0</v>
      </c>
      <c r="CG13" s="389"/>
      <c r="CH13" s="381">
        <v>0</v>
      </c>
      <c r="CI13" s="381">
        <v>0</v>
      </c>
      <c r="CJ13" s="381">
        <v>0</v>
      </c>
      <c r="CK13" s="381">
        <v>0</v>
      </c>
      <c r="CL13" s="381">
        <v>0</v>
      </c>
      <c r="CM13" s="381">
        <v>0</v>
      </c>
      <c r="CN13" s="381">
        <v>0</v>
      </c>
      <c r="CO13" s="381">
        <v>0</v>
      </c>
      <c r="CP13" s="381">
        <v>0</v>
      </c>
      <c r="CQ13" s="390"/>
      <c r="CR13" s="381">
        <v>105709.16000000021</v>
      </c>
      <c r="CS13" s="381">
        <v>0</v>
      </c>
      <c r="CT13" s="381">
        <v>0</v>
      </c>
      <c r="CU13" s="381">
        <v>0</v>
      </c>
      <c r="CV13" s="381">
        <v>0</v>
      </c>
      <c r="CW13" s="381">
        <v>0</v>
      </c>
      <c r="CX13" s="381">
        <v>105709.16000000021</v>
      </c>
      <c r="CY13" s="381"/>
      <c r="CZ13" s="117"/>
      <c r="DA13" s="384"/>
      <c r="DB13" s="117"/>
      <c r="DC13" s="384"/>
      <c r="DD13" s="385"/>
      <c r="DE13" s="117"/>
      <c r="DF13" s="117"/>
      <c r="DG13" s="381"/>
      <c r="DH13" s="386"/>
      <c r="DI13" s="387"/>
      <c r="DJ13" s="381"/>
      <c r="DK13" s="381">
        <v>168748.16000000021</v>
      </c>
      <c r="DL13" s="381">
        <v>0</v>
      </c>
      <c r="DM13" s="381">
        <v>168748.16000000021</v>
      </c>
      <c r="DN13" s="381">
        <v>105709.16000000021</v>
      </c>
      <c r="DO13" s="381">
        <v>0</v>
      </c>
      <c r="DP13" s="381">
        <v>105709.16000000021</v>
      </c>
      <c r="DQ13" s="383"/>
      <c r="DR13" s="381"/>
      <c r="DS13" s="388"/>
      <c r="DT13" s="388"/>
    </row>
    <row r="14" spans="1:125" ht="14.25">
      <c r="A14" s="380">
        <v>812</v>
      </c>
      <c r="B14" s="68">
        <v>9162180</v>
      </c>
      <c r="C14" s="68">
        <v>2180</v>
      </c>
      <c r="D14" s="120"/>
      <c r="E14" s="120" t="s">
        <v>208</v>
      </c>
      <c r="F14" s="120"/>
      <c r="G14" s="120"/>
      <c r="H14" s="68"/>
      <c r="I14" s="381">
        <v>68424.019999999975</v>
      </c>
      <c r="J14" s="381">
        <v>7247.91</v>
      </c>
      <c r="K14" s="381">
        <v>0</v>
      </c>
      <c r="L14" s="381">
        <v>10786</v>
      </c>
      <c r="M14" s="381">
        <v>0</v>
      </c>
      <c r="N14" s="381">
        <v>25008.45000000007</v>
      </c>
      <c r="O14" s="381">
        <v>111466.38000000005</v>
      </c>
      <c r="P14" s="381"/>
      <c r="Q14" s="381">
        <v>1601387</v>
      </c>
      <c r="R14" s="381">
        <v>0</v>
      </c>
      <c r="S14" s="381">
        <v>148213</v>
      </c>
      <c r="T14" s="381">
        <v>0</v>
      </c>
      <c r="U14" s="381">
        <v>90085</v>
      </c>
      <c r="V14" s="381">
        <v>76689</v>
      </c>
      <c r="W14" s="381">
        <v>0</v>
      </c>
      <c r="X14" s="381">
        <v>6870</v>
      </c>
      <c r="Y14" s="381">
        <v>94500</v>
      </c>
      <c r="Z14" s="381">
        <v>0</v>
      </c>
      <c r="AA14" s="381">
        <v>0</v>
      </c>
      <c r="AB14" s="381">
        <v>0</v>
      </c>
      <c r="AC14" s="381">
        <v>30000</v>
      </c>
      <c r="AD14" s="381">
        <v>0</v>
      </c>
      <c r="AE14" s="381">
        <v>0</v>
      </c>
      <c r="AF14" s="381">
        <v>279279</v>
      </c>
      <c r="AG14" s="381">
        <v>5000</v>
      </c>
      <c r="AH14" s="381">
        <v>0</v>
      </c>
      <c r="AI14" s="381">
        <v>0</v>
      </c>
      <c r="AJ14" s="381">
        <v>0</v>
      </c>
      <c r="AK14" s="381">
        <v>0</v>
      </c>
      <c r="AL14" s="381">
        <v>2332023</v>
      </c>
      <c r="AM14" s="381"/>
      <c r="AN14" s="381">
        <v>1013773</v>
      </c>
      <c r="AO14" s="381">
        <v>15000</v>
      </c>
      <c r="AP14" s="381">
        <v>441265</v>
      </c>
      <c r="AQ14" s="381">
        <v>39603</v>
      </c>
      <c r="AR14" s="381">
        <v>79455</v>
      </c>
      <c r="AS14" s="381">
        <v>0</v>
      </c>
      <c r="AT14" s="381">
        <v>97260</v>
      </c>
      <c r="AU14" s="381">
        <v>10000</v>
      </c>
      <c r="AV14" s="381">
        <v>10250</v>
      </c>
      <c r="AW14" s="381">
        <v>915</v>
      </c>
      <c r="AX14" s="381">
        <v>0</v>
      </c>
      <c r="AY14" s="381">
        <v>18473</v>
      </c>
      <c r="AZ14" s="381">
        <v>5516</v>
      </c>
      <c r="BA14" s="381">
        <v>13000</v>
      </c>
      <c r="BB14" s="381">
        <v>5000</v>
      </c>
      <c r="BC14" s="381">
        <v>33000</v>
      </c>
      <c r="BD14" s="381">
        <v>51487</v>
      </c>
      <c r="BE14" s="381">
        <v>7000</v>
      </c>
      <c r="BF14" s="381">
        <v>75221</v>
      </c>
      <c r="BG14" s="381">
        <v>2615</v>
      </c>
      <c r="BH14" s="381">
        <v>0</v>
      </c>
      <c r="BI14" s="381">
        <v>3285</v>
      </c>
      <c r="BJ14" s="381">
        <v>11515</v>
      </c>
      <c r="BK14" s="381">
        <v>10000</v>
      </c>
      <c r="BL14" s="381">
        <v>10226</v>
      </c>
      <c r="BM14" s="381">
        <v>7263</v>
      </c>
      <c r="BN14" s="381">
        <v>0</v>
      </c>
      <c r="BO14" s="381">
        <v>5300</v>
      </c>
      <c r="BP14" s="381">
        <v>16194</v>
      </c>
      <c r="BQ14" s="381">
        <v>9000</v>
      </c>
      <c r="BR14" s="381">
        <v>91096</v>
      </c>
      <c r="BS14" s="381">
        <v>0</v>
      </c>
      <c r="BT14" s="381">
        <v>16996</v>
      </c>
      <c r="BU14" s="381">
        <v>19280</v>
      </c>
      <c r="BV14" s="381">
        <v>0</v>
      </c>
      <c r="BW14" s="381">
        <v>0</v>
      </c>
      <c r="BX14" s="381">
        <v>0</v>
      </c>
      <c r="BY14" s="382">
        <v>253393</v>
      </c>
      <c r="BZ14" s="382">
        <v>34500</v>
      </c>
      <c r="CA14" s="382">
        <v>2406881</v>
      </c>
      <c r="CB14" s="381"/>
      <c r="CC14" s="381">
        <v>7195</v>
      </c>
      <c r="CD14" s="381">
        <v>0</v>
      </c>
      <c r="CE14" s="381">
        <v>0</v>
      </c>
      <c r="CF14" s="381">
        <v>7195</v>
      </c>
      <c r="CG14" s="381"/>
      <c r="CH14" s="381">
        <v>0</v>
      </c>
      <c r="CI14" s="381">
        <v>17981</v>
      </c>
      <c r="CJ14" s="381">
        <v>0</v>
      </c>
      <c r="CK14" s="381">
        <v>0</v>
      </c>
      <c r="CL14" s="381">
        <v>0</v>
      </c>
      <c r="CM14" s="381">
        <v>0</v>
      </c>
      <c r="CN14" s="381">
        <v>0</v>
      </c>
      <c r="CO14" s="381">
        <v>0</v>
      </c>
      <c r="CP14" s="381">
        <v>17981</v>
      </c>
      <c r="CQ14" s="381"/>
      <c r="CR14" s="381">
        <v>4427.9299999999785</v>
      </c>
      <c r="CS14" s="381">
        <v>0</v>
      </c>
      <c r="CT14" s="381">
        <v>0</v>
      </c>
      <c r="CU14" s="381">
        <v>0</v>
      </c>
      <c r="CV14" s="381">
        <v>0</v>
      </c>
      <c r="CW14" s="381">
        <v>21394.45000000007</v>
      </c>
      <c r="CX14" s="381">
        <v>25822.380000000048</v>
      </c>
      <c r="CY14" s="381"/>
      <c r="CZ14" s="117"/>
      <c r="DA14" s="384"/>
      <c r="DB14" s="117"/>
      <c r="DC14" s="384"/>
      <c r="DD14" s="385"/>
      <c r="DE14" s="117"/>
      <c r="DF14" s="117"/>
      <c r="DG14" s="381"/>
      <c r="DH14" s="386"/>
      <c r="DI14" s="387"/>
      <c r="DJ14" s="381"/>
      <c r="DK14" s="381">
        <v>100680.38000000005</v>
      </c>
      <c r="DL14" s="381">
        <v>10786</v>
      </c>
      <c r="DM14" s="381">
        <v>111466.38000000005</v>
      </c>
      <c r="DN14" s="381">
        <v>25822.380000000048</v>
      </c>
      <c r="DO14" s="381">
        <v>0</v>
      </c>
      <c r="DP14" s="381">
        <v>25822.380000000048</v>
      </c>
      <c r="DQ14" s="383"/>
      <c r="DR14" s="381"/>
      <c r="DS14" s="388"/>
      <c r="DT14" s="388"/>
    </row>
    <row r="15" spans="1:125" ht="14.25">
      <c r="A15" s="380">
        <v>591</v>
      </c>
      <c r="B15" s="68">
        <v>9163316</v>
      </c>
      <c r="C15" s="68">
        <v>3316</v>
      </c>
      <c r="D15" s="120"/>
      <c r="E15" s="120" t="s">
        <v>720</v>
      </c>
      <c r="F15" s="120"/>
      <c r="G15" s="120"/>
      <c r="H15" s="68"/>
      <c r="I15" s="381">
        <v>54721.65999999841</v>
      </c>
      <c r="J15" s="381">
        <v>15625.629999999997</v>
      </c>
      <c r="K15" s="381">
        <v>0</v>
      </c>
      <c r="L15" s="381">
        <v>0</v>
      </c>
      <c r="M15" s="381">
        <v>0</v>
      </c>
      <c r="N15" s="381">
        <v>0</v>
      </c>
      <c r="O15" s="381">
        <v>70347.289999998407</v>
      </c>
      <c r="P15" s="381"/>
      <c r="Q15" s="381">
        <v>1060947</v>
      </c>
      <c r="R15" s="381">
        <v>0</v>
      </c>
      <c r="S15" s="381">
        <v>15420</v>
      </c>
      <c r="T15" s="381">
        <v>0</v>
      </c>
      <c r="U15" s="381">
        <v>24670</v>
      </c>
      <c r="V15" s="381">
        <v>50633</v>
      </c>
      <c r="W15" s="381">
        <v>0</v>
      </c>
      <c r="X15" s="381">
        <v>1900</v>
      </c>
      <c r="Y15" s="381">
        <v>4500</v>
      </c>
      <c r="Z15" s="381">
        <v>0</v>
      </c>
      <c r="AA15" s="381">
        <v>0</v>
      </c>
      <c r="AB15" s="381">
        <v>0</v>
      </c>
      <c r="AC15" s="381">
        <v>22000</v>
      </c>
      <c r="AD15" s="381">
        <v>0</v>
      </c>
      <c r="AE15" s="381">
        <v>0</v>
      </c>
      <c r="AF15" s="381">
        <v>0</v>
      </c>
      <c r="AG15" s="381">
        <v>0</v>
      </c>
      <c r="AH15" s="381">
        <v>0</v>
      </c>
      <c r="AI15" s="381">
        <v>0</v>
      </c>
      <c r="AJ15" s="381">
        <v>0</v>
      </c>
      <c r="AK15" s="381">
        <v>0</v>
      </c>
      <c r="AL15" s="381">
        <v>1180070</v>
      </c>
      <c r="AM15" s="381"/>
      <c r="AN15" s="381">
        <v>669817</v>
      </c>
      <c r="AO15" s="381">
        <v>10000</v>
      </c>
      <c r="AP15" s="381">
        <v>151204</v>
      </c>
      <c r="AQ15" s="381">
        <v>45249</v>
      </c>
      <c r="AR15" s="381">
        <v>77172</v>
      </c>
      <c r="AS15" s="381">
        <v>0</v>
      </c>
      <c r="AT15" s="381">
        <v>26761</v>
      </c>
      <c r="AU15" s="381">
        <v>700</v>
      </c>
      <c r="AV15" s="381">
        <v>8053</v>
      </c>
      <c r="AW15" s="381">
        <v>631</v>
      </c>
      <c r="AX15" s="381">
        <v>0</v>
      </c>
      <c r="AY15" s="381">
        <v>10489</v>
      </c>
      <c r="AZ15" s="381">
        <v>7974</v>
      </c>
      <c r="BA15" s="381">
        <v>2800</v>
      </c>
      <c r="BB15" s="381">
        <v>4500</v>
      </c>
      <c r="BC15" s="381">
        <v>12700</v>
      </c>
      <c r="BD15" s="381">
        <v>3493</v>
      </c>
      <c r="BE15" s="381">
        <v>4800</v>
      </c>
      <c r="BF15" s="381">
        <v>73766</v>
      </c>
      <c r="BG15" s="381">
        <v>4700</v>
      </c>
      <c r="BH15" s="381">
        <v>0</v>
      </c>
      <c r="BI15" s="381">
        <v>350</v>
      </c>
      <c r="BJ15" s="381">
        <v>3000</v>
      </c>
      <c r="BK15" s="381">
        <v>2950</v>
      </c>
      <c r="BL15" s="381">
        <v>200</v>
      </c>
      <c r="BM15" s="381">
        <v>4424</v>
      </c>
      <c r="BN15" s="381">
        <v>0</v>
      </c>
      <c r="BO15" s="381">
        <v>6700</v>
      </c>
      <c r="BP15" s="381">
        <v>9462</v>
      </c>
      <c r="BQ15" s="381">
        <v>0</v>
      </c>
      <c r="BR15" s="381">
        <v>38456</v>
      </c>
      <c r="BS15" s="381">
        <v>0</v>
      </c>
      <c r="BT15" s="381">
        <v>22539</v>
      </c>
      <c r="BU15" s="381">
        <v>20625</v>
      </c>
      <c r="BV15" s="381">
        <v>0</v>
      </c>
      <c r="BW15" s="381">
        <v>0</v>
      </c>
      <c r="BX15" s="381">
        <v>3600</v>
      </c>
      <c r="BY15" s="382">
        <v>0</v>
      </c>
      <c r="BZ15" s="382">
        <v>0</v>
      </c>
      <c r="CA15" s="382">
        <v>1227115</v>
      </c>
      <c r="CB15" s="381"/>
      <c r="CC15" s="381">
        <v>0</v>
      </c>
      <c r="CD15" s="381">
        <v>0</v>
      </c>
      <c r="CE15" s="381">
        <v>3600</v>
      </c>
      <c r="CF15" s="381">
        <v>3600</v>
      </c>
      <c r="CG15" s="381"/>
      <c r="CH15" s="381">
        <v>0</v>
      </c>
      <c r="CI15" s="381">
        <v>3600</v>
      </c>
      <c r="CJ15" s="381">
        <v>0</v>
      </c>
      <c r="CK15" s="381">
        <v>0</v>
      </c>
      <c r="CL15" s="381">
        <v>0</v>
      </c>
      <c r="CM15" s="381">
        <v>0</v>
      </c>
      <c r="CN15" s="381">
        <v>0</v>
      </c>
      <c r="CO15" s="381">
        <v>0</v>
      </c>
      <c r="CP15" s="381">
        <v>3600</v>
      </c>
      <c r="CQ15" s="381"/>
      <c r="CR15" s="381">
        <v>23302.289999998407</v>
      </c>
      <c r="CS15" s="381">
        <v>0</v>
      </c>
      <c r="CT15" s="381">
        <v>0</v>
      </c>
      <c r="CU15" s="381">
        <v>0</v>
      </c>
      <c r="CV15" s="381">
        <v>0</v>
      </c>
      <c r="CW15" s="381">
        <v>0</v>
      </c>
      <c r="CX15" s="381">
        <v>23302.289999998407</v>
      </c>
      <c r="CY15" s="381"/>
      <c r="CZ15" s="117"/>
      <c r="DA15" s="384"/>
      <c r="DB15" s="117"/>
      <c r="DC15" s="384"/>
      <c r="DD15" s="385"/>
      <c r="DE15" s="117"/>
      <c r="DF15" s="117"/>
      <c r="DG15" s="381"/>
      <c r="DH15" s="386"/>
      <c r="DI15" s="387"/>
      <c r="DJ15" s="381"/>
      <c r="DK15" s="381">
        <v>70347.289999998407</v>
      </c>
      <c r="DL15" s="381">
        <v>0</v>
      </c>
      <c r="DM15" s="381">
        <v>70347.289999998407</v>
      </c>
      <c r="DN15" s="381">
        <v>23302.289999998407</v>
      </c>
      <c r="DO15" s="381">
        <v>0</v>
      </c>
      <c r="DP15" s="381">
        <v>23302.289999998407</v>
      </c>
      <c r="DQ15" s="383"/>
      <c r="DR15" s="381"/>
      <c r="DS15" s="388"/>
      <c r="DT15" s="388"/>
    </row>
    <row r="16" spans="1:125" ht="14.25">
      <c r="A16" s="380">
        <v>531</v>
      </c>
      <c r="B16" s="391">
        <v>9163308</v>
      </c>
      <c r="C16" s="68">
        <v>3308</v>
      </c>
      <c r="D16" s="120"/>
      <c r="E16" s="120" t="s">
        <v>212</v>
      </c>
      <c r="F16" s="120"/>
      <c r="G16" s="120"/>
      <c r="H16" s="68"/>
      <c r="I16" s="381">
        <v>23760.800000000021</v>
      </c>
      <c r="J16" s="381">
        <v>9498.3999999999978</v>
      </c>
      <c r="K16" s="381">
        <v>0</v>
      </c>
      <c r="L16" s="381">
        <v>0</v>
      </c>
      <c r="M16" s="381">
        <v>0</v>
      </c>
      <c r="N16" s="381">
        <v>0</v>
      </c>
      <c r="O16" s="381">
        <v>33259.200000000019</v>
      </c>
      <c r="P16" s="381"/>
      <c r="Q16" s="381">
        <v>600306</v>
      </c>
      <c r="R16" s="381">
        <v>0</v>
      </c>
      <c r="S16" s="381">
        <v>13516</v>
      </c>
      <c r="T16" s="381">
        <v>0</v>
      </c>
      <c r="U16" s="381">
        <v>12355</v>
      </c>
      <c r="V16" s="381">
        <v>30027</v>
      </c>
      <c r="W16" s="381">
        <v>0</v>
      </c>
      <c r="X16" s="381">
        <v>0</v>
      </c>
      <c r="Y16" s="381">
        <v>23505</v>
      </c>
      <c r="Z16" s="381">
        <v>400</v>
      </c>
      <c r="AA16" s="381">
        <v>0</v>
      </c>
      <c r="AB16" s="381">
        <v>0</v>
      </c>
      <c r="AC16" s="381">
        <v>6000</v>
      </c>
      <c r="AD16" s="381">
        <v>8727</v>
      </c>
      <c r="AE16" s="381">
        <v>0</v>
      </c>
      <c r="AF16" s="381">
        <v>0</v>
      </c>
      <c r="AG16" s="381">
        <v>0</v>
      </c>
      <c r="AH16" s="381">
        <v>0</v>
      </c>
      <c r="AI16" s="381">
        <v>0</v>
      </c>
      <c r="AJ16" s="381">
        <v>0</v>
      </c>
      <c r="AK16" s="381">
        <v>0</v>
      </c>
      <c r="AL16" s="381">
        <v>694836</v>
      </c>
      <c r="AM16" s="381"/>
      <c r="AN16" s="381">
        <v>364508</v>
      </c>
      <c r="AO16" s="381">
        <v>1400</v>
      </c>
      <c r="AP16" s="381">
        <v>126661</v>
      </c>
      <c r="AQ16" s="381">
        <v>6525</v>
      </c>
      <c r="AR16" s="381">
        <v>40939</v>
      </c>
      <c r="AS16" s="381">
        <v>0</v>
      </c>
      <c r="AT16" s="381">
        <v>26229</v>
      </c>
      <c r="AU16" s="381">
        <v>490</v>
      </c>
      <c r="AV16" s="381">
        <v>3000</v>
      </c>
      <c r="AW16" s="381">
        <v>2802</v>
      </c>
      <c r="AX16" s="381">
        <v>630</v>
      </c>
      <c r="AY16" s="381">
        <v>13947</v>
      </c>
      <c r="AZ16" s="381">
        <v>2662</v>
      </c>
      <c r="BA16" s="381">
        <v>3500</v>
      </c>
      <c r="BB16" s="381">
        <v>1300</v>
      </c>
      <c r="BC16" s="381">
        <v>8000</v>
      </c>
      <c r="BD16" s="381">
        <v>1422</v>
      </c>
      <c r="BE16" s="381">
        <v>4200</v>
      </c>
      <c r="BF16" s="381">
        <v>47416</v>
      </c>
      <c r="BG16" s="381">
        <v>2500</v>
      </c>
      <c r="BH16" s="381">
        <v>0</v>
      </c>
      <c r="BI16" s="381">
        <v>4251</v>
      </c>
      <c r="BJ16" s="381">
        <v>0</v>
      </c>
      <c r="BK16" s="381">
        <v>0</v>
      </c>
      <c r="BL16" s="381">
        <v>0</v>
      </c>
      <c r="BM16" s="381">
        <v>6591</v>
      </c>
      <c r="BN16" s="381">
        <v>0</v>
      </c>
      <c r="BO16" s="381">
        <v>1550</v>
      </c>
      <c r="BP16" s="381">
        <v>4965</v>
      </c>
      <c r="BQ16" s="381">
        <v>0</v>
      </c>
      <c r="BR16" s="381">
        <v>19736</v>
      </c>
      <c r="BS16" s="381">
        <v>8200</v>
      </c>
      <c r="BT16" s="381">
        <v>20800</v>
      </c>
      <c r="BU16" s="381">
        <v>9992</v>
      </c>
      <c r="BV16" s="381">
        <v>0</v>
      </c>
      <c r="BW16" s="381">
        <v>0</v>
      </c>
      <c r="BX16" s="381">
        <v>1000</v>
      </c>
      <c r="BY16" s="382">
        <v>0</v>
      </c>
      <c r="BZ16" s="382">
        <v>0</v>
      </c>
      <c r="CA16" s="382">
        <v>735216</v>
      </c>
      <c r="CB16" s="381"/>
      <c r="CC16" s="381">
        <v>0</v>
      </c>
      <c r="CD16" s="381">
        <v>0</v>
      </c>
      <c r="CE16" s="381">
        <v>0</v>
      </c>
      <c r="CF16" s="381">
        <v>0</v>
      </c>
      <c r="CG16" s="381"/>
      <c r="CH16" s="381">
        <v>0</v>
      </c>
      <c r="CI16" s="381">
        <v>0</v>
      </c>
      <c r="CJ16" s="381">
        <v>0</v>
      </c>
      <c r="CK16" s="381">
        <v>0</v>
      </c>
      <c r="CL16" s="381">
        <v>0</v>
      </c>
      <c r="CM16" s="381">
        <v>0</v>
      </c>
      <c r="CN16" s="381">
        <v>0</v>
      </c>
      <c r="CO16" s="381">
        <v>0</v>
      </c>
      <c r="CP16" s="381">
        <v>0</v>
      </c>
      <c r="CQ16" s="381"/>
      <c r="CR16" s="381">
        <v>-7120.7999999999811</v>
      </c>
      <c r="CS16" s="381">
        <v>0</v>
      </c>
      <c r="CT16" s="381">
        <v>0</v>
      </c>
      <c r="CU16" s="381">
        <v>0</v>
      </c>
      <c r="CV16" s="381">
        <v>0</v>
      </c>
      <c r="CW16" s="381">
        <v>0</v>
      </c>
      <c r="CX16" s="381">
        <v>-7120.7999999999811</v>
      </c>
      <c r="CY16" s="381"/>
      <c r="CZ16" s="117"/>
      <c r="DA16" s="384"/>
      <c r="DB16" s="117"/>
      <c r="DC16" s="384"/>
      <c r="DD16" s="385"/>
      <c r="DE16" s="117"/>
      <c r="DF16" s="117"/>
      <c r="DG16" s="381"/>
      <c r="DH16" s="386"/>
      <c r="DI16" s="387"/>
      <c r="DJ16" s="381"/>
      <c r="DK16" s="381">
        <v>33259.200000000019</v>
      </c>
      <c r="DL16" s="381">
        <v>0</v>
      </c>
      <c r="DM16" s="381">
        <v>33259.200000000019</v>
      </c>
      <c r="DN16" s="381">
        <v>-7120.7999999999811</v>
      </c>
      <c r="DO16" s="381">
        <v>0</v>
      </c>
      <c r="DP16" s="381">
        <v>-7120.7999999999811</v>
      </c>
      <c r="DQ16" s="383"/>
      <c r="DR16" s="381"/>
      <c r="DS16" s="388"/>
      <c r="DT16" s="388"/>
    </row>
    <row r="17" spans="1:124" ht="14.25">
      <c r="A17" s="380">
        <v>714</v>
      </c>
      <c r="B17" s="391">
        <v>9163050</v>
      </c>
      <c r="C17" s="68">
        <v>3050</v>
      </c>
      <c r="D17" s="120"/>
      <c r="E17" s="120" t="s">
        <v>237</v>
      </c>
      <c r="F17" s="120"/>
      <c r="G17" s="120"/>
      <c r="H17" s="68"/>
      <c r="I17" s="381">
        <v>188071.81999999992</v>
      </c>
      <c r="J17" s="381">
        <v>27706.9</v>
      </c>
      <c r="K17" s="381">
        <v>0</v>
      </c>
      <c r="L17" s="381">
        <v>2429.0700000000002</v>
      </c>
      <c r="M17" s="381">
        <v>0</v>
      </c>
      <c r="N17" s="381">
        <v>0</v>
      </c>
      <c r="O17" s="381">
        <v>218207.78999999992</v>
      </c>
      <c r="P17" s="381"/>
      <c r="Q17" s="381">
        <v>624954</v>
      </c>
      <c r="R17" s="381">
        <v>0</v>
      </c>
      <c r="S17" s="381">
        <v>0</v>
      </c>
      <c r="T17" s="381">
        <v>0</v>
      </c>
      <c r="U17" s="381">
        <v>10140</v>
      </c>
      <c r="V17" s="381">
        <v>32470</v>
      </c>
      <c r="W17" s="381">
        <v>0</v>
      </c>
      <c r="X17" s="381">
        <v>0</v>
      </c>
      <c r="Y17" s="381">
        <v>20050</v>
      </c>
      <c r="Z17" s="381">
        <v>0</v>
      </c>
      <c r="AA17" s="381">
        <v>0</v>
      </c>
      <c r="AB17" s="381">
        <v>0</v>
      </c>
      <c r="AC17" s="381">
        <v>0</v>
      </c>
      <c r="AD17" s="381">
        <v>0</v>
      </c>
      <c r="AE17" s="381">
        <v>0</v>
      </c>
      <c r="AF17" s="381">
        <v>0</v>
      </c>
      <c r="AG17" s="381">
        <v>0</v>
      </c>
      <c r="AH17" s="381">
        <v>0</v>
      </c>
      <c r="AI17" s="381">
        <v>0</v>
      </c>
      <c r="AJ17" s="381">
        <v>0</v>
      </c>
      <c r="AK17" s="381">
        <v>0</v>
      </c>
      <c r="AL17" s="381">
        <v>687614</v>
      </c>
      <c r="AM17" s="381"/>
      <c r="AN17" s="381">
        <v>379834</v>
      </c>
      <c r="AO17" s="381">
        <v>6000</v>
      </c>
      <c r="AP17" s="381">
        <v>80433</v>
      </c>
      <c r="AQ17" s="381">
        <v>14904</v>
      </c>
      <c r="AR17" s="381">
        <v>52509</v>
      </c>
      <c r="AS17" s="381">
        <v>0</v>
      </c>
      <c r="AT17" s="381">
        <v>26881</v>
      </c>
      <c r="AU17" s="381">
        <v>2746</v>
      </c>
      <c r="AV17" s="381">
        <v>6100</v>
      </c>
      <c r="AW17" s="381">
        <v>311</v>
      </c>
      <c r="AX17" s="381">
        <v>0</v>
      </c>
      <c r="AY17" s="381">
        <v>9069</v>
      </c>
      <c r="AZ17" s="381">
        <v>400</v>
      </c>
      <c r="BA17" s="381">
        <v>1200</v>
      </c>
      <c r="BB17" s="381">
        <v>1080</v>
      </c>
      <c r="BC17" s="381">
        <v>10000</v>
      </c>
      <c r="BD17" s="381">
        <v>2196</v>
      </c>
      <c r="BE17" s="381">
        <v>3830</v>
      </c>
      <c r="BF17" s="381">
        <v>42682</v>
      </c>
      <c r="BG17" s="381">
        <v>1200</v>
      </c>
      <c r="BH17" s="381">
        <v>0</v>
      </c>
      <c r="BI17" s="381">
        <v>3500</v>
      </c>
      <c r="BJ17" s="381">
        <v>1000</v>
      </c>
      <c r="BK17" s="381">
        <v>3000</v>
      </c>
      <c r="BL17" s="381">
        <v>0</v>
      </c>
      <c r="BM17" s="381">
        <v>1071</v>
      </c>
      <c r="BN17" s="381">
        <v>0</v>
      </c>
      <c r="BO17" s="381">
        <v>1100</v>
      </c>
      <c r="BP17" s="381">
        <v>5506</v>
      </c>
      <c r="BQ17" s="381">
        <v>0</v>
      </c>
      <c r="BR17" s="381">
        <v>20085</v>
      </c>
      <c r="BS17" s="381">
        <v>0</v>
      </c>
      <c r="BT17" s="381">
        <v>13400</v>
      </c>
      <c r="BU17" s="381">
        <v>16796</v>
      </c>
      <c r="BV17" s="381">
        <v>0</v>
      </c>
      <c r="BW17" s="381">
        <v>0</v>
      </c>
      <c r="BX17" s="381">
        <v>0</v>
      </c>
      <c r="BY17" s="382">
        <v>0</v>
      </c>
      <c r="BZ17" s="382">
        <v>0</v>
      </c>
      <c r="CA17" s="382">
        <v>706833</v>
      </c>
      <c r="CB17" s="381"/>
      <c r="CC17" s="381">
        <v>5046</v>
      </c>
      <c r="CD17" s="381">
        <v>0</v>
      </c>
      <c r="CE17" s="381">
        <v>0</v>
      </c>
      <c r="CF17" s="381">
        <v>5046</v>
      </c>
      <c r="CG17" s="381"/>
      <c r="CH17" s="381">
        <v>0</v>
      </c>
      <c r="CI17" s="381">
        <v>2429</v>
      </c>
      <c r="CJ17" s="381">
        <v>0</v>
      </c>
      <c r="CK17" s="381">
        <v>0</v>
      </c>
      <c r="CL17" s="381">
        <v>0</v>
      </c>
      <c r="CM17" s="381">
        <v>0</v>
      </c>
      <c r="CN17" s="381">
        <v>5046</v>
      </c>
      <c r="CO17" s="381">
        <v>0</v>
      </c>
      <c r="CP17" s="381">
        <v>7475</v>
      </c>
      <c r="CQ17" s="381"/>
      <c r="CR17" s="381">
        <v>196559.71999999991</v>
      </c>
      <c r="CS17" s="381">
        <v>0</v>
      </c>
      <c r="CT17" s="381">
        <v>0</v>
      </c>
      <c r="CU17" s="381">
        <v>7.0000000000163709E-2</v>
      </c>
      <c r="CV17" s="381">
        <v>0</v>
      </c>
      <c r="CW17" s="381">
        <v>0</v>
      </c>
      <c r="CX17" s="381">
        <v>196559.78999999992</v>
      </c>
      <c r="CY17" s="381"/>
      <c r="CZ17" s="117"/>
      <c r="DA17" s="384"/>
      <c r="DB17" s="117"/>
      <c r="DC17" s="384"/>
      <c r="DD17" s="385"/>
      <c r="DE17" s="117"/>
      <c r="DF17" s="117"/>
      <c r="DG17" s="381"/>
      <c r="DH17" s="386"/>
      <c r="DI17" s="387"/>
      <c r="DJ17" s="381"/>
      <c r="DK17" s="381">
        <v>215778.71999999991</v>
      </c>
      <c r="DL17" s="381">
        <v>2429.0700000000002</v>
      </c>
      <c r="DM17" s="381">
        <v>218207.78999999992</v>
      </c>
      <c r="DN17" s="381">
        <v>196559.71999999991</v>
      </c>
      <c r="DO17" s="381">
        <v>7.0000000000163709E-2</v>
      </c>
      <c r="DP17" s="381">
        <v>196559.78999999992</v>
      </c>
      <c r="DQ17" s="383"/>
      <c r="DR17" s="381"/>
      <c r="DS17" s="388"/>
      <c r="DT17" s="388"/>
    </row>
    <row r="18" spans="1:124" ht="15">
      <c r="A18" s="380">
        <v>677</v>
      </c>
      <c r="B18" s="391">
        <v>9163328</v>
      </c>
      <c r="C18" s="68">
        <v>3328</v>
      </c>
      <c r="D18" s="120"/>
      <c r="E18" s="120" t="s">
        <v>185</v>
      </c>
      <c r="F18" s="120"/>
      <c r="G18" s="120"/>
      <c r="H18" s="68"/>
      <c r="I18" s="381">
        <v>155210.30999999988</v>
      </c>
      <c r="J18" s="381">
        <v>4910</v>
      </c>
      <c r="K18" s="381">
        <v>0</v>
      </c>
      <c r="L18" s="381">
        <v>468.63999999999942</v>
      </c>
      <c r="M18" s="381">
        <v>0</v>
      </c>
      <c r="N18" s="381">
        <v>0</v>
      </c>
      <c r="O18" s="381">
        <v>160588.9499999999</v>
      </c>
      <c r="P18" s="389"/>
      <c r="Q18" s="381">
        <v>572650</v>
      </c>
      <c r="R18" s="381">
        <v>0</v>
      </c>
      <c r="S18" s="381">
        <v>0</v>
      </c>
      <c r="T18" s="381">
        <v>0</v>
      </c>
      <c r="U18" s="381">
        <v>6060</v>
      </c>
      <c r="V18" s="381">
        <v>28310</v>
      </c>
      <c r="W18" s="381">
        <v>3000</v>
      </c>
      <c r="X18" s="381">
        <v>0</v>
      </c>
      <c r="Y18" s="381">
        <v>26758</v>
      </c>
      <c r="Z18" s="381">
        <v>0</v>
      </c>
      <c r="AA18" s="381">
        <v>0</v>
      </c>
      <c r="AB18" s="381">
        <v>0</v>
      </c>
      <c r="AC18" s="381">
        <v>0</v>
      </c>
      <c r="AD18" s="381">
        <v>0</v>
      </c>
      <c r="AE18" s="381">
        <v>0</v>
      </c>
      <c r="AF18" s="381">
        <v>0</v>
      </c>
      <c r="AG18" s="381">
        <v>0</v>
      </c>
      <c r="AH18" s="381">
        <v>0</v>
      </c>
      <c r="AI18" s="381">
        <v>0</v>
      </c>
      <c r="AJ18" s="381">
        <v>0</v>
      </c>
      <c r="AK18" s="381">
        <v>0</v>
      </c>
      <c r="AL18" s="381">
        <v>636778</v>
      </c>
      <c r="AM18" s="389"/>
      <c r="AN18" s="381">
        <v>396888</v>
      </c>
      <c r="AO18" s="381">
        <v>8000</v>
      </c>
      <c r="AP18" s="381">
        <v>78704</v>
      </c>
      <c r="AQ18" s="381">
        <v>0</v>
      </c>
      <c r="AR18" s="381">
        <v>34816</v>
      </c>
      <c r="AS18" s="381">
        <v>0</v>
      </c>
      <c r="AT18" s="381">
        <v>31641</v>
      </c>
      <c r="AU18" s="381">
        <v>700</v>
      </c>
      <c r="AV18" s="381">
        <v>1000</v>
      </c>
      <c r="AW18" s="381">
        <v>2265</v>
      </c>
      <c r="AX18" s="381">
        <v>0</v>
      </c>
      <c r="AY18" s="381">
        <v>21400</v>
      </c>
      <c r="AZ18" s="381">
        <v>3408</v>
      </c>
      <c r="BA18" s="381">
        <v>17557</v>
      </c>
      <c r="BB18" s="381">
        <v>4500</v>
      </c>
      <c r="BC18" s="381">
        <v>15000</v>
      </c>
      <c r="BD18" s="381">
        <v>1821</v>
      </c>
      <c r="BE18" s="381">
        <v>1850</v>
      </c>
      <c r="BF18" s="381">
        <v>32677</v>
      </c>
      <c r="BG18" s="381">
        <v>2814</v>
      </c>
      <c r="BH18" s="381">
        <v>0</v>
      </c>
      <c r="BI18" s="381">
        <v>4500</v>
      </c>
      <c r="BJ18" s="381">
        <v>0</v>
      </c>
      <c r="BK18" s="381">
        <v>5000</v>
      </c>
      <c r="BL18" s="381">
        <v>0</v>
      </c>
      <c r="BM18" s="381">
        <v>3360</v>
      </c>
      <c r="BN18" s="381">
        <v>0</v>
      </c>
      <c r="BO18" s="381">
        <v>2250</v>
      </c>
      <c r="BP18" s="381">
        <v>4697</v>
      </c>
      <c r="BQ18" s="381">
        <v>0</v>
      </c>
      <c r="BR18" s="381">
        <v>19961</v>
      </c>
      <c r="BS18" s="381">
        <v>0</v>
      </c>
      <c r="BT18" s="381">
        <v>10713</v>
      </c>
      <c r="BU18" s="381">
        <v>20580</v>
      </c>
      <c r="BV18" s="381">
        <v>0</v>
      </c>
      <c r="BW18" s="381">
        <v>0</v>
      </c>
      <c r="BX18" s="381">
        <v>0</v>
      </c>
      <c r="BY18" s="382">
        <v>0</v>
      </c>
      <c r="BZ18" s="382">
        <v>0</v>
      </c>
      <c r="CA18" s="382">
        <v>726102</v>
      </c>
      <c r="CB18" s="389"/>
      <c r="CC18" s="381">
        <v>0</v>
      </c>
      <c r="CD18" s="381">
        <v>0</v>
      </c>
      <c r="CE18" s="381">
        <v>0</v>
      </c>
      <c r="CF18" s="381">
        <v>0</v>
      </c>
      <c r="CG18" s="389"/>
      <c r="CH18" s="381">
        <v>0</v>
      </c>
      <c r="CI18" s="381">
        <v>0</v>
      </c>
      <c r="CJ18" s="381">
        <v>0</v>
      </c>
      <c r="CK18" s="381">
        <v>0</v>
      </c>
      <c r="CL18" s="381">
        <v>0</v>
      </c>
      <c r="CM18" s="381">
        <v>0</v>
      </c>
      <c r="CN18" s="381">
        <v>0</v>
      </c>
      <c r="CO18" s="381">
        <v>0</v>
      </c>
      <c r="CP18" s="381">
        <v>0</v>
      </c>
      <c r="CQ18" s="390"/>
      <c r="CR18" s="381">
        <v>70796.309999999881</v>
      </c>
      <c r="CS18" s="381">
        <v>0</v>
      </c>
      <c r="CT18" s="381">
        <v>0</v>
      </c>
      <c r="CU18" s="381">
        <v>468.63999999999942</v>
      </c>
      <c r="CV18" s="381">
        <v>0</v>
      </c>
      <c r="CW18" s="381">
        <v>0</v>
      </c>
      <c r="CX18" s="381">
        <v>71264.949999999881</v>
      </c>
      <c r="CY18" s="381"/>
      <c r="CZ18" s="117"/>
      <c r="DA18" s="384"/>
      <c r="DB18" s="117"/>
      <c r="DC18" s="384"/>
      <c r="DD18" s="385"/>
      <c r="DE18" s="117"/>
      <c r="DF18" s="117"/>
      <c r="DG18" s="381"/>
      <c r="DH18" s="386"/>
      <c r="DI18" s="387"/>
      <c r="DJ18" s="381"/>
      <c r="DK18" s="381">
        <v>160120.30999999988</v>
      </c>
      <c r="DL18" s="381">
        <v>468.63999999999942</v>
      </c>
      <c r="DM18" s="381">
        <v>160588.9499999999</v>
      </c>
      <c r="DN18" s="381">
        <v>70796.309999999881</v>
      </c>
      <c r="DO18" s="381">
        <v>468.63999999999942</v>
      </c>
      <c r="DP18" s="381">
        <v>71264.949999999881</v>
      </c>
      <c r="DQ18" s="383"/>
      <c r="DR18" s="381"/>
      <c r="DS18" s="388"/>
      <c r="DT18" s="388"/>
    </row>
    <row r="19" spans="1:124" ht="14.25">
      <c r="A19" s="380">
        <v>619</v>
      </c>
      <c r="B19" s="391">
        <v>9163030</v>
      </c>
      <c r="C19" s="68">
        <v>3030</v>
      </c>
      <c r="D19" s="120"/>
      <c r="E19" s="120" t="s">
        <v>239</v>
      </c>
      <c r="F19" s="120"/>
      <c r="G19" s="120"/>
      <c r="H19" s="68"/>
      <c r="I19" s="381">
        <v>86162.680000000037</v>
      </c>
      <c r="J19" s="381">
        <v>12591.3</v>
      </c>
      <c r="K19" s="381">
        <v>0</v>
      </c>
      <c r="L19" s="381">
        <v>13388.78</v>
      </c>
      <c r="M19" s="381">
        <v>0</v>
      </c>
      <c r="N19" s="381">
        <v>21818.03</v>
      </c>
      <c r="O19" s="381">
        <v>133960.79000000004</v>
      </c>
      <c r="P19" s="381"/>
      <c r="Q19" s="381">
        <v>560226</v>
      </c>
      <c r="R19" s="381">
        <v>0</v>
      </c>
      <c r="S19" s="381">
        <v>15883</v>
      </c>
      <c r="T19" s="381">
        <v>0</v>
      </c>
      <c r="U19" s="381">
        <v>10360</v>
      </c>
      <c r="V19" s="381">
        <v>30141</v>
      </c>
      <c r="W19" s="381">
        <v>0</v>
      </c>
      <c r="X19" s="381">
        <v>0</v>
      </c>
      <c r="Y19" s="381">
        <v>7000</v>
      </c>
      <c r="Z19" s="381">
        <v>0</v>
      </c>
      <c r="AA19" s="381">
        <v>0</v>
      </c>
      <c r="AB19" s="381">
        <v>0</v>
      </c>
      <c r="AC19" s="381">
        <v>4000</v>
      </c>
      <c r="AD19" s="381">
        <v>6000</v>
      </c>
      <c r="AE19" s="381">
        <v>0</v>
      </c>
      <c r="AF19" s="381">
        <v>26418</v>
      </c>
      <c r="AG19" s="381">
        <v>9435</v>
      </c>
      <c r="AH19" s="381">
        <v>0</v>
      </c>
      <c r="AI19" s="381">
        <v>0</v>
      </c>
      <c r="AJ19" s="381">
        <v>0</v>
      </c>
      <c r="AK19" s="381">
        <v>0</v>
      </c>
      <c r="AL19" s="381">
        <v>669463</v>
      </c>
      <c r="AM19" s="381"/>
      <c r="AN19" s="381">
        <v>395662</v>
      </c>
      <c r="AO19" s="381">
        <v>2000</v>
      </c>
      <c r="AP19" s="381">
        <v>73281</v>
      </c>
      <c r="AQ19" s="381">
        <v>200</v>
      </c>
      <c r="AR19" s="381">
        <v>29767</v>
      </c>
      <c r="AS19" s="381">
        <v>0</v>
      </c>
      <c r="AT19" s="381">
        <v>16919</v>
      </c>
      <c r="AU19" s="381">
        <v>2150</v>
      </c>
      <c r="AV19" s="381">
        <v>2000</v>
      </c>
      <c r="AW19" s="381">
        <v>1003</v>
      </c>
      <c r="AX19" s="381">
        <v>0</v>
      </c>
      <c r="AY19" s="381">
        <v>5120</v>
      </c>
      <c r="AZ19" s="381">
        <v>5098</v>
      </c>
      <c r="BA19" s="381">
        <v>16474</v>
      </c>
      <c r="BB19" s="381">
        <v>1250</v>
      </c>
      <c r="BC19" s="381">
        <v>10500</v>
      </c>
      <c r="BD19" s="381">
        <v>6737</v>
      </c>
      <c r="BE19" s="381">
        <v>2173</v>
      </c>
      <c r="BF19" s="381">
        <v>42007</v>
      </c>
      <c r="BG19" s="381">
        <v>3000</v>
      </c>
      <c r="BH19" s="381">
        <v>0</v>
      </c>
      <c r="BI19" s="381">
        <v>0</v>
      </c>
      <c r="BJ19" s="381">
        <v>0</v>
      </c>
      <c r="BK19" s="381">
        <v>1100</v>
      </c>
      <c r="BL19" s="381">
        <v>0</v>
      </c>
      <c r="BM19" s="381">
        <v>2500</v>
      </c>
      <c r="BN19" s="381">
        <v>0</v>
      </c>
      <c r="BO19" s="381">
        <v>1250</v>
      </c>
      <c r="BP19" s="381">
        <v>4318</v>
      </c>
      <c r="BQ19" s="381">
        <v>0</v>
      </c>
      <c r="BR19" s="381">
        <v>17951</v>
      </c>
      <c r="BS19" s="381">
        <v>0</v>
      </c>
      <c r="BT19" s="381">
        <v>8060</v>
      </c>
      <c r="BU19" s="381">
        <v>16940</v>
      </c>
      <c r="BV19" s="381">
        <v>0</v>
      </c>
      <c r="BW19" s="381">
        <v>0</v>
      </c>
      <c r="BX19" s="381">
        <v>0</v>
      </c>
      <c r="BY19" s="382">
        <v>33268</v>
      </c>
      <c r="BZ19" s="382">
        <v>8900</v>
      </c>
      <c r="CA19" s="382">
        <v>709628</v>
      </c>
      <c r="CB19" s="381"/>
      <c r="CC19" s="381">
        <v>4900</v>
      </c>
      <c r="CD19" s="381">
        <v>0</v>
      </c>
      <c r="CE19" s="381">
        <v>0</v>
      </c>
      <c r="CF19" s="381">
        <v>4900</v>
      </c>
      <c r="CG19" s="381"/>
      <c r="CH19" s="381">
        <v>0</v>
      </c>
      <c r="CI19" s="381">
        <v>13389</v>
      </c>
      <c r="CJ19" s="381">
        <v>0</v>
      </c>
      <c r="CK19" s="381">
        <v>0</v>
      </c>
      <c r="CL19" s="381">
        <v>0</v>
      </c>
      <c r="CM19" s="381">
        <v>0</v>
      </c>
      <c r="CN19" s="381">
        <v>4900</v>
      </c>
      <c r="CO19" s="381">
        <v>0</v>
      </c>
      <c r="CP19" s="381">
        <v>18289</v>
      </c>
      <c r="CQ19" s="381"/>
      <c r="CR19" s="381">
        <v>64903.98000000004</v>
      </c>
      <c r="CS19" s="381">
        <v>0</v>
      </c>
      <c r="CT19" s="381">
        <v>0</v>
      </c>
      <c r="CU19" s="381">
        <v>-0.21999999999934516</v>
      </c>
      <c r="CV19" s="381">
        <v>0</v>
      </c>
      <c r="CW19" s="381">
        <v>15503.029999999999</v>
      </c>
      <c r="CX19" s="381">
        <v>80406.790000000037</v>
      </c>
      <c r="CY19" s="381"/>
      <c r="CZ19" s="117"/>
      <c r="DA19" s="384"/>
      <c r="DB19" s="117"/>
      <c r="DC19" s="384"/>
      <c r="DD19" s="385"/>
      <c r="DE19" s="117"/>
      <c r="DF19" s="117"/>
      <c r="DG19" s="381"/>
      <c r="DH19" s="386"/>
      <c r="DI19" s="387"/>
      <c r="DJ19" s="381"/>
      <c r="DK19" s="381">
        <v>120572.01000000004</v>
      </c>
      <c r="DL19" s="381">
        <v>13388.78</v>
      </c>
      <c r="DM19" s="381">
        <v>133960.79000000004</v>
      </c>
      <c r="DN19" s="381">
        <v>80407.010000000038</v>
      </c>
      <c r="DO19" s="381">
        <v>-0.21999999999934516</v>
      </c>
      <c r="DP19" s="381">
        <v>80406.790000000037</v>
      </c>
      <c r="DQ19" s="383"/>
      <c r="DR19" s="381"/>
      <c r="DS19" s="388"/>
      <c r="DT19" s="388"/>
    </row>
    <row r="20" spans="1:124" ht="14.25">
      <c r="A20" s="380">
        <v>579</v>
      </c>
      <c r="B20" s="391">
        <v>9162132</v>
      </c>
      <c r="C20" s="68">
        <v>2132</v>
      </c>
      <c r="D20" s="120"/>
      <c r="E20" s="120" t="s">
        <v>219</v>
      </c>
      <c r="F20" s="120"/>
      <c r="G20" s="120"/>
      <c r="H20" s="68"/>
      <c r="I20" s="381">
        <v>259131.99999999991</v>
      </c>
      <c r="J20" s="381">
        <v>21125.170000000002</v>
      </c>
      <c r="K20" s="381">
        <v>0</v>
      </c>
      <c r="L20" s="381">
        <v>1.8189894035458565E-12</v>
      </c>
      <c r="M20" s="381">
        <v>0</v>
      </c>
      <c r="N20" s="381">
        <v>0</v>
      </c>
      <c r="O20" s="381">
        <v>280257.16999999993</v>
      </c>
      <c r="P20" s="381"/>
      <c r="Q20" s="381">
        <v>1170166</v>
      </c>
      <c r="R20" s="381">
        <v>0</v>
      </c>
      <c r="S20" s="381">
        <v>69447</v>
      </c>
      <c r="T20" s="381">
        <v>0</v>
      </c>
      <c r="U20" s="381">
        <v>58170</v>
      </c>
      <c r="V20" s="381">
        <v>55545</v>
      </c>
      <c r="W20" s="381">
        <v>0</v>
      </c>
      <c r="X20" s="381">
        <v>10000</v>
      </c>
      <c r="Y20" s="381">
        <v>13848</v>
      </c>
      <c r="Z20" s="381">
        <v>0</v>
      </c>
      <c r="AA20" s="381">
        <v>0</v>
      </c>
      <c r="AB20" s="381">
        <v>0</v>
      </c>
      <c r="AC20" s="381">
        <v>14000</v>
      </c>
      <c r="AD20" s="381">
        <v>0</v>
      </c>
      <c r="AE20" s="381">
        <v>0</v>
      </c>
      <c r="AF20" s="381">
        <v>0</v>
      </c>
      <c r="AG20" s="381">
        <v>0</v>
      </c>
      <c r="AH20" s="381">
        <v>0</v>
      </c>
      <c r="AI20" s="381">
        <v>0</v>
      </c>
      <c r="AJ20" s="381">
        <v>0</v>
      </c>
      <c r="AK20" s="381">
        <v>0</v>
      </c>
      <c r="AL20" s="381">
        <v>1391176</v>
      </c>
      <c r="AM20" s="381"/>
      <c r="AN20" s="381">
        <v>684441</v>
      </c>
      <c r="AO20" s="381">
        <v>6138</v>
      </c>
      <c r="AP20" s="381">
        <v>262397</v>
      </c>
      <c r="AQ20" s="381">
        <v>24411</v>
      </c>
      <c r="AR20" s="381">
        <v>90634</v>
      </c>
      <c r="AS20" s="381">
        <v>0</v>
      </c>
      <c r="AT20" s="381">
        <v>38059</v>
      </c>
      <c r="AU20" s="381">
        <v>5773</v>
      </c>
      <c r="AV20" s="381">
        <v>3000</v>
      </c>
      <c r="AW20" s="381">
        <v>3907</v>
      </c>
      <c r="AX20" s="381">
        <v>0</v>
      </c>
      <c r="AY20" s="381">
        <v>14633</v>
      </c>
      <c r="AZ20" s="381">
        <v>4372</v>
      </c>
      <c r="BA20" s="381">
        <v>24773</v>
      </c>
      <c r="BB20" s="381">
        <v>3750</v>
      </c>
      <c r="BC20" s="381">
        <v>19575</v>
      </c>
      <c r="BD20" s="381">
        <v>18214</v>
      </c>
      <c r="BE20" s="381">
        <v>6193</v>
      </c>
      <c r="BF20" s="381">
        <v>53934</v>
      </c>
      <c r="BG20" s="381">
        <v>6500</v>
      </c>
      <c r="BH20" s="381">
        <v>0</v>
      </c>
      <c r="BI20" s="381">
        <v>8417</v>
      </c>
      <c r="BJ20" s="381">
        <v>4000</v>
      </c>
      <c r="BK20" s="381">
        <v>5000</v>
      </c>
      <c r="BL20" s="381">
        <v>0</v>
      </c>
      <c r="BM20" s="381">
        <v>5275</v>
      </c>
      <c r="BN20" s="381">
        <v>0</v>
      </c>
      <c r="BO20" s="381">
        <v>16720</v>
      </c>
      <c r="BP20" s="381">
        <v>11389</v>
      </c>
      <c r="BQ20" s="381">
        <v>0</v>
      </c>
      <c r="BR20" s="381">
        <v>60103</v>
      </c>
      <c r="BS20" s="381">
        <v>0</v>
      </c>
      <c r="BT20" s="381">
        <v>58422</v>
      </c>
      <c r="BU20" s="381">
        <v>17476</v>
      </c>
      <c r="BV20" s="381">
        <v>0</v>
      </c>
      <c r="BW20" s="381">
        <v>0</v>
      </c>
      <c r="BX20" s="381">
        <v>0</v>
      </c>
      <c r="BY20" s="382">
        <v>0</v>
      </c>
      <c r="BZ20" s="382">
        <v>0</v>
      </c>
      <c r="CA20" s="382">
        <v>1457506</v>
      </c>
      <c r="CB20" s="381"/>
      <c r="CC20" s="381">
        <v>6295</v>
      </c>
      <c r="CD20" s="381">
        <v>0</v>
      </c>
      <c r="CE20" s="381">
        <v>0</v>
      </c>
      <c r="CF20" s="381">
        <v>6295</v>
      </c>
      <c r="CG20" s="381"/>
      <c r="CH20" s="381">
        <v>0</v>
      </c>
      <c r="CI20" s="381">
        <v>6295</v>
      </c>
      <c r="CJ20" s="381">
        <v>0</v>
      </c>
      <c r="CK20" s="381">
        <v>0</v>
      </c>
      <c r="CL20" s="381">
        <v>0</v>
      </c>
      <c r="CM20" s="381">
        <v>0</v>
      </c>
      <c r="CN20" s="381">
        <v>0</v>
      </c>
      <c r="CO20" s="381">
        <v>0</v>
      </c>
      <c r="CP20" s="381">
        <v>6295</v>
      </c>
      <c r="CQ20" s="381"/>
      <c r="CR20" s="381">
        <v>213927.16999999993</v>
      </c>
      <c r="CS20" s="381">
        <v>0</v>
      </c>
      <c r="CT20" s="381">
        <v>0</v>
      </c>
      <c r="CU20" s="381">
        <v>1.8189894035458565E-12</v>
      </c>
      <c r="CV20" s="381">
        <v>0</v>
      </c>
      <c r="CW20" s="381">
        <v>0</v>
      </c>
      <c r="CX20" s="381">
        <v>213927.16999999993</v>
      </c>
      <c r="CY20" s="381"/>
      <c r="CZ20" s="117"/>
      <c r="DA20" s="384"/>
      <c r="DB20" s="117"/>
      <c r="DC20" s="384"/>
      <c r="DD20" s="385"/>
      <c r="DE20" s="117"/>
      <c r="DF20" s="117"/>
      <c r="DG20" s="381"/>
      <c r="DH20" s="386"/>
      <c r="DI20" s="387"/>
      <c r="DJ20" s="381"/>
      <c r="DK20" s="381">
        <v>280257.16999999993</v>
      </c>
      <c r="DL20" s="381">
        <v>1.8189894035458565E-12</v>
      </c>
      <c r="DM20" s="381">
        <v>280257.16999999993</v>
      </c>
      <c r="DN20" s="381">
        <v>213927.16999999993</v>
      </c>
      <c r="DO20" s="381">
        <v>1.8189894035458565E-12</v>
      </c>
      <c r="DP20" s="381">
        <v>213927.16999999993</v>
      </c>
      <c r="DQ20" s="383"/>
      <c r="DR20" s="381"/>
      <c r="DS20" s="388"/>
      <c r="DT20" s="388"/>
    </row>
    <row r="21" spans="1:124" ht="15">
      <c r="A21" s="380">
        <v>929</v>
      </c>
      <c r="B21" s="391">
        <v>9162200</v>
      </c>
      <c r="C21" s="68">
        <v>2200</v>
      </c>
      <c r="D21" s="120"/>
      <c r="E21" s="120" t="s">
        <v>757</v>
      </c>
      <c r="F21" s="120"/>
      <c r="G21" s="120"/>
      <c r="H21" s="68"/>
      <c r="I21" s="381">
        <v>186165.41000000009</v>
      </c>
      <c r="J21" s="381">
        <v>32534</v>
      </c>
      <c r="K21" s="381">
        <v>0</v>
      </c>
      <c r="L21" s="381">
        <v>3091.4499999999989</v>
      </c>
      <c r="M21" s="381">
        <v>0</v>
      </c>
      <c r="N21" s="381">
        <v>0</v>
      </c>
      <c r="O21" s="381">
        <v>221790.8600000001</v>
      </c>
      <c r="P21" s="389"/>
      <c r="Q21" s="381">
        <v>2363336</v>
      </c>
      <c r="R21" s="381">
        <v>0</v>
      </c>
      <c r="S21" s="381">
        <v>337035</v>
      </c>
      <c r="T21" s="381">
        <v>0</v>
      </c>
      <c r="U21" s="381">
        <v>276360</v>
      </c>
      <c r="V21" s="381">
        <v>69753</v>
      </c>
      <c r="W21" s="381">
        <v>0</v>
      </c>
      <c r="X21" s="381">
        <v>1750</v>
      </c>
      <c r="Y21" s="381">
        <v>19250</v>
      </c>
      <c r="Z21" s="381">
        <v>0</v>
      </c>
      <c r="AA21" s="381">
        <v>0</v>
      </c>
      <c r="AB21" s="381">
        <v>0</v>
      </c>
      <c r="AC21" s="381">
        <v>27000</v>
      </c>
      <c r="AD21" s="381">
        <v>0</v>
      </c>
      <c r="AE21" s="381">
        <v>0</v>
      </c>
      <c r="AF21" s="381">
        <v>0</v>
      </c>
      <c r="AG21" s="381">
        <v>0</v>
      </c>
      <c r="AH21" s="381">
        <v>0</v>
      </c>
      <c r="AI21" s="381">
        <v>0</v>
      </c>
      <c r="AJ21" s="381">
        <v>0</v>
      </c>
      <c r="AK21" s="381">
        <v>0</v>
      </c>
      <c r="AL21" s="381">
        <v>3094484</v>
      </c>
      <c r="AM21" s="389"/>
      <c r="AN21" s="381">
        <v>1455775</v>
      </c>
      <c r="AO21" s="381">
        <v>0</v>
      </c>
      <c r="AP21" s="381">
        <v>959270</v>
      </c>
      <c r="AQ21" s="381">
        <v>64294</v>
      </c>
      <c r="AR21" s="381">
        <v>138837</v>
      </c>
      <c r="AS21" s="381">
        <v>0</v>
      </c>
      <c r="AT21" s="381">
        <v>81123</v>
      </c>
      <c r="AU21" s="381">
        <v>500</v>
      </c>
      <c r="AV21" s="381">
        <v>10661</v>
      </c>
      <c r="AW21" s="381">
        <v>1272</v>
      </c>
      <c r="AX21" s="381">
        <v>0</v>
      </c>
      <c r="AY21" s="381">
        <v>18702</v>
      </c>
      <c r="AZ21" s="381">
        <v>6362</v>
      </c>
      <c r="BA21" s="381">
        <v>48140</v>
      </c>
      <c r="BB21" s="381">
        <v>7000</v>
      </c>
      <c r="BC21" s="381">
        <v>52000</v>
      </c>
      <c r="BD21" s="381">
        <v>7138</v>
      </c>
      <c r="BE21" s="381">
        <v>10500</v>
      </c>
      <c r="BF21" s="381">
        <v>200276</v>
      </c>
      <c r="BG21" s="381">
        <v>4000</v>
      </c>
      <c r="BH21" s="381">
        <v>0</v>
      </c>
      <c r="BI21" s="381">
        <v>0</v>
      </c>
      <c r="BJ21" s="381">
        <v>3000</v>
      </c>
      <c r="BK21" s="381">
        <v>0</v>
      </c>
      <c r="BL21" s="381">
        <v>4000</v>
      </c>
      <c r="BM21" s="381">
        <v>3780</v>
      </c>
      <c r="BN21" s="381">
        <v>0</v>
      </c>
      <c r="BO21" s="381">
        <v>11351</v>
      </c>
      <c r="BP21" s="381">
        <v>24714</v>
      </c>
      <c r="BQ21" s="381">
        <v>0</v>
      </c>
      <c r="BR21" s="381">
        <v>104010</v>
      </c>
      <c r="BS21" s="381">
        <v>4000</v>
      </c>
      <c r="BT21" s="381">
        <v>7000</v>
      </c>
      <c r="BU21" s="381">
        <v>32098</v>
      </c>
      <c r="BV21" s="381">
        <v>0</v>
      </c>
      <c r="BW21" s="381">
        <v>0</v>
      </c>
      <c r="BX21" s="381">
        <v>0</v>
      </c>
      <c r="BY21" s="382">
        <v>0</v>
      </c>
      <c r="BZ21" s="382">
        <v>0</v>
      </c>
      <c r="CA21" s="382">
        <v>3259803</v>
      </c>
      <c r="CB21" s="389"/>
      <c r="CC21" s="381">
        <v>8005</v>
      </c>
      <c r="CD21" s="381">
        <v>0</v>
      </c>
      <c r="CE21" s="381">
        <v>0</v>
      </c>
      <c r="CF21" s="381">
        <v>8005</v>
      </c>
      <c r="CG21" s="389"/>
      <c r="CH21" s="381">
        <v>0</v>
      </c>
      <c r="CI21" s="381">
        <v>11458</v>
      </c>
      <c r="CJ21" s="381">
        <v>0</v>
      </c>
      <c r="CK21" s="381">
        <v>0</v>
      </c>
      <c r="CL21" s="381">
        <v>0</v>
      </c>
      <c r="CM21" s="381">
        <v>0</v>
      </c>
      <c r="CN21" s="381">
        <v>0</v>
      </c>
      <c r="CO21" s="381">
        <v>0</v>
      </c>
      <c r="CP21" s="381">
        <v>11458</v>
      </c>
      <c r="CQ21" s="390"/>
      <c r="CR21" s="381">
        <v>53380.410000000091</v>
      </c>
      <c r="CS21" s="381">
        <v>0</v>
      </c>
      <c r="CT21" s="381">
        <v>0</v>
      </c>
      <c r="CU21" s="381">
        <v>-361.55000000000109</v>
      </c>
      <c r="CV21" s="381">
        <v>0</v>
      </c>
      <c r="CW21" s="381">
        <v>0</v>
      </c>
      <c r="CX21" s="381">
        <v>53018.860000000088</v>
      </c>
      <c r="CY21" s="381"/>
      <c r="CZ21" s="117"/>
      <c r="DA21" s="384"/>
      <c r="DB21" s="117"/>
      <c r="DC21" s="384"/>
      <c r="DD21" s="385"/>
      <c r="DE21" s="117"/>
      <c r="DF21" s="117"/>
      <c r="DG21" s="381"/>
      <c r="DH21" s="386"/>
      <c r="DI21" s="387"/>
      <c r="DJ21" s="381"/>
      <c r="DK21" s="381">
        <v>218699.41000000009</v>
      </c>
      <c r="DL21" s="381">
        <v>3091.4499999999989</v>
      </c>
      <c r="DM21" s="381">
        <v>221790.8600000001</v>
      </c>
      <c r="DN21" s="381">
        <v>53380.410000000091</v>
      </c>
      <c r="DO21" s="381">
        <v>-361.55000000000109</v>
      </c>
      <c r="DP21" s="381">
        <v>53018.860000000088</v>
      </c>
      <c r="DQ21" s="383"/>
      <c r="DR21" s="381"/>
      <c r="DS21" s="388"/>
      <c r="DT21" s="388"/>
    </row>
    <row r="22" spans="1:124" ht="14.25">
      <c r="A22" s="380">
        <v>742</v>
      </c>
      <c r="B22" s="391">
        <v>9162130</v>
      </c>
      <c r="C22" s="68">
        <v>2130</v>
      </c>
      <c r="D22" s="120"/>
      <c r="E22" s="120" t="s">
        <v>748</v>
      </c>
      <c r="F22" s="120"/>
      <c r="G22" s="120"/>
      <c r="H22" s="68"/>
      <c r="I22" s="381">
        <v>5371.9999999998909</v>
      </c>
      <c r="J22" s="381">
        <v>41129.01</v>
      </c>
      <c r="K22" s="381">
        <v>0</v>
      </c>
      <c r="L22" s="381">
        <v>7961.34</v>
      </c>
      <c r="M22" s="381">
        <v>0</v>
      </c>
      <c r="N22" s="381">
        <v>0</v>
      </c>
      <c r="O22" s="381">
        <v>54462.349999999889</v>
      </c>
      <c r="P22" s="381"/>
      <c r="Q22" s="381">
        <v>792704</v>
      </c>
      <c r="R22" s="381">
        <v>0</v>
      </c>
      <c r="S22" s="381">
        <v>9563</v>
      </c>
      <c r="T22" s="381">
        <v>0</v>
      </c>
      <c r="U22" s="381">
        <v>28460</v>
      </c>
      <c r="V22" s="381">
        <v>43661</v>
      </c>
      <c r="W22" s="381">
        <v>0</v>
      </c>
      <c r="X22" s="381">
        <v>590</v>
      </c>
      <c r="Y22" s="381">
        <v>22054</v>
      </c>
      <c r="Z22" s="381">
        <v>0</v>
      </c>
      <c r="AA22" s="381">
        <v>0</v>
      </c>
      <c r="AB22" s="381">
        <v>0</v>
      </c>
      <c r="AC22" s="381">
        <v>0</v>
      </c>
      <c r="AD22" s="381">
        <v>0</v>
      </c>
      <c r="AE22" s="381">
        <v>0</v>
      </c>
      <c r="AF22" s="381">
        <v>0</v>
      </c>
      <c r="AG22" s="381">
        <v>0</v>
      </c>
      <c r="AH22" s="381">
        <v>0</v>
      </c>
      <c r="AI22" s="381">
        <v>0</v>
      </c>
      <c r="AJ22" s="381">
        <v>0</v>
      </c>
      <c r="AK22" s="381">
        <v>0</v>
      </c>
      <c r="AL22" s="381">
        <v>897032</v>
      </c>
      <c r="AM22" s="381"/>
      <c r="AN22" s="381">
        <v>595268</v>
      </c>
      <c r="AO22" s="381">
        <v>7000</v>
      </c>
      <c r="AP22" s="381">
        <v>76233</v>
      </c>
      <c r="AQ22" s="381">
        <v>0</v>
      </c>
      <c r="AR22" s="381">
        <v>45728</v>
      </c>
      <c r="AS22" s="381">
        <v>0</v>
      </c>
      <c r="AT22" s="381">
        <v>39115</v>
      </c>
      <c r="AU22" s="381">
        <v>3956</v>
      </c>
      <c r="AV22" s="381">
        <v>1200</v>
      </c>
      <c r="AW22" s="381">
        <v>2561</v>
      </c>
      <c r="AX22" s="381">
        <v>0</v>
      </c>
      <c r="AY22" s="381">
        <v>8130</v>
      </c>
      <c r="AZ22" s="381">
        <v>5997</v>
      </c>
      <c r="BA22" s="381">
        <v>23545</v>
      </c>
      <c r="BB22" s="381">
        <v>2091</v>
      </c>
      <c r="BC22" s="381">
        <v>16426</v>
      </c>
      <c r="BD22" s="381">
        <v>18663</v>
      </c>
      <c r="BE22" s="381">
        <v>2227</v>
      </c>
      <c r="BF22" s="381">
        <v>76195</v>
      </c>
      <c r="BG22" s="381">
        <v>1923</v>
      </c>
      <c r="BH22" s="381">
        <v>0</v>
      </c>
      <c r="BI22" s="381">
        <v>0</v>
      </c>
      <c r="BJ22" s="381">
        <v>0</v>
      </c>
      <c r="BK22" s="381">
        <v>0</v>
      </c>
      <c r="BL22" s="381">
        <v>0</v>
      </c>
      <c r="BM22" s="381">
        <v>1480</v>
      </c>
      <c r="BN22" s="381">
        <v>0</v>
      </c>
      <c r="BO22" s="381">
        <v>2184</v>
      </c>
      <c r="BP22" s="381">
        <v>7611</v>
      </c>
      <c r="BQ22" s="381">
        <v>0</v>
      </c>
      <c r="BR22" s="381">
        <v>39935</v>
      </c>
      <c r="BS22" s="381">
        <v>8823</v>
      </c>
      <c r="BT22" s="381">
        <v>519</v>
      </c>
      <c r="BU22" s="381">
        <v>13547</v>
      </c>
      <c r="BV22" s="381">
        <v>0</v>
      </c>
      <c r="BW22" s="381">
        <v>0</v>
      </c>
      <c r="BX22" s="381">
        <v>0</v>
      </c>
      <c r="BY22" s="382">
        <v>0</v>
      </c>
      <c r="BZ22" s="382">
        <v>0</v>
      </c>
      <c r="CA22" s="382">
        <v>1000357</v>
      </c>
      <c r="CB22" s="381"/>
      <c r="CC22" s="381">
        <v>5564</v>
      </c>
      <c r="CD22" s="381">
        <v>0</v>
      </c>
      <c r="CE22" s="381">
        <v>0</v>
      </c>
      <c r="CF22" s="381">
        <v>5564</v>
      </c>
      <c r="CG22" s="381"/>
      <c r="CH22" s="381">
        <v>0</v>
      </c>
      <c r="CI22" s="381">
        <v>13525</v>
      </c>
      <c r="CJ22" s="381">
        <v>0</v>
      </c>
      <c r="CK22" s="381">
        <v>0</v>
      </c>
      <c r="CL22" s="381">
        <v>0</v>
      </c>
      <c r="CM22" s="381">
        <v>0</v>
      </c>
      <c r="CN22" s="381">
        <v>0</v>
      </c>
      <c r="CO22" s="381">
        <v>0</v>
      </c>
      <c r="CP22" s="381">
        <v>13525</v>
      </c>
      <c r="CQ22" s="381"/>
      <c r="CR22" s="381">
        <v>-56823.990000000107</v>
      </c>
      <c r="CS22" s="381">
        <v>0</v>
      </c>
      <c r="CT22" s="381">
        <v>0</v>
      </c>
      <c r="CU22" s="381">
        <v>0.34000000000014552</v>
      </c>
      <c r="CV22" s="381">
        <v>0</v>
      </c>
      <c r="CW22" s="381">
        <v>0</v>
      </c>
      <c r="CX22" s="381">
        <v>-56823.650000000111</v>
      </c>
      <c r="CY22" s="381"/>
      <c r="CZ22" s="117"/>
      <c r="DA22" s="384"/>
      <c r="DB22" s="117"/>
      <c r="DC22" s="384"/>
      <c r="DD22" s="385"/>
      <c r="DE22" s="117"/>
      <c r="DF22" s="117"/>
      <c r="DG22" s="381"/>
      <c r="DH22" s="386"/>
      <c r="DI22" s="387"/>
      <c r="DJ22" s="381"/>
      <c r="DK22" s="381">
        <v>46501.009999999893</v>
      </c>
      <c r="DL22" s="381">
        <v>7961.34</v>
      </c>
      <c r="DM22" s="381">
        <v>54462.349999999889</v>
      </c>
      <c r="DN22" s="381">
        <v>-56823.990000000107</v>
      </c>
      <c r="DO22" s="381">
        <v>0.34000000000014552</v>
      </c>
      <c r="DP22" s="381">
        <v>-56823.650000000111</v>
      </c>
      <c r="DQ22" s="383"/>
      <c r="DR22" s="381"/>
      <c r="DS22" s="388"/>
      <c r="DT22" s="388"/>
    </row>
    <row r="23" spans="1:124" ht="14.25">
      <c r="A23" s="380">
        <v>924</v>
      </c>
      <c r="B23" s="391">
        <v>9162175</v>
      </c>
      <c r="C23" s="68">
        <v>2175</v>
      </c>
      <c r="D23" s="120"/>
      <c r="E23" s="120" t="s">
        <v>222</v>
      </c>
      <c r="F23" s="120"/>
      <c r="G23" s="120"/>
      <c r="H23" s="68"/>
      <c r="I23" s="381">
        <v>119910.32000000033</v>
      </c>
      <c r="J23" s="381">
        <v>0</v>
      </c>
      <c r="K23" s="381">
        <v>0</v>
      </c>
      <c r="L23" s="381">
        <v>1503.2200000000007</v>
      </c>
      <c r="M23" s="381">
        <v>0</v>
      </c>
      <c r="N23" s="381">
        <v>0</v>
      </c>
      <c r="O23" s="381">
        <v>121413.54000000033</v>
      </c>
      <c r="P23" s="381"/>
      <c r="Q23" s="381">
        <v>1278976</v>
      </c>
      <c r="R23" s="381">
        <v>0</v>
      </c>
      <c r="S23" s="381">
        <v>126735</v>
      </c>
      <c r="T23" s="381">
        <v>0</v>
      </c>
      <c r="U23" s="381">
        <v>105965</v>
      </c>
      <c r="V23" s="381">
        <v>45023</v>
      </c>
      <c r="W23" s="381">
        <v>3430</v>
      </c>
      <c r="X23" s="381">
        <v>0</v>
      </c>
      <c r="Y23" s="381">
        <v>26690</v>
      </c>
      <c r="Z23" s="381">
        <v>0</v>
      </c>
      <c r="AA23" s="381">
        <v>0</v>
      </c>
      <c r="AB23" s="381">
        <v>0</v>
      </c>
      <c r="AC23" s="381">
        <v>17500</v>
      </c>
      <c r="AD23" s="381">
        <v>0</v>
      </c>
      <c r="AE23" s="381">
        <v>0</v>
      </c>
      <c r="AF23" s="381">
        <v>92102</v>
      </c>
      <c r="AG23" s="381">
        <v>400</v>
      </c>
      <c r="AH23" s="381">
        <v>0</v>
      </c>
      <c r="AI23" s="381">
        <v>0</v>
      </c>
      <c r="AJ23" s="381">
        <v>0</v>
      </c>
      <c r="AK23" s="381">
        <v>0</v>
      </c>
      <c r="AL23" s="381">
        <v>1696821</v>
      </c>
      <c r="AM23" s="381"/>
      <c r="AN23" s="381">
        <v>722201</v>
      </c>
      <c r="AO23" s="381">
        <v>0</v>
      </c>
      <c r="AP23" s="381">
        <v>426268</v>
      </c>
      <c r="AQ23" s="381">
        <v>37217</v>
      </c>
      <c r="AR23" s="381">
        <v>82552</v>
      </c>
      <c r="AS23" s="381">
        <v>0</v>
      </c>
      <c r="AT23" s="381">
        <v>89655</v>
      </c>
      <c r="AU23" s="381">
        <v>7226</v>
      </c>
      <c r="AV23" s="381">
        <v>2760</v>
      </c>
      <c r="AW23" s="381">
        <v>647</v>
      </c>
      <c r="AX23" s="381">
        <v>0</v>
      </c>
      <c r="AY23" s="381">
        <v>16529</v>
      </c>
      <c r="AZ23" s="381">
        <v>3658</v>
      </c>
      <c r="BA23" s="381">
        <v>29246</v>
      </c>
      <c r="BB23" s="381">
        <v>3500</v>
      </c>
      <c r="BC23" s="381">
        <v>26100</v>
      </c>
      <c r="BD23" s="381">
        <v>54439</v>
      </c>
      <c r="BE23" s="381">
        <v>2885</v>
      </c>
      <c r="BF23" s="381">
        <v>46915</v>
      </c>
      <c r="BG23" s="381">
        <v>2393</v>
      </c>
      <c r="BH23" s="381">
        <v>0</v>
      </c>
      <c r="BI23" s="381">
        <v>8085</v>
      </c>
      <c r="BJ23" s="381">
        <v>6357</v>
      </c>
      <c r="BK23" s="381">
        <v>400</v>
      </c>
      <c r="BL23" s="381">
        <v>0</v>
      </c>
      <c r="BM23" s="381">
        <v>10624</v>
      </c>
      <c r="BN23" s="381">
        <v>0</v>
      </c>
      <c r="BO23" s="381">
        <v>2274</v>
      </c>
      <c r="BP23" s="381">
        <v>12804</v>
      </c>
      <c r="BQ23" s="381">
        <v>0</v>
      </c>
      <c r="BR23" s="381">
        <v>68444</v>
      </c>
      <c r="BS23" s="381">
        <v>0</v>
      </c>
      <c r="BT23" s="381">
        <v>31789</v>
      </c>
      <c r="BU23" s="381">
        <v>13506</v>
      </c>
      <c r="BV23" s="381">
        <v>0</v>
      </c>
      <c r="BW23" s="381">
        <v>0</v>
      </c>
      <c r="BX23" s="381">
        <v>0</v>
      </c>
      <c r="BY23" s="382">
        <v>84629</v>
      </c>
      <c r="BZ23" s="382">
        <v>7873</v>
      </c>
      <c r="CA23" s="382">
        <v>1800976</v>
      </c>
      <c r="CB23" s="381"/>
      <c r="CC23" s="381">
        <v>6706</v>
      </c>
      <c r="CD23" s="381">
        <v>0</v>
      </c>
      <c r="CE23" s="381">
        <v>0</v>
      </c>
      <c r="CF23" s="381">
        <v>6706</v>
      </c>
      <c r="CG23" s="381"/>
      <c r="CH23" s="381">
        <v>0</v>
      </c>
      <c r="CI23" s="381">
        <v>0</v>
      </c>
      <c r="CJ23" s="381">
        <v>0</v>
      </c>
      <c r="CK23" s="381">
        <v>0</v>
      </c>
      <c r="CL23" s="381">
        <v>4880</v>
      </c>
      <c r="CM23" s="381">
        <v>0</v>
      </c>
      <c r="CN23" s="381">
        <v>3329</v>
      </c>
      <c r="CO23" s="381">
        <v>0</v>
      </c>
      <c r="CP23" s="381">
        <v>8209</v>
      </c>
      <c r="CQ23" s="381"/>
      <c r="CR23" s="381">
        <v>15755.320000000327</v>
      </c>
      <c r="CS23" s="381">
        <v>0</v>
      </c>
      <c r="CT23" s="381">
        <v>0</v>
      </c>
      <c r="CU23" s="381">
        <v>0.22000000000070941</v>
      </c>
      <c r="CV23" s="381">
        <v>0</v>
      </c>
      <c r="CW23" s="381">
        <v>0</v>
      </c>
      <c r="CX23" s="381">
        <v>15755.540000000328</v>
      </c>
      <c r="CY23" s="381"/>
      <c r="CZ23" s="117"/>
      <c r="DA23" s="384"/>
      <c r="DB23" s="117"/>
      <c r="DC23" s="384"/>
      <c r="DD23" s="385"/>
      <c r="DE23" s="117"/>
      <c r="DF23" s="117"/>
      <c r="DG23" s="381"/>
      <c r="DH23" s="386"/>
      <c r="DI23" s="387"/>
      <c r="DJ23" s="381"/>
      <c r="DK23" s="381">
        <v>119910.32000000033</v>
      </c>
      <c r="DL23" s="381">
        <v>1503.2200000000007</v>
      </c>
      <c r="DM23" s="381">
        <v>121413.54000000033</v>
      </c>
      <c r="DN23" s="381">
        <v>15755.320000000327</v>
      </c>
      <c r="DO23" s="381">
        <v>0.22000000000070941</v>
      </c>
      <c r="DP23" s="381">
        <v>15755.540000000328</v>
      </c>
      <c r="DQ23" s="383"/>
      <c r="DR23" s="381"/>
      <c r="DS23" s="388"/>
      <c r="DT23" s="388"/>
    </row>
    <row r="24" spans="1:124" ht="14.25">
      <c r="A24" s="380">
        <v>759</v>
      </c>
      <c r="B24" s="391">
        <v>9163063</v>
      </c>
      <c r="C24" s="68">
        <v>3063</v>
      </c>
      <c r="D24" s="120"/>
      <c r="E24" s="120" t="s">
        <v>270</v>
      </c>
      <c r="F24" s="120"/>
      <c r="G24" s="120"/>
      <c r="H24" s="68"/>
      <c r="I24" s="381">
        <v>-22128.490000000063</v>
      </c>
      <c r="J24" s="381">
        <v>5422</v>
      </c>
      <c r="K24" s="381">
        <v>0</v>
      </c>
      <c r="L24" s="381">
        <v>4639.5200000000004</v>
      </c>
      <c r="M24" s="381">
        <v>0</v>
      </c>
      <c r="N24" s="381">
        <v>0</v>
      </c>
      <c r="O24" s="381">
        <v>-12066.970000000063</v>
      </c>
      <c r="P24" s="381"/>
      <c r="Q24" s="381">
        <v>542570</v>
      </c>
      <c r="R24" s="381">
        <v>0</v>
      </c>
      <c r="S24" s="381">
        <v>55335</v>
      </c>
      <c r="T24" s="381">
        <v>0</v>
      </c>
      <c r="U24" s="381">
        <v>15890</v>
      </c>
      <c r="V24" s="381">
        <v>33662</v>
      </c>
      <c r="W24" s="381">
        <v>0</v>
      </c>
      <c r="X24" s="381">
        <v>0</v>
      </c>
      <c r="Y24" s="381">
        <v>33037</v>
      </c>
      <c r="Z24" s="381">
        <v>7215</v>
      </c>
      <c r="AA24" s="381">
        <v>0</v>
      </c>
      <c r="AB24" s="381">
        <v>0</v>
      </c>
      <c r="AC24" s="381">
        <v>6000</v>
      </c>
      <c r="AD24" s="381">
        <v>3000</v>
      </c>
      <c r="AE24" s="381">
        <v>0</v>
      </c>
      <c r="AF24" s="381">
        <v>0</v>
      </c>
      <c r="AG24" s="381">
        <v>0</v>
      </c>
      <c r="AH24" s="381">
        <v>0</v>
      </c>
      <c r="AI24" s="381">
        <v>0</v>
      </c>
      <c r="AJ24" s="381">
        <v>0</v>
      </c>
      <c r="AK24" s="381">
        <v>0</v>
      </c>
      <c r="AL24" s="381">
        <v>696709</v>
      </c>
      <c r="AM24" s="381"/>
      <c r="AN24" s="381">
        <v>352226</v>
      </c>
      <c r="AO24" s="381">
        <v>1000</v>
      </c>
      <c r="AP24" s="381">
        <v>155075</v>
      </c>
      <c r="AQ24" s="381">
        <v>0</v>
      </c>
      <c r="AR24" s="381">
        <v>51004</v>
      </c>
      <c r="AS24" s="381">
        <v>15989</v>
      </c>
      <c r="AT24" s="381">
        <v>37737</v>
      </c>
      <c r="AU24" s="381">
        <v>2500</v>
      </c>
      <c r="AV24" s="381">
        <v>2876</v>
      </c>
      <c r="AW24" s="381">
        <v>4061</v>
      </c>
      <c r="AX24" s="381">
        <v>0</v>
      </c>
      <c r="AY24" s="381">
        <v>7853</v>
      </c>
      <c r="AZ24" s="381">
        <v>476</v>
      </c>
      <c r="BA24" s="381">
        <v>14189</v>
      </c>
      <c r="BB24" s="381">
        <v>2600</v>
      </c>
      <c r="BC24" s="381">
        <v>8112</v>
      </c>
      <c r="BD24" s="381">
        <v>5613</v>
      </c>
      <c r="BE24" s="381">
        <v>1486</v>
      </c>
      <c r="BF24" s="381">
        <v>33925</v>
      </c>
      <c r="BG24" s="381">
        <v>0</v>
      </c>
      <c r="BH24" s="381">
        <v>0</v>
      </c>
      <c r="BI24" s="381">
        <v>3000</v>
      </c>
      <c r="BJ24" s="381">
        <v>2000</v>
      </c>
      <c r="BK24" s="381">
        <v>500</v>
      </c>
      <c r="BL24" s="381">
        <v>0</v>
      </c>
      <c r="BM24" s="381">
        <v>3403</v>
      </c>
      <c r="BN24" s="381">
        <v>0</v>
      </c>
      <c r="BO24" s="381">
        <v>1156</v>
      </c>
      <c r="BP24" s="381">
        <v>4643</v>
      </c>
      <c r="BQ24" s="381">
        <v>0</v>
      </c>
      <c r="BR24" s="381">
        <v>14642</v>
      </c>
      <c r="BS24" s="381">
        <v>2000</v>
      </c>
      <c r="BT24" s="381">
        <v>19163</v>
      </c>
      <c r="BU24" s="381">
        <v>7811</v>
      </c>
      <c r="BV24" s="381">
        <v>0</v>
      </c>
      <c r="BW24" s="381">
        <v>0</v>
      </c>
      <c r="BX24" s="381">
        <v>0</v>
      </c>
      <c r="BY24" s="382">
        <v>0</v>
      </c>
      <c r="BZ24" s="382">
        <v>0</v>
      </c>
      <c r="CA24" s="382">
        <v>755040</v>
      </c>
      <c r="CB24" s="381"/>
      <c r="CC24" s="381">
        <v>4978</v>
      </c>
      <c r="CD24" s="381">
        <v>0</v>
      </c>
      <c r="CE24" s="381">
        <v>0</v>
      </c>
      <c r="CF24" s="381">
        <v>4978</v>
      </c>
      <c r="CG24" s="381"/>
      <c r="CH24" s="381">
        <v>0</v>
      </c>
      <c r="CI24" s="381">
        <v>9618</v>
      </c>
      <c r="CJ24" s="381">
        <v>0</v>
      </c>
      <c r="CK24" s="381">
        <v>0</v>
      </c>
      <c r="CL24" s="381">
        <v>0</v>
      </c>
      <c r="CM24" s="381">
        <v>0</v>
      </c>
      <c r="CN24" s="381">
        <v>0</v>
      </c>
      <c r="CO24" s="381">
        <v>0</v>
      </c>
      <c r="CP24" s="381">
        <v>9618</v>
      </c>
      <c r="CQ24" s="381"/>
      <c r="CR24" s="381">
        <v>-75037.490000000063</v>
      </c>
      <c r="CS24" s="381">
        <v>0</v>
      </c>
      <c r="CT24" s="381">
        <v>0</v>
      </c>
      <c r="CU24" s="381">
        <v>-0.47999999999956344</v>
      </c>
      <c r="CV24" s="381">
        <v>0</v>
      </c>
      <c r="CW24" s="381">
        <v>0</v>
      </c>
      <c r="CX24" s="381">
        <v>-75037.970000000059</v>
      </c>
      <c r="CY24" s="381"/>
      <c r="CZ24" s="117"/>
      <c r="DA24" s="384"/>
      <c r="DB24" s="117"/>
      <c r="DC24" s="384"/>
      <c r="DD24" s="385"/>
      <c r="DE24" s="117"/>
      <c r="DF24" s="117"/>
      <c r="DG24" s="381"/>
      <c r="DH24" s="386"/>
      <c r="DI24" s="387"/>
      <c r="DJ24" s="381"/>
      <c r="DK24" s="381">
        <v>-16706.490000000063</v>
      </c>
      <c r="DL24" s="381">
        <v>4639.5200000000004</v>
      </c>
      <c r="DM24" s="381">
        <v>-12066.970000000063</v>
      </c>
      <c r="DN24" s="381">
        <v>-75037.490000000063</v>
      </c>
      <c r="DO24" s="381">
        <v>-0.47999999999956344</v>
      </c>
      <c r="DP24" s="381">
        <v>-75037.970000000059</v>
      </c>
      <c r="DQ24" s="383"/>
      <c r="DR24" s="381"/>
      <c r="DS24" s="388"/>
      <c r="DT24" s="388"/>
    </row>
    <row r="25" spans="1:124" ht="14.25">
      <c r="A25" s="380">
        <v>898</v>
      </c>
      <c r="B25" s="391">
        <v>9162155</v>
      </c>
      <c r="C25" s="68">
        <v>2155</v>
      </c>
      <c r="D25" s="120"/>
      <c r="E25" s="120" t="s">
        <v>285</v>
      </c>
      <c r="F25" s="120"/>
      <c r="G25" s="120"/>
      <c r="H25" s="68"/>
      <c r="I25" s="381">
        <v>-339709.74000000017</v>
      </c>
      <c r="J25" s="381">
        <v>2791.12</v>
      </c>
      <c r="K25" s="381">
        <v>0</v>
      </c>
      <c r="L25" s="381">
        <v>13493.52</v>
      </c>
      <c r="M25" s="381">
        <v>0</v>
      </c>
      <c r="N25" s="381">
        <v>0</v>
      </c>
      <c r="O25" s="381">
        <v>-323425.10000000015</v>
      </c>
      <c r="P25" s="381"/>
      <c r="Q25" s="381">
        <v>2132947</v>
      </c>
      <c r="R25" s="381">
        <v>0</v>
      </c>
      <c r="S25" s="381">
        <v>99851</v>
      </c>
      <c r="T25" s="381">
        <v>0</v>
      </c>
      <c r="U25" s="381">
        <v>50080</v>
      </c>
      <c r="V25" s="381">
        <v>93265</v>
      </c>
      <c r="W25" s="381">
        <v>0</v>
      </c>
      <c r="X25" s="381">
        <v>13500</v>
      </c>
      <c r="Y25" s="381">
        <v>158700</v>
      </c>
      <c r="Z25" s="381">
        <v>0</v>
      </c>
      <c r="AA25" s="381">
        <v>8000</v>
      </c>
      <c r="AB25" s="381">
        <v>2000</v>
      </c>
      <c r="AC25" s="381">
        <v>48000</v>
      </c>
      <c r="AD25" s="381">
        <v>13000</v>
      </c>
      <c r="AE25" s="381">
        <v>0</v>
      </c>
      <c r="AF25" s="381">
        <v>0</v>
      </c>
      <c r="AG25" s="381">
        <v>0</v>
      </c>
      <c r="AH25" s="381">
        <v>0</v>
      </c>
      <c r="AI25" s="381">
        <v>0</v>
      </c>
      <c r="AJ25" s="381">
        <v>0</v>
      </c>
      <c r="AK25" s="381">
        <v>0</v>
      </c>
      <c r="AL25" s="381">
        <v>2619343</v>
      </c>
      <c r="AM25" s="381"/>
      <c r="AN25" s="381">
        <v>1335061</v>
      </c>
      <c r="AO25" s="381">
        <v>40000</v>
      </c>
      <c r="AP25" s="381">
        <v>464311</v>
      </c>
      <c r="AQ25" s="381">
        <v>44188</v>
      </c>
      <c r="AR25" s="381">
        <v>141415</v>
      </c>
      <c r="AS25" s="381">
        <v>0</v>
      </c>
      <c r="AT25" s="381">
        <v>146504</v>
      </c>
      <c r="AU25" s="381">
        <v>7293</v>
      </c>
      <c r="AV25" s="381">
        <v>10000</v>
      </c>
      <c r="AW25" s="381">
        <v>16467</v>
      </c>
      <c r="AX25" s="381">
        <v>0</v>
      </c>
      <c r="AY25" s="381">
        <v>22260</v>
      </c>
      <c r="AZ25" s="381">
        <v>0</v>
      </c>
      <c r="BA25" s="381">
        <v>47593</v>
      </c>
      <c r="BB25" s="381">
        <v>8268</v>
      </c>
      <c r="BC25" s="381">
        <v>37000</v>
      </c>
      <c r="BD25" s="381">
        <v>39585</v>
      </c>
      <c r="BE25" s="381">
        <v>3339</v>
      </c>
      <c r="BF25" s="381">
        <v>109946</v>
      </c>
      <c r="BG25" s="381">
        <v>2000</v>
      </c>
      <c r="BH25" s="381">
        <v>0</v>
      </c>
      <c r="BI25" s="381">
        <v>4120</v>
      </c>
      <c r="BJ25" s="381">
        <v>6500</v>
      </c>
      <c r="BK25" s="381">
        <v>0</v>
      </c>
      <c r="BL25" s="381">
        <v>0</v>
      </c>
      <c r="BM25" s="381">
        <v>10780</v>
      </c>
      <c r="BN25" s="381">
        <v>0</v>
      </c>
      <c r="BO25" s="381">
        <v>5945</v>
      </c>
      <c r="BP25" s="381">
        <v>22402</v>
      </c>
      <c r="BQ25" s="381">
        <v>0</v>
      </c>
      <c r="BR25" s="381">
        <v>92804</v>
      </c>
      <c r="BS25" s="381">
        <v>15000</v>
      </c>
      <c r="BT25" s="381">
        <v>8000</v>
      </c>
      <c r="BU25" s="381">
        <v>27349</v>
      </c>
      <c r="BV25" s="381">
        <v>0</v>
      </c>
      <c r="BW25" s="381">
        <v>0</v>
      </c>
      <c r="BX25" s="381">
        <v>0</v>
      </c>
      <c r="BY25" s="382">
        <v>0</v>
      </c>
      <c r="BZ25" s="382">
        <v>0</v>
      </c>
      <c r="CA25" s="382">
        <v>2668130</v>
      </c>
      <c r="CB25" s="381"/>
      <c r="CC25" s="381">
        <v>8703</v>
      </c>
      <c r="CD25" s="381">
        <v>0</v>
      </c>
      <c r="CE25" s="381">
        <v>0</v>
      </c>
      <c r="CF25" s="381">
        <v>8703</v>
      </c>
      <c r="CG25" s="381"/>
      <c r="CH25" s="381">
        <v>0</v>
      </c>
      <c r="CI25" s="381">
        <v>22197</v>
      </c>
      <c r="CJ25" s="381">
        <v>0</v>
      </c>
      <c r="CK25" s="381">
        <v>0</v>
      </c>
      <c r="CL25" s="381">
        <v>0</v>
      </c>
      <c r="CM25" s="381">
        <v>0</v>
      </c>
      <c r="CN25" s="381">
        <v>0</v>
      </c>
      <c r="CO25" s="381">
        <v>0</v>
      </c>
      <c r="CP25" s="381">
        <v>22197</v>
      </c>
      <c r="CQ25" s="381"/>
      <c r="CR25" s="381">
        <v>-385705.62000000017</v>
      </c>
      <c r="CS25" s="381">
        <v>0</v>
      </c>
      <c r="CT25" s="381">
        <v>0</v>
      </c>
      <c r="CU25" s="381">
        <v>-0.47999999999956344</v>
      </c>
      <c r="CV25" s="381">
        <v>0</v>
      </c>
      <c r="CW25" s="381">
        <v>0</v>
      </c>
      <c r="CX25" s="381">
        <v>-385706.10000000015</v>
      </c>
      <c r="CY25" s="381"/>
      <c r="CZ25" s="117"/>
      <c r="DA25" s="384"/>
      <c r="DB25" s="117"/>
      <c r="DC25" s="384"/>
      <c r="DD25" s="385"/>
      <c r="DE25" s="117"/>
      <c r="DF25" s="117"/>
      <c r="DG25" s="381"/>
      <c r="DH25" s="386"/>
      <c r="DI25" s="387"/>
      <c r="DJ25" s="381"/>
      <c r="DK25" s="381">
        <v>-336918.62000000017</v>
      </c>
      <c r="DL25" s="381">
        <v>13493.52</v>
      </c>
      <c r="DM25" s="381">
        <v>-323425.10000000015</v>
      </c>
      <c r="DN25" s="381">
        <v>-385705.62000000017</v>
      </c>
      <c r="DO25" s="381">
        <v>-0.47999999999956344</v>
      </c>
      <c r="DP25" s="381">
        <v>-385706.10000000015</v>
      </c>
      <c r="DQ25" s="383"/>
      <c r="DR25" s="381"/>
      <c r="DS25" s="388"/>
      <c r="DT25" s="388"/>
    </row>
    <row r="26" spans="1:124" ht="15">
      <c r="A26" s="380">
        <v>782</v>
      </c>
      <c r="B26" s="391">
        <v>9162086</v>
      </c>
      <c r="C26" s="68">
        <v>2086</v>
      </c>
      <c r="D26" s="120"/>
      <c r="E26" s="120" t="s">
        <v>283</v>
      </c>
      <c r="F26" s="120"/>
      <c r="G26" s="120"/>
      <c r="H26" s="68"/>
      <c r="I26" s="381">
        <v>157384.17999999964</v>
      </c>
      <c r="J26" s="381">
        <v>8887.8300000000017</v>
      </c>
      <c r="K26" s="381">
        <v>0</v>
      </c>
      <c r="L26" s="381">
        <v>16160.16</v>
      </c>
      <c r="M26" s="381">
        <v>0</v>
      </c>
      <c r="N26" s="381">
        <v>23547.87000000001</v>
      </c>
      <c r="O26" s="381">
        <v>205980.03999999969</v>
      </c>
      <c r="P26" s="389"/>
      <c r="Q26" s="381">
        <v>817136</v>
      </c>
      <c r="R26" s="381">
        <v>0</v>
      </c>
      <c r="S26" s="381">
        <v>94340</v>
      </c>
      <c r="T26" s="381">
        <v>0</v>
      </c>
      <c r="U26" s="381">
        <v>49860</v>
      </c>
      <c r="V26" s="381">
        <v>38332</v>
      </c>
      <c r="W26" s="381">
        <v>0</v>
      </c>
      <c r="X26" s="381">
        <v>0</v>
      </c>
      <c r="Y26" s="381">
        <v>22800</v>
      </c>
      <c r="Z26" s="381">
        <v>8000</v>
      </c>
      <c r="AA26" s="381">
        <v>0</v>
      </c>
      <c r="AB26" s="381">
        <v>0</v>
      </c>
      <c r="AC26" s="381">
        <v>7700</v>
      </c>
      <c r="AD26" s="381">
        <v>0</v>
      </c>
      <c r="AE26" s="381">
        <v>0</v>
      </c>
      <c r="AF26" s="381">
        <v>64362</v>
      </c>
      <c r="AG26" s="381">
        <v>11282</v>
      </c>
      <c r="AH26" s="381">
        <v>0</v>
      </c>
      <c r="AI26" s="381">
        <v>0</v>
      </c>
      <c r="AJ26" s="381">
        <v>0</v>
      </c>
      <c r="AK26" s="381">
        <v>0</v>
      </c>
      <c r="AL26" s="381">
        <v>1113812</v>
      </c>
      <c r="AM26" s="389"/>
      <c r="AN26" s="381">
        <v>484567</v>
      </c>
      <c r="AO26" s="381">
        <v>9000</v>
      </c>
      <c r="AP26" s="381">
        <v>239549</v>
      </c>
      <c r="AQ26" s="381">
        <v>16914</v>
      </c>
      <c r="AR26" s="381">
        <v>62685</v>
      </c>
      <c r="AS26" s="381">
        <v>7415</v>
      </c>
      <c r="AT26" s="381">
        <v>63618</v>
      </c>
      <c r="AU26" s="381">
        <v>5573</v>
      </c>
      <c r="AV26" s="381">
        <v>3000</v>
      </c>
      <c r="AW26" s="381">
        <v>424</v>
      </c>
      <c r="AX26" s="381">
        <v>0</v>
      </c>
      <c r="AY26" s="381">
        <v>18384</v>
      </c>
      <c r="AZ26" s="381">
        <v>3967</v>
      </c>
      <c r="BA26" s="381">
        <v>3150</v>
      </c>
      <c r="BB26" s="381">
        <v>669</v>
      </c>
      <c r="BC26" s="381">
        <v>13950</v>
      </c>
      <c r="BD26" s="381">
        <v>10230</v>
      </c>
      <c r="BE26" s="381">
        <v>4001</v>
      </c>
      <c r="BF26" s="381">
        <v>41805</v>
      </c>
      <c r="BG26" s="381">
        <v>3061</v>
      </c>
      <c r="BH26" s="381">
        <v>0</v>
      </c>
      <c r="BI26" s="381">
        <v>1000</v>
      </c>
      <c r="BJ26" s="381">
        <v>8240</v>
      </c>
      <c r="BK26" s="381">
        <v>0</v>
      </c>
      <c r="BL26" s="381">
        <v>0</v>
      </c>
      <c r="BM26" s="381">
        <v>4460</v>
      </c>
      <c r="BN26" s="381">
        <v>0</v>
      </c>
      <c r="BO26" s="381">
        <v>2600</v>
      </c>
      <c r="BP26" s="381">
        <v>7503</v>
      </c>
      <c r="BQ26" s="381">
        <v>0</v>
      </c>
      <c r="BR26" s="381">
        <v>36002</v>
      </c>
      <c r="BS26" s="381">
        <v>0</v>
      </c>
      <c r="BT26" s="381">
        <v>29808</v>
      </c>
      <c r="BU26" s="381">
        <v>14384</v>
      </c>
      <c r="BV26" s="381">
        <v>0</v>
      </c>
      <c r="BW26" s="381">
        <v>0</v>
      </c>
      <c r="BX26" s="381">
        <v>0</v>
      </c>
      <c r="BY26" s="382">
        <v>74138</v>
      </c>
      <c r="BZ26" s="382">
        <v>3605</v>
      </c>
      <c r="CA26" s="382">
        <v>1173702</v>
      </c>
      <c r="CB26" s="389"/>
      <c r="CC26" s="381">
        <v>5586</v>
      </c>
      <c r="CD26" s="381">
        <v>0</v>
      </c>
      <c r="CE26" s="381">
        <v>0</v>
      </c>
      <c r="CF26" s="381">
        <v>5586</v>
      </c>
      <c r="CG26" s="389"/>
      <c r="CH26" s="381">
        <v>0</v>
      </c>
      <c r="CI26" s="381">
        <v>21746</v>
      </c>
      <c r="CJ26" s="381">
        <v>0</v>
      </c>
      <c r="CK26" s="381">
        <v>0</v>
      </c>
      <c r="CL26" s="381">
        <v>0</v>
      </c>
      <c r="CM26" s="381">
        <v>0</v>
      </c>
      <c r="CN26" s="381">
        <v>0</v>
      </c>
      <c r="CO26" s="381">
        <v>0</v>
      </c>
      <c r="CP26" s="381">
        <v>21746</v>
      </c>
      <c r="CQ26" s="390"/>
      <c r="CR26" s="381">
        <v>108481.00999999965</v>
      </c>
      <c r="CS26" s="381">
        <v>0</v>
      </c>
      <c r="CT26" s="381">
        <v>0</v>
      </c>
      <c r="CU26" s="381">
        <v>0.15999999999985448</v>
      </c>
      <c r="CV26" s="381">
        <v>0</v>
      </c>
      <c r="CW26" s="381">
        <v>21448.87000000001</v>
      </c>
      <c r="CX26" s="381">
        <v>129930.03999999966</v>
      </c>
      <c r="CY26" s="381"/>
      <c r="CZ26" s="117"/>
      <c r="DA26" s="384"/>
      <c r="DB26" s="117"/>
      <c r="DC26" s="384"/>
      <c r="DD26" s="385"/>
      <c r="DE26" s="117"/>
      <c r="DF26" s="117"/>
      <c r="DG26" s="381"/>
      <c r="DH26" s="386"/>
      <c r="DI26" s="387"/>
      <c r="DJ26" s="381"/>
      <c r="DK26" s="381">
        <v>189819.87999999966</v>
      </c>
      <c r="DL26" s="381">
        <v>16160.16</v>
      </c>
      <c r="DM26" s="381">
        <v>205980.03999999966</v>
      </c>
      <c r="DN26" s="381">
        <v>129929.87999999966</v>
      </c>
      <c r="DO26" s="381">
        <v>0.15999999999985448</v>
      </c>
      <c r="DP26" s="381">
        <v>129930.03999999966</v>
      </c>
      <c r="DQ26" s="383"/>
      <c r="DR26" s="381"/>
      <c r="DS26" s="388"/>
      <c r="DT26" s="388"/>
    </row>
    <row r="27" spans="1:124" ht="14.25">
      <c r="A27" s="380">
        <v>743</v>
      </c>
      <c r="B27" s="391">
        <v>9162108</v>
      </c>
      <c r="C27" s="68">
        <v>2108</v>
      </c>
      <c r="D27" s="120"/>
      <c r="E27" s="120" t="s">
        <v>254</v>
      </c>
      <c r="F27" s="120"/>
      <c r="G27" s="120"/>
      <c r="H27" s="68"/>
      <c r="I27" s="381">
        <v>24937.319999999949</v>
      </c>
      <c r="J27" s="381">
        <v>11615</v>
      </c>
      <c r="K27" s="381">
        <v>0</v>
      </c>
      <c r="L27" s="381">
        <v>1120.3699999999999</v>
      </c>
      <c r="M27" s="381">
        <v>0</v>
      </c>
      <c r="N27" s="381">
        <v>0</v>
      </c>
      <c r="O27" s="381">
        <v>37672.689999999951</v>
      </c>
      <c r="P27" s="381"/>
      <c r="Q27" s="381">
        <v>501419</v>
      </c>
      <c r="R27" s="381">
        <v>0</v>
      </c>
      <c r="S27" s="381">
        <v>25446</v>
      </c>
      <c r="T27" s="381">
        <v>0</v>
      </c>
      <c r="U27" s="381">
        <v>19695</v>
      </c>
      <c r="V27" s="381">
        <v>24909</v>
      </c>
      <c r="W27" s="381">
        <v>0</v>
      </c>
      <c r="X27" s="381">
        <v>2066</v>
      </c>
      <c r="Y27" s="381">
        <v>0</v>
      </c>
      <c r="Z27" s="381">
        <v>0</v>
      </c>
      <c r="AA27" s="381">
        <v>0</v>
      </c>
      <c r="AB27" s="381">
        <v>0</v>
      </c>
      <c r="AC27" s="381">
        <v>2000</v>
      </c>
      <c r="AD27" s="381">
        <v>0</v>
      </c>
      <c r="AE27" s="381">
        <v>0</v>
      </c>
      <c r="AF27" s="381">
        <v>0</v>
      </c>
      <c r="AG27" s="381">
        <v>0</v>
      </c>
      <c r="AH27" s="381">
        <v>0</v>
      </c>
      <c r="AI27" s="381">
        <v>0</v>
      </c>
      <c r="AJ27" s="381">
        <v>0</v>
      </c>
      <c r="AK27" s="381">
        <v>0</v>
      </c>
      <c r="AL27" s="381">
        <v>575535</v>
      </c>
      <c r="AM27" s="381"/>
      <c r="AN27" s="381">
        <v>282636</v>
      </c>
      <c r="AO27" s="381">
        <v>0</v>
      </c>
      <c r="AP27" s="381">
        <v>122945</v>
      </c>
      <c r="AQ27" s="381">
        <v>15135</v>
      </c>
      <c r="AR27" s="381">
        <v>37995</v>
      </c>
      <c r="AS27" s="381">
        <v>0</v>
      </c>
      <c r="AT27" s="381">
        <v>15408</v>
      </c>
      <c r="AU27" s="381">
        <v>1200</v>
      </c>
      <c r="AV27" s="381">
        <v>1700</v>
      </c>
      <c r="AW27" s="381">
        <v>2695</v>
      </c>
      <c r="AX27" s="381">
        <v>0</v>
      </c>
      <c r="AY27" s="381">
        <v>6659</v>
      </c>
      <c r="AZ27" s="381">
        <v>1362</v>
      </c>
      <c r="BA27" s="381">
        <v>1507</v>
      </c>
      <c r="BB27" s="381">
        <v>1200</v>
      </c>
      <c r="BC27" s="381">
        <v>10675</v>
      </c>
      <c r="BD27" s="381">
        <v>7360</v>
      </c>
      <c r="BE27" s="381">
        <v>1700</v>
      </c>
      <c r="BF27" s="381">
        <v>30310</v>
      </c>
      <c r="BG27" s="381">
        <v>2343</v>
      </c>
      <c r="BH27" s="381">
        <v>0</v>
      </c>
      <c r="BI27" s="381">
        <v>0</v>
      </c>
      <c r="BJ27" s="381">
        <v>2120</v>
      </c>
      <c r="BK27" s="381">
        <v>0</v>
      </c>
      <c r="BL27" s="381">
        <v>0</v>
      </c>
      <c r="BM27" s="381">
        <v>2790</v>
      </c>
      <c r="BN27" s="381">
        <v>0</v>
      </c>
      <c r="BO27" s="381">
        <v>1199</v>
      </c>
      <c r="BP27" s="381">
        <v>3455</v>
      </c>
      <c r="BQ27" s="381">
        <v>0</v>
      </c>
      <c r="BR27" s="381">
        <v>16839</v>
      </c>
      <c r="BS27" s="381">
        <v>4500</v>
      </c>
      <c r="BT27" s="381">
        <v>3449</v>
      </c>
      <c r="BU27" s="381">
        <v>9022</v>
      </c>
      <c r="BV27" s="381">
        <v>0</v>
      </c>
      <c r="BW27" s="381">
        <v>0</v>
      </c>
      <c r="BX27" s="381">
        <v>0</v>
      </c>
      <c r="BY27" s="382">
        <v>0</v>
      </c>
      <c r="BZ27" s="382">
        <v>0</v>
      </c>
      <c r="CA27" s="382">
        <v>586204</v>
      </c>
      <c r="CB27" s="381"/>
      <c r="CC27" s="381">
        <v>4641</v>
      </c>
      <c r="CD27" s="381">
        <v>0</v>
      </c>
      <c r="CE27" s="381">
        <v>0</v>
      </c>
      <c r="CF27" s="381">
        <v>4641</v>
      </c>
      <c r="CG27" s="381"/>
      <c r="CH27" s="381">
        <v>0</v>
      </c>
      <c r="CI27" s="381">
        <v>5761</v>
      </c>
      <c r="CJ27" s="381">
        <v>0</v>
      </c>
      <c r="CK27" s="381">
        <v>0</v>
      </c>
      <c r="CL27" s="381">
        <v>0</v>
      </c>
      <c r="CM27" s="381">
        <v>0</v>
      </c>
      <c r="CN27" s="381">
        <v>0</v>
      </c>
      <c r="CO27" s="381">
        <v>0</v>
      </c>
      <c r="CP27" s="381">
        <v>5761</v>
      </c>
      <c r="CQ27" s="381"/>
      <c r="CR27" s="381">
        <v>25883.319999999949</v>
      </c>
      <c r="CS27" s="381">
        <v>0</v>
      </c>
      <c r="CT27" s="381">
        <v>0</v>
      </c>
      <c r="CU27" s="381">
        <v>0.36999999999989086</v>
      </c>
      <c r="CV27" s="381">
        <v>0</v>
      </c>
      <c r="CW27" s="381">
        <v>0</v>
      </c>
      <c r="CX27" s="381">
        <v>25883.689999999948</v>
      </c>
      <c r="CY27" s="381"/>
      <c r="CZ27" s="117"/>
      <c r="DA27" s="384"/>
      <c r="DB27" s="117"/>
      <c r="DC27" s="384"/>
      <c r="DD27" s="385"/>
      <c r="DE27" s="117"/>
      <c r="DF27" s="117"/>
      <c r="DG27" s="381"/>
      <c r="DH27" s="386"/>
      <c r="DI27" s="387"/>
      <c r="DJ27" s="381"/>
      <c r="DK27" s="381">
        <v>36552.319999999949</v>
      </c>
      <c r="DL27" s="381">
        <v>1120.3699999999999</v>
      </c>
      <c r="DM27" s="381">
        <v>37672.689999999951</v>
      </c>
      <c r="DN27" s="381">
        <v>25883.319999999949</v>
      </c>
      <c r="DO27" s="381">
        <v>0.36999999999989086</v>
      </c>
      <c r="DP27" s="381">
        <v>25883.689999999948</v>
      </c>
      <c r="DQ27" s="383"/>
      <c r="DR27" s="381"/>
      <c r="DS27" s="388"/>
      <c r="DT27" s="388"/>
    </row>
    <row r="28" spans="1:124" ht="14.25">
      <c r="A28" s="380">
        <v>569</v>
      </c>
      <c r="B28" s="391">
        <v>9162105</v>
      </c>
      <c r="C28" s="68">
        <v>2105</v>
      </c>
      <c r="D28" s="120"/>
      <c r="E28" s="120" t="s">
        <v>217</v>
      </c>
      <c r="F28" s="120"/>
      <c r="G28" s="120"/>
      <c r="H28" s="68"/>
      <c r="I28" s="381">
        <v>123381.74000000034</v>
      </c>
      <c r="J28" s="381">
        <v>7692.34</v>
      </c>
      <c r="K28" s="381">
        <v>0</v>
      </c>
      <c r="L28" s="381">
        <v>20056.560000000001</v>
      </c>
      <c r="M28" s="381">
        <v>0</v>
      </c>
      <c r="N28" s="381">
        <v>0</v>
      </c>
      <c r="O28" s="381">
        <v>151130.64000000033</v>
      </c>
      <c r="P28" s="381"/>
      <c r="Q28" s="381">
        <v>1206838</v>
      </c>
      <c r="R28" s="381">
        <v>0</v>
      </c>
      <c r="S28" s="381">
        <v>32278</v>
      </c>
      <c r="T28" s="381">
        <v>0</v>
      </c>
      <c r="U28" s="381">
        <v>103635</v>
      </c>
      <c r="V28" s="381">
        <v>18164</v>
      </c>
      <c r="W28" s="381">
        <v>0</v>
      </c>
      <c r="X28" s="381">
        <v>0</v>
      </c>
      <c r="Y28" s="381">
        <v>3680</v>
      </c>
      <c r="Z28" s="381">
        <v>6000</v>
      </c>
      <c r="AA28" s="381">
        <v>0</v>
      </c>
      <c r="AB28" s="381">
        <v>0</v>
      </c>
      <c r="AC28" s="381">
        <v>30000</v>
      </c>
      <c r="AD28" s="381">
        <v>0</v>
      </c>
      <c r="AE28" s="381">
        <v>0</v>
      </c>
      <c r="AF28" s="381">
        <v>0</v>
      </c>
      <c r="AG28" s="381">
        <v>0</v>
      </c>
      <c r="AH28" s="381">
        <v>0</v>
      </c>
      <c r="AI28" s="381">
        <v>0</v>
      </c>
      <c r="AJ28" s="381">
        <v>0</v>
      </c>
      <c r="AK28" s="381">
        <v>0</v>
      </c>
      <c r="AL28" s="381">
        <v>1400595</v>
      </c>
      <c r="AM28" s="381"/>
      <c r="AN28" s="381">
        <v>725559</v>
      </c>
      <c r="AO28" s="381">
        <v>19000</v>
      </c>
      <c r="AP28" s="381">
        <v>278982</v>
      </c>
      <c r="AQ28" s="381">
        <v>4255</v>
      </c>
      <c r="AR28" s="381">
        <v>122712</v>
      </c>
      <c r="AS28" s="381">
        <v>0</v>
      </c>
      <c r="AT28" s="381">
        <v>38227</v>
      </c>
      <c r="AU28" s="381">
        <v>6000</v>
      </c>
      <c r="AV28" s="381">
        <v>4250</v>
      </c>
      <c r="AW28" s="381">
        <v>644</v>
      </c>
      <c r="AX28" s="381">
        <v>0</v>
      </c>
      <c r="AY28" s="381">
        <v>17029</v>
      </c>
      <c r="AZ28" s="381">
        <v>3500</v>
      </c>
      <c r="BA28" s="381">
        <v>30720</v>
      </c>
      <c r="BB28" s="381">
        <v>4000</v>
      </c>
      <c r="BC28" s="381">
        <v>26500</v>
      </c>
      <c r="BD28" s="381">
        <v>0</v>
      </c>
      <c r="BE28" s="381">
        <v>5280</v>
      </c>
      <c r="BF28" s="381">
        <v>68877</v>
      </c>
      <c r="BG28" s="381">
        <v>5000</v>
      </c>
      <c r="BH28" s="381">
        <v>0</v>
      </c>
      <c r="BI28" s="381">
        <v>5000</v>
      </c>
      <c r="BJ28" s="381">
        <v>6700</v>
      </c>
      <c r="BK28" s="381">
        <v>500</v>
      </c>
      <c r="BL28" s="381">
        <v>500</v>
      </c>
      <c r="BM28" s="381">
        <v>7216</v>
      </c>
      <c r="BN28" s="381">
        <v>0</v>
      </c>
      <c r="BO28" s="381">
        <v>12500</v>
      </c>
      <c r="BP28" s="381">
        <v>11389</v>
      </c>
      <c r="BQ28" s="381">
        <v>0</v>
      </c>
      <c r="BR28" s="381">
        <v>24969</v>
      </c>
      <c r="BS28" s="381">
        <v>0</v>
      </c>
      <c r="BT28" s="381">
        <v>19092</v>
      </c>
      <c r="BU28" s="381">
        <v>19413</v>
      </c>
      <c r="BV28" s="381">
        <v>0</v>
      </c>
      <c r="BW28" s="381">
        <v>0</v>
      </c>
      <c r="BX28" s="381">
        <v>0</v>
      </c>
      <c r="BY28" s="382">
        <v>0</v>
      </c>
      <c r="BZ28" s="382">
        <v>0</v>
      </c>
      <c r="CA28" s="382">
        <v>1467814</v>
      </c>
      <c r="CB28" s="381"/>
      <c r="CC28" s="381">
        <v>6520</v>
      </c>
      <c r="CD28" s="381">
        <v>0</v>
      </c>
      <c r="CE28" s="381">
        <v>0</v>
      </c>
      <c r="CF28" s="381">
        <v>6520</v>
      </c>
      <c r="CG28" s="381"/>
      <c r="CH28" s="381">
        <v>0</v>
      </c>
      <c r="CI28" s="381">
        <v>26577</v>
      </c>
      <c r="CJ28" s="381">
        <v>0</v>
      </c>
      <c r="CK28" s="381">
        <v>0</v>
      </c>
      <c r="CL28" s="381">
        <v>0</v>
      </c>
      <c r="CM28" s="381">
        <v>0</v>
      </c>
      <c r="CN28" s="381">
        <v>0</v>
      </c>
      <c r="CO28" s="381">
        <v>0</v>
      </c>
      <c r="CP28" s="381">
        <v>26577</v>
      </c>
      <c r="CQ28" s="381"/>
      <c r="CR28" s="381">
        <v>63855.080000000336</v>
      </c>
      <c r="CS28" s="381">
        <v>0</v>
      </c>
      <c r="CT28" s="381">
        <v>0</v>
      </c>
      <c r="CU28" s="381">
        <v>-0.43999999999869033</v>
      </c>
      <c r="CV28" s="381">
        <v>0</v>
      </c>
      <c r="CW28" s="381">
        <v>0</v>
      </c>
      <c r="CX28" s="381">
        <v>63854.640000000334</v>
      </c>
      <c r="CY28" s="381"/>
      <c r="CZ28" s="117"/>
      <c r="DA28" s="384"/>
      <c r="DB28" s="117"/>
      <c r="DC28" s="384"/>
      <c r="DD28" s="385"/>
      <c r="DE28" s="117"/>
      <c r="DF28" s="117"/>
      <c r="DG28" s="381"/>
      <c r="DH28" s="386"/>
      <c r="DI28" s="387"/>
      <c r="DJ28" s="381"/>
      <c r="DK28" s="381">
        <v>131074.08000000034</v>
      </c>
      <c r="DL28" s="381">
        <v>20056.560000000001</v>
      </c>
      <c r="DM28" s="381">
        <v>151130.64000000033</v>
      </c>
      <c r="DN28" s="381">
        <v>63855.080000000336</v>
      </c>
      <c r="DO28" s="381">
        <v>-0.43999999999869033</v>
      </c>
      <c r="DP28" s="381">
        <v>63854.640000000334</v>
      </c>
      <c r="DQ28" s="383"/>
      <c r="DR28" s="381"/>
      <c r="DS28" s="388"/>
      <c r="DT28" s="388"/>
    </row>
    <row r="29" spans="1:124" ht="15">
      <c r="A29" s="380">
        <v>862</v>
      </c>
      <c r="B29" s="391">
        <v>9162110</v>
      </c>
      <c r="C29" s="68">
        <v>2110</v>
      </c>
      <c r="D29" s="120"/>
      <c r="E29" s="120" t="s">
        <v>216</v>
      </c>
      <c r="F29" s="120"/>
      <c r="G29" s="120"/>
      <c r="H29" s="68"/>
      <c r="I29" s="381">
        <v>144983.10000000012</v>
      </c>
      <c r="J29" s="381">
        <v>10904</v>
      </c>
      <c r="K29" s="381">
        <v>0</v>
      </c>
      <c r="L29" s="381">
        <v>-1521.6099999999997</v>
      </c>
      <c r="M29" s="381">
        <v>0</v>
      </c>
      <c r="N29" s="381">
        <v>0</v>
      </c>
      <c r="O29" s="381">
        <v>154365.49000000014</v>
      </c>
      <c r="P29" s="389"/>
      <c r="Q29" s="381">
        <v>965397</v>
      </c>
      <c r="R29" s="381">
        <v>0</v>
      </c>
      <c r="S29" s="381">
        <v>13516</v>
      </c>
      <c r="T29" s="381">
        <v>0</v>
      </c>
      <c r="U29" s="381">
        <v>33630</v>
      </c>
      <c r="V29" s="381">
        <v>47155</v>
      </c>
      <c r="W29" s="381">
        <v>0</v>
      </c>
      <c r="X29" s="381">
        <v>0</v>
      </c>
      <c r="Y29" s="381">
        <v>3850</v>
      </c>
      <c r="Z29" s="381">
        <v>1700</v>
      </c>
      <c r="AA29" s="381">
        <v>0</v>
      </c>
      <c r="AB29" s="381">
        <v>0</v>
      </c>
      <c r="AC29" s="381">
        <v>5000</v>
      </c>
      <c r="AD29" s="381">
        <v>0</v>
      </c>
      <c r="AE29" s="381">
        <v>0</v>
      </c>
      <c r="AF29" s="381">
        <v>0</v>
      </c>
      <c r="AG29" s="381">
        <v>0</v>
      </c>
      <c r="AH29" s="381">
        <v>0</v>
      </c>
      <c r="AI29" s="381">
        <v>0</v>
      </c>
      <c r="AJ29" s="381">
        <v>0</v>
      </c>
      <c r="AK29" s="381">
        <v>0</v>
      </c>
      <c r="AL29" s="381">
        <v>1070248</v>
      </c>
      <c r="AM29" s="389"/>
      <c r="AN29" s="381">
        <v>519387</v>
      </c>
      <c r="AO29" s="381">
        <v>1000</v>
      </c>
      <c r="AP29" s="381">
        <v>209988</v>
      </c>
      <c r="AQ29" s="381">
        <v>9917</v>
      </c>
      <c r="AR29" s="381">
        <v>61227</v>
      </c>
      <c r="AS29" s="381">
        <v>0</v>
      </c>
      <c r="AT29" s="381">
        <v>51488</v>
      </c>
      <c r="AU29" s="381">
        <v>3912</v>
      </c>
      <c r="AV29" s="381">
        <v>4299</v>
      </c>
      <c r="AW29" s="381">
        <v>509</v>
      </c>
      <c r="AX29" s="381">
        <v>4000</v>
      </c>
      <c r="AY29" s="381">
        <v>16688</v>
      </c>
      <c r="AZ29" s="381">
        <v>2500</v>
      </c>
      <c r="BA29" s="381">
        <v>27269</v>
      </c>
      <c r="BB29" s="381">
        <v>1546</v>
      </c>
      <c r="BC29" s="381">
        <v>26275</v>
      </c>
      <c r="BD29" s="381">
        <v>22829</v>
      </c>
      <c r="BE29" s="381">
        <v>1650</v>
      </c>
      <c r="BF29" s="381">
        <v>51744</v>
      </c>
      <c r="BG29" s="381">
        <v>3827</v>
      </c>
      <c r="BH29" s="381">
        <v>0</v>
      </c>
      <c r="BI29" s="381">
        <v>3090</v>
      </c>
      <c r="BJ29" s="381">
        <v>2000</v>
      </c>
      <c r="BK29" s="381">
        <v>0</v>
      </c>
      <c r="BL29" s="381">
        <v>0</v>
      </c>
      <c r="BM29" s="381">
        <v>1753</v>
      </c>
      <c r="BN29" s="381">
        <v>0</v>
      </c>
      <c r="BO29" s="381">
        <v>7502</v>
      </c>
      <c r="BP29" s="381">
        <v>9015</v>
      </c>
      <c r="BQ29" s="381">
        <v>0</v>
      </c>
      <c r="BR29" s="381">
        <v>45622</v>
      </c>
      <c r="BS29" s="381">
        <v>6000</v>
      </c>
      <c r="BT29" s="381">
        <v>30629</v>
      </c>
      <c r="BU29" s="381">
        <v>13394</v>
      </c>
      <c r="BV29" s="381">
        <v>0</v>
      </c>
      <c r="BW29" s="381">
        <v>0</v>
      </c>
      <c r="BX29" s="381">
        <v>0</v>
      </c>
      <c r="BY29" s="382">
        <v>0</v>
      </c>
      <c r="BZ29" s="382">
        <v>0</v>
      </c>
      <c r="CA29" s="382">
        <v>1139060</v>
      </c>
      <c r="CB29" s="389"/>
      <c r="CC29" s="381">
        <v>5845</v>
      </c>
      <c r="CD29" s="381">
        <v>0</v>
      </c>
      <c r="CE29" s="381">
        <v>0</v>
      </c>
      <c r="CF29" s="381">
        <v>5845</v>
      </c>
      <c r="CG29" s="389"/>
      <c r="CH29" s="381">
        <v>0</v>
      </c>
      <c r="CI29" s="381">
        <v>4323</v>
      </c>
      <c r="CJ29" s="381">
        <v>0</v>
      </c>
      <c r="CK29" s="381">
        <v>0</v>
      </c>
      <c r="CL29" s="381">
        <v>0</v>
      </c>
      <c r="CM29" s="381">
        <v>0</v>
      </c>
      <c r="CN29" s="381">
        <v>0</v>
      </c>
      <c r="CO29" s="381">
        <v>0</v>
      </c>
      <c r="CP29" s="381">
        <v>4323</v>
      </c>
      <c r="CQ29" s="390"/>
      <c r="CR29" s="381">
        <v>87075.100000000122</v>
      </c>
      <c r="CS29" s="381">
        <v>0</v>
      </c>
      <c r="CT29" s="381">
        <v>0</v>
      </c>
      <c r="CU29" s="381">
        <v>0.39000000000032742</v>
      </c>
      <c r="CV29" s="381">
        <v>0</v>
      </c>
      <c r="CW29" s="381">
        <v>0</v>
      </c>
      <c r="CX29" s="381">
        <v>87075.490000000122</v>
      </c>
      <c r="CY29" s="381"/>
      <c r="CZ29" s="117"/>
      <c r="DA29" s="384"/>
      <c r="DB29" s="117"/>
      <c r="DC29" s="384"/>
      <c r="DD29" s="385"/>
      <c r="DE29" s="117"/>
      <c r="DF29" s="117"/>
      <c r="DG29" s="381"/>
      <c r="DH29" s="386"/>
      <c r="DI29" s="387"/>
      <c r="DJ29" s="381"/>
      <c r="DK29" s="381">
        <v>155887.10000000012</v>
      </c>
      <c r="DL29" s="381">
        <v>-1521.6099999999997</v>
      </c>
      <c r="DM29" s="381">
        <v>154365.49000000014</v>
      </c>
      <c r="DN29" s="381">
        <v>87075.100000000122</v>
      </c>
      <c r="DO29" s="381">
        <v>0.39000000000032742</v>
      </c>
      <c r="DP29" s="381">
        <v>87075.490000000122</v>
      </c>
      <c r="DQ29" s="383"/>
      <c r="DR29" s="381"/>
      <c r="DS29" s="388"/>
      <c r="DT29" s="388"/>
    </row>
    <row r="30" spans="1:124" ht="14.25">
      <c r="A30" s="380">
        <v>612</v>
      </c>
      <c r="B30" s="391">
        <v>9162053</v>
      </c>
      <c r="C30" s="68">
        <v>2053</v>
      </c>
      <c r="D30" s="120"/>
      <c r="E30" s="120" t="s">
        <v>722</v>
      </c>
      <c r="F30" s="120"/>
      <c r="G30" s="120"/>
      <c r="H30" s="68"/>
      <c r="I30" s="381">
        <v>-55660.31999999992</v>
      </c>
      <c r="J30" s="381">
        <v>584.40999999999985</v>
      </c>
      <c r="K30" s="381">
        <v>0</v>
      </c>
      <c r="L30" s="381">
        <v>13395.8</v>
      </c>
      <c r="M30" s="381">
        <v>0</v>
      </c>
      <c r="N30" s="381">
        <v>0</v>
      </c>
      <c r="O30" s="381">
        <v>-41680.109999999913</v>
      </c>
      <c r="P30" s="381"/>
      <c r="Q30" s="381">
        <v>1187547</v>
      </c>
      <c r="R30" s="381">
        <v>0</v>
      </c>
      <c r="S30" s="381">
        <v>103098</v>
      </c>
      <c r="T30" s="381">
        <v>0</v>
      </c>
      <c r="U30" s="381">
        <v>40340</v>
      </c>
      <c r="V30" s="381">
        <v>17694</v>
      </c>
      <c r="W30" s="381">
        <v>0</v>
      </c>
      <c r="X30" s="381">
        <v>0</v>
      </c>
      <c r="Y30" s="381">
        <v>138968</v>
      </c>
      <c r="Z30" s="381">
        <v>0</v>
      </c>
      <c r="AA30" s="381">
        <v>0</v>
      </c>
      <c r="AB30" s="381">
        <v>3820</v>
      </c>
      <c r="AC30" s="381">
        <v>11500</v>
      </c>
      <c r="AD30" s="381">
        <v>0</v>
      </c>
      <c r="AE30" s="381">
        <v>0</v>
      </c>
      <c r="AF30" s="381">
        <v>0</v>
      </c>
      <c r="AG30" s="381">
        <v>0</v>
      </c>
      <c r="AH30" s="381">
        <v>0</v>
      </c>
      <c r="AI30" s="381">
        <v>0</v>
      </c>
      <c r="AJ30" s="381">
        <v>0</v>
      </c>
      <c r="AK30" s="381">
        <v>0</v>
      </c>
      <c r="AL30" s="381">
        <v>1502967</v>
      </c>
      <c r="AM30" s="381"/>
      <c r="AN30" s="381">
        <v>803221</v>
      </c>
      <c r="AO30" s="381">
        <v>22886</v>
      </c>
      <c r="AP30" s="381">
        <v>271199</v>
      </c>
      <c r="AQ30" s="381">
        <v>25913</v>
      </c>
      <c r="AR30" s="381">
        <v>89576</v>
      </c>
      <c r="AS30" s="381">
        <v>0</v>
      </c>
      <c r="AT30" s="381">
        <v>64728</v>
      </c>
      <c r="AU30" s="381">
        <v>7331</v>
      </c>
      <c r="AV30" s="381">
        <v>6220</v>
      </c>
      <c r="AW30" s="381">
        <v>6924</v>
      </c>
      <c r="AX30" s="381">
        <v>0</v>
      </c>
      <c r="AY30" s="381">
        <v>12437</v>
      </c>
      <c r="AZ30" s="381">
        <v>3240</v>
      </c>
      <c r="BA30" s="381">
        <v>32311</v>
      </c>
      <c r="BB30" s="381">
        <v>5160</v>
      </c>
      <c r="BC30" s="381">
        <v>36000</v>
      </c>
      <c r="BD30" s="381">
        <v>18837</v>
      </c>
      <c r="BE30" s="381">
        <v>5109</v>
      </c>
      <c r="BF30" s="381">
        <v>57608</v>
      </c>
      <c r="BG30" s="381">
        <v>3380</v>
      </c>
      <c r="BH30" s="381">
        <v>0</v>
      </c>
      <c r="BI30" s="381">
        <v>0</v>
      </c>
      <c r="BJ30" s="381">
        <v>385</v>
      </c>
      <c r="BK30" s="381">
        <v>6000</v>
      </c>
      <c r="BL30" s="381">
        <v>0</v>
      </c>
      <c r="BM30" s="381">
        <v>6989</v>
      </c>
      <c r="BN30" s="381">
        <v>0</v>
      </c>
      <c r="BO30" s="381">
        <v>8136</v>
      </c>
      <c r="BP30" s="381">
        <v>12469</v>
      </c>
      <c r="BQ30" s="381">
        <v>0</v>
      </c>
      <c r="BR30" s="381">
        <v>12873</v>
      </c>
      <c r="BS30" s="381">
        <v>5600</v>
      </c>
      <c r="BT30" s="381">
        <v>35040</v>
      </c>
      <c r="BU30" s="381">
        <v>16327</v>
      </c>
      <c r="BV30" s="381">
        <v>0</v>
      </c>
      <c r="BW30" s="381">
        <v>0</v>
      </c>
      <c r="BX30" s="381">
        <v>0</v>
      </c>
      <c r="BY30" s="382">
        <v>0</v>
      </c>
      <c r="BZ30" s="382">
        <v>0</v>
      </c>
      <c r="CA30" s="382">
        <v>1575899</v>
      </c>
      <c r="CB30" s="381"/>
      <c r="CC30" s="381">
        <v>6599</v>
      </c>
      <c r="CD30" s="381">
        <v>0</v>
      </c>
      <c r="CE30" s="381">
        <v>0</v>
      </c>
      <c r="CF30" s="381">
        <v>6599</v>
      </c>
      <c r="CG30" s="381"/>
      <c r="CH30" s="381">
        <v>0</v>
      </c>
      <c r="CI30" s="381">
        <v>19995</v>
      </c>
      <c r="CJ30" s="381">
        <v>0</v>
      </c>
      <c r="CK30" s="381">
        <v>0</v>
      </c>
      <c r="CL30" s="381">
        <v>0</v>
      </c>
      <c r="CM30" s="381">
        <v>0</v>
      </c>
      <c r="CN30" s="381">
        <v>0</v>
      </c>
      <c r="CO30" s="381">
        <v>0</v>
      </c>
      <c r="CP30" s="381">
        <v>19995</v>
      </c>
      <c r="CQ30" s="381"/>
      <c r="CR30" s="381">
        <v>-128007.90999999992</v>
      </c>
      <c r="CS30" s="381">
        <v>0</v>
      </c>
      <c r="CT30" s="381">
        <v>0</v>
      </c>
      <c r="CU30" s="381">
        <v>-0.2000000000007276</v>
      </c>
      <c r="CV30" s="381">
        <v>0</v>
      </c>
      <c r="CW30" s="381">
        <v>0</v>
      </c>
      <c r="CX30" s="381">
        <v>-128008.10999999991</v>
      </c>
      <c r="CY30" s="381"/>
      <c r="CZ30" s="117"/>
      <c r="DA30" s="384"/>
      <c r="DB30" s="117"/>
      <c r="DC30" s="384"/>
      <c r="DD30" s="385"/>
      <c r="DE30" s="117"/>
      <c r="DF30" s="117"/>
      <c r="DG30" s="381"/>
      <c r="DH30" s="386"/>
      <c r="DI30" s="387"/>
      <c r="DJ30" s="381"/>
      <c r="DK30" s="381">
        <v>-55075.909999999916</v>
      </c>
      <c r="DL30" s="381">
        <v>13395.8</v>
      </c>
      <c r="DM30" s="381">
        <v>-41680.109999999913</v>
      </c>
      <c r="DN30" s="381">
        <v>-128007.90999999992</v>
      </c>
      <c r="DO30" s="381">
        <v>-0.2000000000007276</v>
      </c>
      <c r="DP30" s="381">
        <v>-128008.10999999991</v>
      </c>
      <c r="DQ30" s="383"/>
      <c r="DR30" s="381"/>
      <c r="DS30" s="388"/>
      <c r="DT30" s="388"/>
    </row>
    <row r="31" spans="1:124" ht="14.25">
      <c r="A31" s="380">
        <v>829</v>
      </c>
      <c r="B31" s="391">
        <v>9163076</v>
      </c>
      <c r="C31" s="68">
        <v>3076</v>
      </c>
      <c r="D31" s="120"/>
      <c r="E31" s="120" t="s">
        <v>274</v>
      </c>
      <c r="F31" s="120"/>
      <c r="G31" s="120"/>
      <c r="H31" s="68"/>
      <c r="I31" s="381">
        <v>200036.32000000004</v>
      </c>
      <c r="J31" s="381">
        <v>21956.209999999992</v>
      </c>
      <c r="K31" s="381">
        <v>0</v>
      </c>
      <c r="L31" s="381">
        <v>18965.099999999999</v>
      </c>
      <c r="M31" s="381">
        <v>0</v>
      </c>
      <c r="N31" s="381">
        <v>0</v>
      </c>
      <c r="O31" s="381">
        <v>240957.63000000003</v>
      </c>
      <c r="P31" s="381"/>
      <c r="Q31" s="381">
        <v>612479</v>
      </c>
      <c r="R31" s="381">
        <v>0</v>
      </c>
      <c r="S31" s="381">
        <v>35693</v>
      </c>
      <c r="T31" s="381">
        <v>0</v>
      </c>
      <c r="U31" s="381">
        <v>15465</v>
      </c>
      <c r="V31" s="381">
        <v>33353</v>
      </c>
      <c r="W31" s="381">
        <v>0</v>
      </c>
      <c r="X31" s="381">
        <v>0</v>
      </c>
      <c r="Y31" s="381">
        <v>38000</v>
      </c>
      <c r="Z31" s="381">
        <v>0</v>
      </c>
      <c r="AA31" s="381">
        <v>0</v>
      </c>
      <c r="AB31" s="381">
        <v>0</v>
      </c>
      <c r="AC31" s="381">
        <v>8500</v>
      </c>
      <c r="AD31" s="381">
        <v>0</v>
      </c>
      <c r="AE31" s="381">
        <v>0</v>
      </c>
      <c r="AF31" s="381">
        <v>0</v>
      </c>
      <c r="AG31" s="381">
        <v>0</v>
      </c>
      <c r="AH31" s="381">
        <v>0</v>
      </c>
      <c r="AI31" s="381">
        <v>0</v>
      </c>
      <c r="AJ31" s="381">
        <v>0</v>
      </c>
      <c r="AK31" s="381">
        <v>0</v>
      </c>
      <c r="AL31" s="381">
        <v>743490</v>
      </c>
      <c r="AM31" s="381"/>
      <c r="AN31" s="381">
        <v>396186</v>
      </c>
      <c r="AO31" s="381">
        <v>0</v>
      </c>
      <c r="AP31" s="381">
        <v>159393</v>
      </c>
      <c r="AQ31" s="381">
        <v>0</v>
      </c>
      <c r="AR31" s="381">
        <v>40129</v>
      </c>
      <c r="AS31" s="381">
        <v>0</v>
      </c>
      <c r="AT31" s="381">
        <v>109277</v>
      </c>
      <c r="AU31" s="381">
        <v>2800</v>
      </c>
      <c r="AV31" s="381">
        <v>3697</v>
      </c>
      <c r="AW31" s="381">
        <v>8283</v>
      </c>
      <c r="AX31" s="381">
        <v>0</v>
      </c>
      <c r="AY31" s="381">
        <v>13235</v>
      </c>
      <c r="AZ31" s="381">
        <v>4984</v>
      </c>
      <c r="BA31" s="381">
        <v>21249</v>
      </c>
      <c r="BB31" s="381">
        <v>2400</v>
      </c>
      <c r="BC31" s="381">
        <v>12500</v>
      </c>
      <c r="BD31" s="381">
        <v>14595</v>
      </c>
      <c r="BE31" s="381">
        <v>2200</v>
      </c>
      <c r="BF31" s="381">
        <v>33570</v>
      </c>
      <c r="BG31" s="381">
        <v>2300</v>
      </c>
      <c r="BH31" s="381">
        <v>0</v>
      </c>
      <c r="BI31" s="381">
        <v>2170</v>
      </c>
      <c r="BJ31" s="381">
        <v>900</v>
      </c>
      <c r="BK31" s="381">
        <v>1500</v>
      </c>
      <c r="BL31" s="381">
        <v>2000</v>
      </c>
      <c r="BM31" s="381">
        <v>3977</v>
      </c>
      <c r="BN31" s="381">
        <v>0</v>
      </c>
      <c r="BO31" s="381">
        <v>1675</v>
      </c>
      <c r="BP31" s="381">
        <v>5019</v>
      </c>
      <c r="BQ31" s="381">
        <v>0</v>
      </c>
      <c r="BR31" s="381">
        <v>20843</v>
      </c>
      <c r="BS31" s="381">
        <v>3000</v>
      </c>
      <c r="BT31" s="381">
        <v>16527</v>
      </c>
      <c r="BU31" s="381">
        <v>13349</v>
      </c>
      <c r="BV31" s="381">
        <v>0</v>
      </c>
      <c r="BW31" s="381">
        <v>0</v>
      </c>
      <c r="BX31" s="381">
        <v>0</v>
      </c>
      <c r="BY31" s="382">
        <v>0</v>
      </c>
      <c r="BZ31" s="382">
        <v>0</v>
      </c>
      <c r="CA31" s="382">
        <v>897758</v>
      </c>
      <c r="CB31" s="381"/>
      <c r="CC31" s="381">
        <v>5046</v>
      </c>
      <c r="CD31" s="381">
        <v>0</v>
      </c>
      <c r="CE31" s="381">
        <v>0</v>
      </c>
      <c r="CF31" s="381">
        <v>5046</v>
      </c>
      <c r="CG31" s="381"/>
      <c r="CH31" s="381">
        <v>0</v>
      </c>
      <c r="CI31" s="381">
        <v>24011</v>
      </c>
      <c r="CJ31" s="381">
        <v>0</v>
      </c>
      <c r="CK31" s="381">
        <v>0</v>
      </c>
      <c r="CL31" s="381">
        <v>0</v>
      </c>
      <c r="CM31" s="381">
        <v>0</v>
      </c>
      <c r="CN31" s="381">
        <v>0</v>
      </c>
      <c r="CO31" s="381">
        <v>0</v>
      </c>
      <c r="CP31" s="381">
        <v>24011</v>
      </c>
      <c r="CQ31" s="381"/>
      <c r="CR31" s="381">
        <v>67724.530000000028</v>
      </c>
      <c r="CS31" s="381">
        <v>0</v>
      </c>
      <c r="CT31" s="381">
        <v>0</v>
      </c>
      <c r="CU31" s="381">
        <v>9.9999999998544808E-2</v>
      </c>
      <c r="CV31" s="381">
        <v>0</v>
      </c>
      <c r="CW31" s="381">
        <v>0</v>
      </c>
      <c r="CX31" s="381">
        <v>67724.630000000034</v>
      </c>
      <c r="CY31" s="381"/>
      <c r="CZ31" s="117"/>
      <c r="DA31" s="384"/>
      <c r="DB31" s="117"/>
      <c r="DC31" s="384"/>
      <c r="DD31" s="385"/>
      <c r="DE31" s="117"/>
      <c r="DF31" s="117"/>
      <c r="DG31" s="381"/>
      <c r="DH31" s="386"/>
      <c r="DI31" s="387"/>
      <c r="DJ31" s="381"/>
      <c r="DK31" s="381">
        <v>221992.53000000003</v>
      </c>
      <c r="DL31" s="381">
        <v>18965.099999999999</v>
      </c>
      <c r="DM31" s="381">
        <v>240957.63000000003</v>
      </c>
      <c r="DN31" s="381">
        <v>67724.530000000028</v>
      </c>
      <c r="DO31" s="381">
        <v>9.9999999998544808E-2</v>
      </c>
      <c r="DP31" s="381">
        <v>67724.630000000034</v>
      </c>
      <c r="DQ31" s="383"/>
      <c r="DR31" s="381"/>
      <c r="DS31" s="388"/>
      <c r="DT31" s="388"/>
    </row>
    <row r="32" spans="1:124" ht="14.25">
      <c r="A32" s="380">
        <v>793</v>
      </c>
      <c r="B32" s="391">
        <v>9162067</v>
      </c>
      <c r="C32" s="68">
        <v>2067</v>
      </c>
      <c r="D32" s="120"/>
      <c r="E32" s="120" t="s">
        <v>220</v>
      </c>
      <c r="F32" s="120"/>
      <c r="G32" s="120"/>
      <c r="H32" s="68"/>
      <c r="I32" s="381">
        <v>240864.91000000024</v>
      </c>
      <c r="J32" s="381">
        <v>18042.68</v>
      </c>
      <c r="K32" s="381">
        <v>0</v>
      </c>
      <c r="L32" s="381">
        <v>4689.25</v>
      </c>
      <c r="M32" s="381">
        <v>0</v>
      </c>
      <c r="N32" s="381">
        <v>37169.629999999983</v>
      </c>
      <c r="O32" s="381">
        <v>300766.4700000002</v>
      </c>
      <c r="P32" s="381"/>
      <c r="Q32" s="381">
        <v>718776</v>
      </c>
      <c r="R32" s="381">
        <v>0</v>
      </c>
      <c r="S32" s="381">
        <v>30443</v>
      </c>
      <c r="T32" s="381">
        <v>0</v>
      </c>
      <c r="U32" s="381">
        <v>40270</v>
      </c>
      <c r="V32" s="381">
        <v>37340</v>
      </c>
      <c r="W32" s="381">
        <v>0</v>
      </c>
      <c r="X32" s="381">
        <v>0</v>
      </c>
      <c r="Y32" s="381">
        <v>29361</v>
      </c>
      <c r="Z32" s="381">
        <v>6500</v>
      </c>
      <c r="AA32" s="381">
        <v>4500</v>
      </c>
      <c r="AB32" s="381">
        <v>0</v>
      </c>
      <c r="AC32" s="381">
        <v>0</v>
      </c>
      <c r="AD32" s="381">
        <v>0</v>
      </c>
      <c r="AE32" s="381">
        <v>0</v>
      </c>
      <c r="AF32" s="381">
        <v>52000</v>
      </c>
      <c r="AG32" s="381">
        <v>2500</v>
      </c>
      <c r="AH32" s="381">
        <v>0</v>
      </c>
      <c r="AI32" s="381">
        <v>0</v>
      </c>
      <c r="AJ32" s="381">
        <v>0</v>
      </c>
      <c r="AK32" s="381">
        <v>0</v>
      </c>
      <c r="AL32" s="381">
        <v>921690</v>
      </c>
      <c r="AM32" s="381"/>
      <c r="AN32" s="381">
        <v>425806</v>
      </c>
      <c r="AO32" s="381">
        <v>2500</v>
      </c>
      <c r="AP32" s="381">
        <v>147065</v>
      </c>
      <c r="AQ32" s="381">
        <v>26061</v>
      </c>
      <c r="AR32" s="381">
        <v>56995</v>
      </c>
      <c r="AS32" s="381">
        <v>0</v>
      </c>
      <c r="AT32" s="381">
        <v>51692</v>
      </c>
      <c r="AU32" s="381">
        <v>3750</v>
      </c>
      <c r="AV32" s="381">
        <v>2250</v>
      </c>
      <c r="AW32" s="381">
        <v>6848</v>
      </c>
      <c r="AX32" s="381">
        <v>2251</v>
      </c>
      <c r="AY32" s="381">
        <v>11342</v>
      </c>
      <c r="AZ32" s="381">
        <v>3162</v>
      </c>
      <c r="BA32" s="381">
        <v>5500</v>
      </c>
      <c r="BB32" s="381">
        <v>5500</v>
      </c>
      <c r="BC32" s="381">
        <v>17000</v>
      </c>
      <c r="BD32" s="381">
        <v>9731</v>
      </c>
      <c r="BE32" s="381">
        <v>3750</v>
      </c>
      <c r="BF32" s="381">
        <v>37337</v>
      </c>
      <c r="BG32" s="381">
        <v>7350</v>
      </c>
      <c r="BH32" s="381">
        <v>0</v>
      </c>
      <c r="BI32" s="381">
        <v>6500</v>
      </c>
      <c r="BJ32" s="381">
        <v>8500</v>
      </c>
      <c r="BK32" s="381">
        <v>2000</v>
      </c>
      <c r="BL32" s="381">
        <v>500</v>
      </c>
      <c r="BM32" s="381">
        <v>3697</v>
      </c>
      <c r="BN32" s="381">
        <v>0</v>
      </c>
      <c r="BO32" s="381">
        <v>5170</v>
      </c>
      <c r="BP32" s="381">
        <v>6153</v>
      </c>
      <c r="BQ32" s="381">
        <v>0</v>
      </c>
      <c r="BR32" s="381">
        <v>26650</v>
      </c>
      <c r="BS32" s="381">
        <v>7500</v>
      </c>
      <c r="BT32" s="381">
        <v>24893</v>
      </c>
      <c r="BU32" s="381">
        <v>11521</v>
      </c>
      <c r="BV32" s="381">
        <v>0</v>
      </c>
      <c r="BW32" s="381">
        <v>0</v>
      </c>
      <c r="BX32" s="381">
        <v>0</v>
      </c>
      <c r="BY32" s="382">
        <v>56582</v>
      </c>
      <c r="BZ32" s="382">
        <v>1000</v>
      </c>
      <c r="CA32" s="382">
        <v>986556</v>
      </c>
      <c r="CB32" s="381"/>
      <c r="CC32" s="381">
        <v>5305</v>
      </c>
      <c r="CD32" s="381">
        <v>0</v>
      </c>
      <c r="CE32" s="381">
        <v>0</v>
      </c>
      <c r="CF32" s="381">
        <v>5305</v>
      </c>
      <c r="CG32" s="381"/>
      <c r="CH32" s="381">
        <v>0</v>
      </c>
      <c r="CI32" s="381">
        <v>5305</v>
      </c>
      <c r="CJ32" s="381">
        <v>0</v>
      </c>
      <c r="CK32" s="381">
        <v>0</v>
      </c>
      <c r="CL32" s="381">
        <v>0</v>
      </c>
      <c r="CM32" s="381">
        <v>0</v>
      </c>
      <c r="CN32" s="381">
        <v>4689</v>
      </c>
      <c r="CO32" s="381">
        <v>0</v>
      </c>
      <c r="CP32" s="381">
        <v>9994</v>
      </c>
      <c r="CQ32" s="381"/>
      <c r="CR32" s="381">
        <v>197123.59000000023</v>
      </c>
      <c r="CS32" s="381">
        <v>0</v>
      </c>
      <c r="CT32" s="381">
        <v>0</v>
      </c>
      <c r="CU32" s="381">
        <v>0.25</v>
      </c>
      <c r="CV32" s="381">
        <v>0</v>
      </c>
      <c r="CW32" s="381">
        <v>34087.629999999976</v>
      </c>
      <c r="CX32" s="381">
        <v>231211.4700000002</v>
      </c>
      <c r="CY32" s="381"/>
      <c r="CZ32" s="117"/>
      <c r="DA32" s="384"/>
      <c r="DB32" s="117"/>
      <c r="DC32" s="384"/>
      <c r="DD32" s="385"/>
      <c r="DE32" s="117"/>
      <c r="DF32" s="117"/>
      <c r="DG32" s="381"/>
      <c r="DH32" s="386"/>
      <c r="DI32" s="387"/>
      <c r="DJ32" s="381"/>
      <c r="DK32" s="381">
        <v>296077.2200000002</v>
      </c>
      <c r="DL32" s="381">
        <v>4689.25</v>
      </c>
      <c r="DM32" s="381">
        <v>300766.4700000002</v>
      </c>
      <c r="DN32" s="381">
        <v>231211.2200000002</v>
      </c>
      <c r="DO32" s="381">
        <v>0.25</v>
      </c>
      <c r="DP32" s="381">
        <v>231211.4700000002</v>
      </c>
      <c r="DQ32" s="383"/>
      <c r="DR32" s="381"/>
      <c r="DS32" s="388"/>
      <c r="DT32" s="388"/>
    </row>
    <row r="33" spans="1:124" ht="14.25">
      <c r="A33" s="380">
        <v>920</v>
      </c>
      <c r="B33" s="391">
        <v>9163365</v>
      </c>
      <c r="C33" s="68">
        <v>3365</v>
      </c>
      <c r="D33" s="120"/>
      <c r="E33" s="120" t="s">
        <v>732</v>
      </c>
      <c r="F33" s="120"/>
      <c r="G33" s="120"/>
      <c r="H33" s="68"/>
      <c r="I33" s="381">
        <v>156896.69000000041</v>
      </c>
      <c r="J33" s="381">
        <v>2468</v>
      </c>
      <c r="K33" s="381">
        <v>0</v>
      </c>
      <c r="L33" s="381">
        <v>0</v>
      </c>
      <c r="M33" s="381">
        <v>0</v>
      </c>
      <c r="N33" s="381">
        <v>0</v>
      </c>
      <c r="O33" s="381">
        <v>159364.69000000041</v>
      </c>
      <c r="P33" s="381"/>
      <c r="Q33" s="381">
        <v>986421</v>
      </c>
      <c r="R33" s="381">
        <v>0</v>
      </c>
      <c r="S33" s="381">
        <v>69496</v>
      </c>
      <c r="T33" s="381">
        <v>0</v>
      </c>
      <c r="U33" s="381">
        <v>54740</v>
      </c>
      <c r="V33" s="381">
        <v>36427</v>
      </c>
      <c r="W33" s="381">
        <v>0</v>
      </c>
      <c r="X33" s="381">
        <v>0</v>
      </c>
      <c r="Y33" s="381">
        <v>500</v>
      </c>
      <c r="Z33" s="381">
        <v>20000</v>
      </c>
      <c r="AA33" s="381">
        <v>0</v>
      </c>
      <c r="AB33" s="381">
        <v>0</v>
      </c>
      <c r="AC33" s="381">
        <v>15000</v>
      </c>
      <c r="AD33" s="381">
        <v>0</v>
      </c>
      <c r="AE33" s="381">
        <v>0</v>
      </c>
      <c r="AF33" s="381">
        <v>0</v>
      </c>
      <c r="AG33" s="381">
        <v>0</v>
      </c>
      <c r="AH33" s="381">
        <v>0</v>
      </c>
      <c r="AI33" s="381">
        <v>0</v>
      </c>
      <c r="AJ33" s="381">
        <v>0</v>
      </c>
      <c r="AK33" s="381">
        <v>0</v>
      </c>
      <c r="AL33" s="381">
        <v>1182584</v>
      </c>
      <c r="AM33" s="381"/>
      <c r="AN33" s="381">
        <v>628252</v>
      </c>
      <c r="AO33" s="381">
        <v>27554</v>
      </c>
      <c r="AP33" s="381">
        <v>267031</v>
      </c>
      <c r="AQ33" s="381">
        <v>45054</v>
      </c>
      <c r="AR33" s="381">
        <v>65707</v>
      </c>
      <c r="AS33" s="381">
        <v>43649</v>
      </c>
      <c r="AT33" s="381">
        <v>37743</v>
      </c>
      <c r="AU33" s="381">
        <v>0</v>
      </c>
      <c r="AV33" s="381">
        <v>2901</v>
      </c>
      <c r="AW33" s="381">
        <v>4420</v>
      </c>
      <c r="AX33" s="381">
        <v>0</v>
      </c>
      <c r="AY33" s="381">
        <v>20000</v>
      </c>
      <c r="AZ33" s="381">
        <v>2096</v>
      </c>
      <c r="BA33" s="381">
        <v>3000</v>
      </c>
      <c r="BB33" s="381">
        <v>5300</v>
      </c>
      <c r="BC33" s="381">
        <v>22140</v>
      </c>
      <c r="BD33" s="381">
        <v>6191</v>
      </c>
      <c r="BE33" s="381">
        <v>2198</v>
      </c>
      <c r="BF33" s="381">
        <v>43771</v>
      </c>
      <c r="BG33" s="381">
        <v>2395</v>
      </c>
      <c r="BH33" s="381">
        <v>0</v>
      </c>
      <c r="BI33" s="381">
        <v>7985</v>
      </c>
      <c r="BJ33" s="381">
        <v>4074</v>
      </c>
      <c r="BK33" s="381">
        <v>0</v>
      </c>
      <c r="BL33" s="381">
        <v>0</v>
      </c>
      <c r="BM33" s="381">
        <v>9302</v>
      </c>
      <c r="BN33" s="381">
        <v>0</v>
      </c>
      <c r="BO33" s="381">
        <v>1820</v>
      </c>
      <c r="BP33" s="381">
        <v>9284</v>
      </c>
      <c r="BQ33" s="381">
        <v>0</v>
      </c>
      <c r="BR33" s="381">
        <v>16410</v>
      </c>
      <c r="BS33" s="381">
        <v>0</v>
      </c>
      <c r="BT33" s="381">
        <v>16287</v>
      </c>
      <c r="BU33" s="381">
        <v>16032</v>
      </c>
      <c r="BV33" s="381">
        <v>0</v>
      </c>
      <c r="BW33" s="381">
        <v>0</v>
      </c>
      <c r="BX33" s="381">
        <v>0</v>
      </c>
      <c r="BY33" s="382">
        <v>0</v>
      </c>
      <c r="BZ33" s="382">
        <v>0</v>
      </c>
      <c r="CA33" s="382">
        <v>1310596</v>
      </c>
      <c r="CB33" s="381"/>
      <c r="CC33" s="381">
        <v>0</v>
      </c>
      <c r="CD33" s="381">
        <v>0</v>
      </c>
      <c r="CE33" s="381">
        <v>0</v>
      </c>
      <c r="CF33" s="381">
        <v>0</v>
      </c>
      <c r="CG33" s="381"/>
      <c r="CH33" s="381">
        <v>0</v>
      </c>
      <c r="CI33" s="381">
        <v>0</v>
      </c>
      <c r="CJ33" s="381">
        <v>0</v>
      </c>
      <c r="CK33" s="381">
        <v>0</v>
      </c>
      <c r="CL33" s="381">
        <v>0</v>
      </c>
      <c r="CM33" s="381">
        <v>0</v>
      </c>
      <c r="CN33" s="381">
        <v>0</v>
      </c>
      <c r="CO33" s="381">
        <v>0</v>
      </c>
      <c r="CP33" s="381">
        <v>0</v>
      </c>
      <c r="CQ33" s="381"/>
      <c r="CR33" s="381">
        <v>31352.69000000041</v>
      </c>
      <c r="CS33" s="381">
        <v>0</v>
      </c>
      <c r="CT33" s="381">
        <v>0</v>
      </c>
      <c r="CU33" s="381">
        <v>0</v>
      </c>
      <c r="CV33" s="381">
        <v>0</v>
      </c>
      <c r="CW33" s="381">
        <v>0</v>
      </c>
      <c r="CX33" s="381">
        <v>31352.69000000041</v>
      </c>
      <c r="CY33" s="381"/>
      <c r="CZ33" s="117"/>
      <c r="DA33" s="384"/>
      <c r="DB33" s="117"/>
      <c r="DC33" s="384"/>
      <c r="DD33" s="385"/>
      <c r="DE33" s="117"/>
      <c r="DF33" s="117"/>
      <c r="DG33" s="381"/>
      <c r="DH33" s="386"/>
      <c r="DI33" s="387"/>
      <c r="DJ33" s="381"/>
      <c r="DK33" s="381">
        <v>159364.69000000041</v>
      </c>
      <c r="DL33" s="381">
        <v>0</v>
      </c>
      <c r="DM33" s="381">
        <v>159364.69000000041</v>
      </c>
      <c r="DN33" s="381">
        <v>31352.69000000041</v>
      </c>
      <c r="DO33" s="381">
        <v>0</v>
      </c>
      <c r="DP33" s="381">
        <v>31352.69000000041</v>
      </c>
      <c r="DQ33" s="383"/>
      <c r="DR33" s="381"/>
      <c r="DS33" s="388"/>
      <c r="DT33" s="388"/>
    </row>
    <row r="34" spans="1:124" ht="15">
      <c r="A34" s="380">
        <v>838</v>
      </c>
      <c r="B34" s="391">
        <v>9163350</v>
      </c>
      <c r="C34" s="68">
        <v>3350</v>
      </c>
      <c r="D34" s="120"/>
      <c r="E34" s="120" t="s">
        <v>209</v>
      </c>
      <c r="F34" s="120"/>
      <c r="G34" s="120"/>
      <c r="H34" s="68"/>
      <c r="I34" s="381">
        <v>156708.3300000001</v>
      </c>
      <c r="J34" s="381">
        <v>3266.6400000000012</v>
      </c>
      <c r="K34" s="381">
        <v>0</v>
      </c>
      <c r="L34" s="381">
        <v>0</v>
      </c>
      <c r="M34" s="381">
        <v>0</v>
      </c>
      <c r="N34" s="381">
        <v>-3462.0299999999952</v>
      </c>
      <c r="O34" s="381">
        <v>156512.94000000012</v>
      </c>
      <c r="P34" s="389"/>
      <c r="Q34" s="381">
        <v>452571</v>
      </c>
      <c r="R34" s="381">
        <v>0</v>
      </c>
      <c r="S34" s="381">
        <v>27032</v>
      </c>
      <c r="T34" s="381">
        <v>0</v>
      </c>
      <c r="U34" s="381">
        <v>4895</v>
      </c>
      <c r="V34" s="381">
        <v>23950</v>
      </c>
      <c r="W34" s="381">
        <v>0</v>
      </c>
      <c r="X34" s="381">
        <v>0</v>
      </c>
      <c r="Y34" s="381">
        <v>4000</v>
      </c>
      <c r="Z34" s="381">
        <v>0</v>
      </c>
      <c r="AA34" s="381">
        <v>1485</v>
      </c>
      <c r="AB34" s="381">
        <v>0</v>
      </c>
      <c r="AC34" s="381">
        <v>0</v>
      </c>
      <c r="AD34" s="381">
        <v>0</v>
      </c>
      <c r="AE34" s="381">
        <v>0</v>
      </c>
      <c r="AF34" s="381">
        <v>23500</v>
      </c>
      <c r="AG34" s="381">
        <v>2700</v>
      </c>
      <c r="AH34" s="381">
        <v>0</v>
      </c>
      <c r="AI34" s="381">
        <v>0</v>
      </c>
      <c r="AJ34" s="381">
        <v>0</v>
      </c>
      <c r="AK34" s="381">
        <v>0</v>
      </c>
      <c r="AL34" s="381">
        <v>540133</v>
      </c>
      <c r="AM34" s="389"/>
      <c r="AN34" s="381">
        <v>352437</v>
      </c>
      <c r="AO34" s="381">
        <v>12000</v>
      </c>
      <c r="AP34" s="381">
        <v>89115</v>
      </c>
      <c r="AQ34" s="381">
        <v>1157</v>
      </c>
      <c r="AR34" s="381">
        <v>37980</v>
      </c>
      <c r="AS34" s="381">
        <v>0</v>
      </c>
      <c r="AT34" s="381">
        <v>5370</v>
      </c>
      <c r="AU34" s="381">
        <v>350</v>
      </c>
      <c r="AV34" s="381">
        <v>3750</v>
      </c>
      <c r="AW34" s="381">
        <v>4671</v>
      </c>
      <c r="AX34" s="381">
        <v>0</v>
      </c>
      <c r="AY34" s="381">
        <v>10000</v>
      </c>
      <c r="AZ34" s="381">
        <v>3897</v>
      </c>
      <c r="BA34" s="381">
        <v>900</v>
      </c>
      <c r="BB34" s="381">
        <v>850</v>
      </c>
      <c r="BC34" s="381">
        <v>20000</v>
      </c>
      <c r="BD34" s="381">
        <v>2295</v>
      </c>
      <c r="BE34" s="381">
        <v>12850</v>
      </c>
      <c r="BF34" s="381">
        <v>31030</v>
      </c>
      <c r="BG34" s="381">
        <v>2750</v>
      </c>
      <c r="BH34" s="381">
        <v>0</v>
      </c>
      <c r="BI34" s="381">
        <v>0</v>
      </c>
      <c r="BJ34" s="381">
        <v>1000</v>
      </c>
      <c r="BK34" s="381">
        <v>0</v>
      </c>
      <c r="BL34" s="381">
        <v>0</v>
      </c>
      <c r="BM34" s="381">
        <v>3205</v>
      </c>
      <c r="BN34" s="381">
        <v>0</v>
      </c>
      <c r="BO34" s="381">
        <v>2175</v>
      </c>
      <c r="BP34" s="381">
        <v>2861</v>
      </c>
      <c r="BQ34" s="381">
        <v>0</v>
      </c>
      <c r="BR34" s="381">
        <v>9550</v>
      </c>
      <c r="BS34" s="381">
        <v>3000</v>
      </c>
      <c r="BT34" s="381">
        <v>21918</v>
      </c>
      <c r="BU34" s="381">
        <v>12777</v>
      </c>
      <c r="BV34" s="381">
        <v>0</v>
      </c>
      <c r="BW34" s="381">
        <v>0</v>
      </c>
      <c r="BX34" s="381">
        <v>3000</v>
      </c>
      <c r="BY34" s="382">
        <v>26092</v>
      </c>
      <c r="BZ34" s="382">
        <v>0</v>
      </c>
      <c r="CA34" s="382">
        <v>676980</v>
      </c>
      <c r="CB34" s="389"/>
      <c r="CC34" s="381">
        <v>0</v>
      </c>
      <c r="CD34" s="381">
        <v>0</v>
      </c>
      <c r="CE34" s="381">
        <v>0</v>
      </c>
      <c r="CF34" s="381">
        <v>0</v>
      </c>
      <c r="CG34" s="389"/>
      <c r="CH34" s="381">
        <v>0</v>
      </c>
      <c r="CI34" s="381">
        <v>0</v>
      </c>
      <c r="CJ34" s="381">
        <v>0</v>
      </c>
      <c r="CK34" s="381">
        <v>0</v>
      </c>
      <c r="CL34" s="381">
        <v>0</v>
      </c>
      <c r="CM34" s="381">
        <v>0</v>
      </c>
      <c r="CN34" s="381">
        <v>0</v>
      </c>
      <c r="CO34" s="381">
        <v>0</v>
      </c>
      <c r="CP34" s="381">
        <v>0</v>
      </c>
      <c r="CQ34" s="390"/>
      <c r="CR34" s="381">
        <v>23019.970000000114</v>
      </c>
      <c r="CS34" s="381">
        <v>0</v>
      </c>
      <c r="CT34" s="381">
        <v>0</v>
      </c>
      <c r="CU34" s="381">
        <v>0</v>
      </c>
      <c r="CV34" s="381">
        <v>0</v>
      </c>
      <c r="CW34" s="381">
        <v>-3354.0299999999952</v>
      </c>
      <c r="CX34" s="381">
        <v>19665.940000000119</v>
      </c>
      <c r="CY34" s="381"/>
      <c r="CZ34" s="117"/>
      <c r="DA34" s="384"/>
      <c r="DB34" s="117"/>
      <c r="DC34" s="384"/>
      <c r="DD34" s="385"/>
      <c r="DE34" s="117"/>
      <c r="DF34" s="117"/>
      <c r="DG34" s="381"/>
      <c r="DH34" s="386"/>
      <c r="DI34" s="387"/>
      <c r="DJ34" s="381"/>
      <c r="DK34" s="381">
        <v>156512.94000000012</v>
      </c>
      <c r="DL34" s="381">
        <v>0</v>
      </c>
      <c r="DM34" s="381">
        <v>156512.94000000012</v>
      </c>
      <c r="DN34" s="381">
        <v>19665.940000000119</v>
      </c>
      <c r="DO34" s="381">
        <v>0</v>
      </c>
      <c r="DP34" s="381">
        <v>19665.940000000119</v>
      </c>
      <c r="DQ34" s="383"/>
      <c r="DR34" s="381"/>
      <c r="DS34" s="388"/>
      <c r="DT34" s="388"/>
    </row>
    <row r="35" spans="1:124" ht="14.25">
      <c r="A35" s="380">
        <v>657</v>
      </c>
      <c r="B35" s="391">
        <v>9162070</v>
      </c>
      <c r="C35" s="68">
        <v>2070</v>
      </c>
      <c r="D35" s="120"/>
      <c r="E35" s="120" t="s">
        <v>742</v>
      </c>
      <c r="F35" s="120"/>
      <c r="G35" s="120"/>
      <c r="H35" s="68"/>
      <c r="I35" s="381">
        <v>109689.46999999981</v>
      </c>
      <c r="J35" s="381">
        <v>12157.300000000003</v>
      </c>
      <c r="K35" s="381">
        <v>0</v>
      </c>
      <c r="L35" s="381">
        <v>7321.0700000000006</v>
      </c>
      <c r="M35" s="381">
        <v>0</v>
      </c>
      <c r="N35" s="381">
        <v>18167.819999999978</v>
      </c>
      <c r="O35" s="381">
        <v>147335.6599999998</v>
      </c>
      <c r="P35" s="381"/>
      <c r="Q35" s="381">
        <v>1421873</v>
      </c>
      <c r="R35" s="381">
        <v>0</v>
      </c>
      <c r="S35" s="381">
        <v>156695</v>
      </c>
      <c r="T35" s="381">
        <v>0</v>
      </c>
      <c r="U35" s="381">
        <v>50240</v>
      </c>
      <c r="V35" s="381">
        <v>54545</v>
      </c>
      <c r="W35" s="381">
        <v>14043</v>
      </c>
      <c r="X35" s="381">
        <v>1580</v>
      </c>
      <c r="Y35" s="381">
        <v>45000</v>
      </c>
      <c r="Z35" s="381">
        <v>0</v>
      </c>
      <c r="AA35" s="381">
        <v>3500</v>
      </c>
      <c r="AB35" s="381">
        <v>0</v>
      </c>
      <c r="AC35" s="381">
        <v>27500</v>
      </c>
      <c r="AD35" s="381">
        <v>1000</v>
      </c>
      <c r="AE35" s="381">
        <v>0</v>
      </c>
      <c r="AF35" s="381">
        <v>86000</v>
      </c>
      <c r="AG35" s="381">
        <v>5000</v>
      </c>
      <c r="AH35" s="381">
        <v>0</v>
      </c>
      <c r="AI35" s="381">
        <v>0</v>
      </c>
      <c r="AJ35" s="381">
        <v>0</v>
      </c>
      <c r="AK35" s="381">
        <v>0</v>
      </c>
      <c r="AL35" s="381">
        <v>1866976</v>
      </c>
      <c r="AM35" s="381"/>
      <c r="AN35" s="381">
        <v>871986</v>
      </c>
      <c r="AO35" s="381">
        <v>500</v>
      </c>
      <c r="AP35" s="381">
        <v>324380</v>
      </c>
      <c r="AQ35" s="381">
        <v>11172</v>
      </c>
      <c r="AR35" s="381">
        <v>97125</v>
      </c>
      <c r="AS35" s="381">
        <v>0</v>
      </c>
      <c r="AT35" s="381">
        <v>94753</v>
      </c>
      <c r="AU35" s="381">
        <v>7326</v>
      </c>
      <c r="AV35" s="381">
        <v>12804</v>
      </c>
      <c r="AW35" s="381">
        <v>14297</v>
      </c>
      <c r="AX35" s="381">
        <v>0</v>
      </c>
      <c r="AY35" s="381">
        <v>25849</v>
      </c>
      <c r="AZ35" s="381">
        <v>7019</v>
      </c>
      <c r="BA35" s="381">
        <v>47133</v>
      </c>
      <c r="BB35" s="381">
        <v>4456</v>
      </c>
      <c r="BC35" s="381">
        <v>33863</v>
      </c>
      <c r="BD35" s="381">
        <v>54721</v>
      </c>
      <c r="BE35" s="381">
        <v>6479</v>
      </c>
      <c r="BF35" s="381">
        <v>117732</v>
      </c>
      <c r="BG35" s="381">
        <v>5074</v>
      </c>
      <c r="BH35" s="381">
        <v>0</v>
      </c>
      <c r="BI35" s="381">
        <v>10483</v>
      </c>
      <c r="BJ35" s="381">
        <v>8117</v>
      </c>
      <c r="BK35" s="381">
        <v>500</v>
      </c>
      <c r="BL35" s="381">
        <v>0</v>
      </c>
      <c r="BM35" s="381">
        <v>8736</v>
      </c>
      <c r="BN35" s="381">
        <v>0</v>
      </c>
      <c r="BO35" s="381">
        <v>8592</v>
      </c>
      <c r="BP35" s="381">
        <v>7897</v>
      </c>
      <c r="BQ35" s="381">
        <v>0</v>
      </c>
      <c r="BR35" s="381">
        <v>61330</v>
      </c>
      <c r="BS35" s="381">
        <v>4500</v>
      </c>
      <c r="BT35" s="381">
        <v>18959</v>
      </c>
      <c r="BU35" s="381">
        <v>25633</v>
      </c>
      <c r="BV35" s="381">
        <v>0</v>
      </c>
      <c r="BW35" s="381">
        <v>0</v>
      </c>
      <c r="BX35" s="381">
        <v>0</v>
      </c>
      <c r="BY35" s="382">
        <v>91854</v>
      </c>
      <c r="BZ35" s="382">
        <v>4500</v>
      </c>
      <c r="CA35" s="382">
        <v>1987770</v>
      </c>
      <c r="CB35" s="381"/>
      <c r="CC35" s="381">
        <v>6858</v>
      </c>
      <c r="CD35" s="381">
        <v>0</v>
      </c>
      <c r="CE35" s="381">
        <v>0</v>
      </c>
      <c r="CF35" s="381">
        <v>6858</v>
      </c>
      <c r="CG35" s="381"/>
      <c r="CH35" s="381">
        <v>0</v>
      </c>
      <c r="CI35" s="381">
        <v>14179</v>
      </c>
      <c r="CJ35" s="381">
        <v>0</v>
      </c>
      <c r="CK35" s="381">
        <v>0</v>
      </c>
      <c r="CL35" s="381">
        <v>0</v>
      </c>
      <c r="CM35" s="381">
        <v>0</v>
      </c>
      <c r="CN35" s="381">
        <v>0</v>
      </c>
      <c r="CO35" s="381">
        <v>0</v>
      </c>
      <c r="CP35" s="381">
        <v>14179</v>
      </c>
      <c r="CQ35" s="381"/>
      <c r="CR35" s="381">
        <v>6406.7699999998149</v>
      </c>
      <c r="CS35" s="381">
        <v>0</v>
      </c>
      <c r="CT35" s="381">
        <v>0</v>
      </c>
      <c r="CU35" s="381">
        <v>7.0000000000618456E-2</v>
      </c>
      <c r="CV35" s="381">
        <v>0</v>
      </c>
      <c r="CW35" s="381">
        <v>12813.819999999978</v>
      </c>
      <c r="CX35" s="381">
        <v>19220.659999999792</v>
      </c>
      <c r="CY35" s="381"/>
      <c r="CZ35" s="117"/>
      <c r="DA35" s="384"/>
      <c r="DB35" s="117"/>
      <c r="DC35" s="384"/>
      <c r="DD35" s="385"/>
      <c r="DE35" s="117"/>
      <c r="DF35" s="117"/>
      <c r="DG35" s="381"/>
      <c r="DH35" s="386"/>
      <c r="DI35" s="387"/>
      <c r="DJ35" s="381"/>
      <c r="DK35" s="381">
        <v>140014.58999999979</v>
      </c>
      <c r="DL35" s="381">
        <v>7321.0700000000006</v>
      </c>
      <c r="DM35" s="381">
        <v>147335.6599999998</v>
      </c>
      <c r="DN35" s="381">
        <v>19220.589999999793</v>
      </c>
      <c r="DO35" s="381">
        <v>7.0000000000618456E-2</v>
      </c>
      <c r="DP35" s="381">
        <v>19220.659999999792</v>
      </c>
      <c r="DQ35" s="383"/>
      <c r="DR35" s="381"/>
      <c r="DS35" s="388"/>
      <c r="DT35" s="388"/>
    </row>
    <row r="36" spans="1:124" ht="14.25">
      <c r="A36" s="380">
        <v>765</v>
      </c>
      <c r="B36" s="391">
        <v>9163065</v>
      </c>
      <c r="C36" s="68">
        <v>3065</v>
      </c>
      <c r="D36" s="120"/>
      <c r="E36" s="120" t="s">
        <v>236</v>
      </c>
      <c r="F36" s="120"/>
      <c r="G36" s="120"/>
      <c r="H36" s="68"/>
      <c r="I36" s="381">
        <v>71355.860000000044</v>
      </c>
      <c r="J36" s="381">
        <v>52383.19</v>
      </c>
      <c r="K36" s="381">
        <v>0</v>
      </c>
      <c r="L36" s="381">
        <v>25.779999999998836</v>
      </c>
      <c r="M36" s="381">
        <v>26302</v>
      </c>
      <c r="N36" s="381">
        <v>0</v>
      </c>
      <c r="O36" s="381">
        <v>150066.83000000005</v>
      </c>
      <c r="P36" s="381"/>
      <c r="Q36" s="381">
        <v>587426</v>
      </c>
      <c r="R36" s="381">
        <v>0</v>
      </c>
      <c r="S36" s="381">
        <v>79671</v>
      </c>
      <c r="T36" s="381">
        <v>0</v>
      </c>
      <c r="U36" s="381">
        <v>24590</v>
      </c>
      <c r="V36" s="381">
        <v>30439</v>
      </c>
      <c r="W36" s="381">
        <v>0</v>
      </c>
      <c r="X36" s="381">
        <v>386</v>
      </c>
      <c r="Y36" s="381">
        <v>6800</v>
      </c>
      <c r="Z36" s="381">
        <v>0</v>
      </c>
      <c r="AA36" s="381">
        <v>0</v>
      </c>
      <c r="AB36" s="381">
        <v>0</v>
      </c>
      <c r="AC36" s="381">
        <v>0</v>
      </c>
      <c r="AD36" s="381">
        <v>772</v>
      </c>
      <c r="AE36" s="381">
        <v>0</v>
      </c>
      <c r="AF36" s="381">
        <v>0</v>
      </c>
      <c r="AG36" s="381">
        <v>0</v>
      </c>
      <c r="AH36" s="381">
        <v>0</v>
      </c>
      <c r="AI36" s="381">
        <v>0</v>
      </c>
      <c r="AJ36" s="381">
        <v>0</v>
      </c>
      <c r="AK36" s="381">
        <v>0</v>
      </c>
      <c r="AL36" s="381">
        <v>730084</v>
      </c>
      <c r="AM36" s="381"/>
      <c r="AN36" s="381">
        <v>360395</v>
      </c>
      <c r="AO36" s="381">
        <v>10500</v>
      </c>
      <c r="AP36" s="381">
        <v>155600</v>
      </c>
      <c r="AQ36" s="381">
        <v>7016</v>
      </c>
      <c r="AR36" s="381">
        <v>51138</v>
      </c>
      <c r="AS36" s="381">
        <v>0</v>
      </c>
      <c r="AT36" s="381">
        <v>54583</v>
      </c>
      <c r="AU36" s="381">
        <v>3300</v>
      </c>
      <c r="AV36" s="381">
        <v>2200</v>
      </c>
      <c r="AW36" s="381">
        <v>4214</v>
      </c>
      <c r="AX36" s="381">
        <v>0</v>
      </c>
      <c r="AY36" s="381">
        <v>12657</v>
      </c>
      <c r="AZ36" s="381">
        <v>4160</v>
      </c>
      <c r="BA36" s="381">
        <v>16016</v>
      </c>
      <c r="BB36" s="381">
        <v>4000</v>
      </c>
      <c r="BC36" s="381">
        <v>25000</v>
      </c>
      <c r="BD36" s="381">
        <v>8857</v>
      </c>
      <c r="BE36" s="381">
        <v>1800</v>
      </c>
      <c r="BF36" s="381">
        <v>24646</v>
      </c>
      <c r="BG36" s="381">
        <v>5500</v>
      </c>
      <c r="BH36" s="381">
        <v>0</v>
      </c>
      <c r="BI36" s="381">
        <v>0</v>
      </c>
      <c r="BJ36" s="381">
        <v>3620</v>
      </c>
      <c r="BK36" s="381">
        <v>0</v>
      </c>
      <c r="BL36" s="381">
        <v>0</v>
      </c>
      <c r="BM36" s="381">
        <v>3290</v>
      </c>
      <c r="BN36" s="381">
        <v>0</v>
      </c>
      <c r="BO36" s="381">
        <v>3900</v>
      </c>
      <c r="BP36" s="381">
        <v>3778</v>
      </c>
      <c r="BQ36" s="381">
        <v>0</v>
      </c>
      <c r="BR36" s="381">
        <v>22729</v>
      </c>
      <c r="BS36" s="381">
        <v>4450</v>
      </c>
      <c r="BT36" s="381">
        <v>11657</v>
      </c>
      <c r="BU36" s="381">
        <v>16696</v>
      </c>
      <c r="BV36" s="381">
        <v>0</v>
      </c>
      <c r="BW36" s="381">
        <v>0</v>
      </c>
      <c r="BX36" s="381">
        <v>0</v>
      </c>
      <c r="BY36" s="382">
        <v>0</v>
      </c>
      <c r="BZ36" s="382">
        <v>0</v>
      </c>
      <c r="CA36" s="382">
        <v>821702</v>
      </c>
      <c r="CB36" s="381"/>
      <c r="CC36" s="381">
        <v>4979</v>
      </c>
      <c r="CD36" s="381">
        <v>0</v>
      </c>
      <c r="CE36" s="381">
        <v>0</v>
      </c>
      <c r="CF36" s="381">
        <v>4979</v>
      </c>
      <c r="CG36" s="381"/>
      <c r="CH36" s="381">
        <v>0</v>
      </c>
      <c r="CI36" s="381">
        <v>31307</v>
      </c>
      <c r="CJ36" s="381">
        <v>0</v>
      </c>
      <c r="CK36" s="381">
        <v>0</v>
      </c>
      <c r="CL36" s="381">
        <v>0</v>
      </c>
      <c r="CM36" s="381">
        <v>0</v>
      </c>
      <c r="CN36" s="381">
        <v>0</v>
      </c>
      <c r="CO36" s="381">
        <v>0</v>
      </c>
      <c r="CP36" s="381">
        <v>31307</v>
      </c>
      <c r="CQ36" s="381"/>
      <c r="CR36" s="381">
        <v>32121.050000000047</v>
      </c>
      <c r="CS36" s="381">
        <v>0</v>
      </c>
      <c r="CT36" s="381">
        <v>0</v>
      </c>
      <c r="CU36" s="381">
        <v>-0.22000000000116415</v>
      </c>
      <c r="CV36" s="381">
        <v>0</v>
      </c>
      <c r="CW36" s="381">
        <v>0</v>
      </c>
      <c r="CX36" s="381">
        <v>32120.830000000045</v>
      </c>
      <c r="CY36" s="381"/>
      <c r="CZ36" s="117"/>
      <c r="DA36" s="384"/>
      <c r="DB36" s="117"/>
      <c r="DC36" s="384"/>
      <c r="DD36" s="385"/>
      <c r="DE36" s="117"/>
      <c r="DF36" s="117"/>
      <c r="DG36" s="381"/>
      <c r="DH36" s="386"/>
      <c r="DI36" s="387"/>
      <c r="DJ36" s="381"/>
      <c r="DK36" s="381">
        <v>123739.05000000005</v>
      </c>
      <c r="DL36" s="381">
        <v>26327.78</v>
      </c>
      <c r="DM36" s="381">
        <v>150066.83000000005</v>
      </c>
      <c r="DN36" s="381">
        <v>32121.050000000047</v>
      </c>
      <c r="DO36" s="381">
        <v>-0.22000000000116415</v>
      </c>
      <c r="DP36" s="381">
        <v>32120.830000000045</v>
      </c>
      <c r="DQ36" s="383"/>
      <c r="DR36" s="381"/>
      <c r="DS36" s="388"/>
      <c r="DT36" s="388"/>
    </row>
    <row r="37" spans="1:124" ht="15">
      <c r="A37" s="380">
        <v>893</v>
      </c>
      <c r="B37" s="391">
        <v>9163094</v>
      </c>
      <c r="C37" s="68">
        <v>3094</v>
      </c>
      <c r="D37" s="120"/>
      <c r="E37" s="120" t="s">
        <v>731</v>
      </c>
      <c r="F37" s="120"/>
      <c r="G37" s="120"/>
      <c r="H37" s="68"/>
      <c r="I37" s="381">
        <v>719687.5999999973</v>
      </c>
      <c r="J37" s="381">
        <v>24124.02</v>
      </c>
      <c r="K37" s="381">
        <v>0</v>
      </c>
      <c r="L37" s="381">
        <v>8252.4699999999939</v>
      </c>
      <c r="M37" s="381">
        <v>0</v>
      </c>
      <c r="N37" s="381">
        <v>0</v>
      </c>
      <c r="O37" s="381">
        <v>752064.08999999729</v>
      </c>
      <c r="P37" s="389"/>
      <c r="Q37" s="381">
        <v>3169029</v>
      </c>
      <c r="R37" s="381">
        <v>0</v>
      </c>
      <c r="S37" s="381">
        <v>55772</v>
      </c>
      <c r="T37" s="381">
        <v>0</v>
      </c>
      <c r="U37" s="381">
        <v>19695</v>
      </c>
      <c r="V37" s="381">
        <v>133794</v>
      </c>
      <c r="W37" s="381">
        <v>52624</v>
      </c>
      <c r="X37" s="381">
        <v>10400</v>
      </c>
      <c r="Y37" s="381">
        <v>1070</v>
      </c>
      <c r="Z37" s="381">
        <v>0</v>
      </c>
      <c r="AA37" s="381">
        <v>7200</v>
      </c>
      <c r="AB37" s="381">
        <v>0</v>
      </c>
      <c r="AC37" s="381">
        <v>61914</v>
      </c>
      <c r="AD37" s="381">
        <v>0</v>
      </c>
      <c r="AE37" s="381">
        <v>0</v>
      </c>
      <c r="AF37" s="381">
        <v>0</v>
      </c>
      <c r="AG37" s="381">
        <v>0</v>
      </c>
      <c r="AH37" s="381">
        <v>0</v>
      </c>
      <c r="AI37" s="381">
        <v>0</v>
      </c>
      <c r="AJ37" s="381">
        <v>0</v>
      </c>
      <c r="AK37" s="381">
        <v>0</v>
      </c>
      <c r="AL37" s="381">
        <v>3511498</v>
      </c>
      <c r="AM37" s="389"/>
      <c r="AN37" s="381">
        <v>2030673</v>
      </c>
      <c r="AO37" s="381">
        <v>50000</v>
      </c>
      <c r="AP37" s="381">
        <v>465791</v>
      </c>
      <c r="AQ37" s="381">
        <v>31316</v>
      </c>
      <c r="AR37" s="381">
        <v>133845</v>
      </c>
      <c r="AS37" s="381">
        <v>0</v>
      </c>
      <c r="AT37" s="381">
        <v>48890</v>
      </c>
      <c r="AU37" s="381">
        <v>19502</v>
      </c>
      <c r="AV37" s="381">
        <v>12202</v>
      </c>
      <c r="AW37" s="381">
        <v>25021</v>
      </c>
      <c r="AX37" s="381">
        <v>0</v>
      </c>
      <c r="AY37" s="381">
        <v>141416</v>
      </c>
      <c r="AZ37" s="381">
        <v>55683</v>
      </c>
      <c r="BA37" s="381">
        <v>65251</v>
      </c>
      <c r="BB37" s="381">
        <v>5500</v>
      </c>
      <c r="BC37" s="381">
        <v>54000</v>
      </c>
      <c r="BD37" s="381">
        <v>62244</v>
      </c>
      <c r="BE37" s="381">
        <v>6000</v>
      </c>
      <c r="BF37" s="381">
        <v>154533</v>
      </c>
      <c r="BG37" s="381">
        <v>0</v>
      </c>
      <c r="BH37" s="381">
        <v>0</v>
      </c>
      <c r="BI37" s="381">
        <v>0</v>
      </c>
      <c r="BJ37" s="381">
        <v>11000</v>
      </c>
      <c r="BK37" s="381">
        <v>0</v>
      </c>
      <c r="BL37" s="381">
        <v>0</v>
      </c>
      <c r="BM37" s="381">
        <v>11354</v>
      </c>
      <c r="BN37" s="381">
        <v>0</v>
      </c>
      <c r="BO37" s="381">
        <v>20470</v>
      </c>
      <c r="BP37" s="381">
        <v>33846</v>
      </c>
      <c r="BQ37" s="381">
        <v>0</v>
      </c>
      <c r="BR37" s="381">
        <v>122467</v>
      </c>
      <c r="BS37" s="381">
        <v>15000</v>
      </c>
      <c r="BT37" s="381">
        <v>28767</v>
      </c>
      <c r="BU37" s="381">
        <v>21814</v>
      </c>
      <c r="BV37" s="381">
        <v>0</v>
      </c>
      <c r="BW37" s="381">
        <v>0</v>
      </c>
      <c r="BX37" s="381">
        <v>0</v>
      </c>
      <c r="BY37" s="382">
        <v>0</v>
      </c>
      <c r="BZ37" s="382">
        <v>0</v>
      </c>
      <c r="CA37" s="382">
        <v>3626585</v>
      </c>
      <c r="CB37" s="389"/>
      <c r="CC37" s="381">
        <v>10728</v>
      </c>
      <c r="CD37" s="381">
        <v>0</v>
      </c>
      <c r="CE37" s="381">
        <v>0</v>
      </c>
      <c r="CF37" s="381">
        <v>10728</v>
      </c>
      <c r="CG37" s="389"/>
      <c r="CH37" s="381">
        <v>0</v>
      </c>
      <c r="CI37" s="381">
        <v>0</v>
      </c>
      <c r="CJ37" s="381">
        <v>0</v>
      </c>
      <c r="CK37" s="381">
        <v>0</v>
      </c>
      <c r="CL37" s="381">
        <v>0</v>
      </c>
      <c r="CM37" s="381">
        <v>0</v>
      </c>
      <c r="CN37" s="381">
        <v>18980</v>
      </c>
      <c r="CO37" s="381">
        <v>0</v>
      </c>
      <c r="CP37" s="381">
        <v>18980</v>
      </c>
      <c r="CQ37" s="390"/>
      <c r="CR37" s="381">
        <v>628724.61999999732</v>
      </c>
      <c r="CS37" s="381">
        <v>0</v>
      </c>
      <c r="CT37" s="381">
        <v>0</v>
      </c>
      <c r="CU37" s="381">
        <v>0.4699999999938882</v>
      </c>
      <c r="CV37" s="381">
        <v>0</v>
      </c>
      <c r="CW37" s="381">
        <v>0</v>
      </c>
      <c r="CX37" s="381">
        <v>628725.08999999729</v>
      </c>
      <c r="CY37" s="381"/>
      <c r="CZ37" s="117"/>
      <c r="DA37" s="384"/>
      <c r="DB37" s="117"/>
      <c r="DC37" s="384"/>
      <c r="DD37" s="385"/>
      <c r="DE37" s="117"/>
      <c r="DF37" s="117"/>
      <c r="DG37" s="381"/>
      <c r="DH37" s="386"/>
      <c r="DI37" s="387"/>
      <c r="DJ37" s="381"/>
      <c r="DK37" s="381">
        <v>743811.61999999732</v>
      </c>
      <c r="DL37" s="381">
        <v>8252.4699999999939</v>
      </c>
      <c r="DM37" s="381">
        <v>752064.08999999729</v>
      </c>
      <c r="DN37" s="381">
        <v>628724.61999999732</v>
      </c>
      <c r="DO37" s="381">
        <v>0.4699999999938882</v>
      </c>
      <c r="DP37" s="381">
        <v>628725.08999999729</v>
      </c>
      <c r="DQ37" s="383"/>
      <c r="DR37" s="381"/>
      <c r="DS37" s="388"/>
      <c r="DT37" s="388"/>
    </row>
    <row r="38" spans="1:124" ht="14.25">
      <c r="A38" s="380">
        <v>766</v>
      </c>
      <c r="B38" s="391">
        <v>9162064</v>
      </c>
      <c r="C38" s="68">
        <v>2064</v>
      </c>
      <c r="D38" s="120"/>
      <c r="E38" s="120" t="s">
        <v>264</v>
      </c>
      <c r="F38" s="120"/>
      <c r="G38" s="120"/>
      <c r="H38" s="68"/>
      <c r="I38" s="381">
        <v>7235.0300000000843</v>
      </c>
      <c r="J38" s="381">
        <v>185.40000000000146</v>
      </c>
      <c r="K38" s="381">
        <v>0</v>
      </c>
      <c r="L38" s="381">
        <v>8.160000000000764</v>
      </c>
      <c r="M38" s="381">
        <v>0</v>
      </c>
      <c r="N38" s="381">
        <v>-3510.4400000000023</v>
      </c>
      <c r="O38" s="381">
        <v>3918.1500000000842</v>
      </c>
      <c r="P38" s="381"/>
      <c r="Q38" s="381">
        <v>682490</v>
      </c>
      <c r="R38" s="381">
        <v>0</v>
      </c>
      <c r="S38" s="381">
        <v>23987</v>
      </c>
      <c r="T38" s="381">
        <v>0</v>
      </c>
      <c r="U38" s="381">
        <v>19645</v>
      </c>
      <c r="V38" s="381">
        <v>40705</v>
      </c>
      <c r="W38" s="381">
        <v>0</v>
      </c>
      <c r="X38" s="381">
        <v>0</v>
      </c>
      <c r="Y38" s="381">
        <v>-9650</v>
      </c>
      <c r="Z38" s="381">
        <v>0</v>
      </c>
      <c r="AA38" s="381">
        <v>17280</v>
      </c>
      <c r="AB38" s="381">
        <v>0</v>
      </c>
      <c r="AC38" s="381">
        <v>0</v>
      </c>
      <c r="AD38" s="381">
        <v>200</v>
      </c>
      <c r="AE38" s="381">
        <v>0</v>
      </c>
      <c r="AF38" s="381">
        <v>78000</v>
      </c>
      <c r="AG38" s="381">
        <v>1500</v>
      </c>
      <c r="AH38" s="381">
        <v>0</v>
      </c>
      <c r="AI38" s="381">
        <v>0</v>
      </c>
      <c r="AJ38" s="381">
        <v>0</v>
      </c>
      <c r="AK38" s="381">
        <v>0</v>
      </c>
      <c r="AL38" s="381">
        <v>854157</v>
      </c>
      <c r="AM38" s="381"/>
      <c r="AN38" s="381">
        <v>389254</v>
      </c>
      <c r="AO38" s="381">
        <v>15400</v>
      </c>
      <c r="AP38" s="381">
        <v>116632</v>
      </c>
      <c r="AQ38" s="381">
        <v>0</v>
      </c>
      <c r="AR38" s="381">
        <v>77180</v>
      </c>
      <c r="AS38" s="381">
        <v>0</v>
      </c>
      <c r="AT38" s="381">
        <v>19552</v>
      </c>
      <c r="AU38" s="381">
        <v>4400</v>
      </c>
      <c r="AV38" s="381">
        <v>2000</v>
      </c>
      <c r="AW38" s="381">
        <v>9110</v>
      </c>
      <c r="AX38" s="381">
        <v>2192</v>
      </c>
      <c r="AY38" s="381">
        <v>7311</v>
      </c>
      <c r="AZ38" s="381">
        <v>2169</v>
      </c>
      <c r="BA38" s="381">
        <v>25528</v>
      </c>
      <c r="BB38" s="381">
        <v>2750</v>
      </c>
      <c r="BC38" s="381">
        <v>16000</v>
      </c>
      <c r="BD38" s="381">
        <v>12725</v>
      </c>
      <c r="BE38" s="381">
        <v>3750</v>
      </c>
      <c r="BF38" s="381">
        <v>22691</v>
      </c>
      <c r="BG38" s="381">
        <v>4250</v>
      </c>
      <c r="BH38" s="381">
        <v>0</v>
      </c>
      <c r="BI38" s="381">
        <v>4350</v>
      </c>
      <c r="BJ38" s="381">
        <v>529</v>
      </c>
      <c r="BK38" s="381">
        <v>2000</v>
      </c>
      <c r="BL38" s="381">
        <v>0</v>
      </c>
      <c r="BM38" s="381">
        <v>3676</v>
      </c>
      <c r="BN38" s="381">
        <v>0</v>
      </c>
      <c r="BO38" s="381">
        <v>2550</v>
      </c>
      <c r="BP38" s="381">
        <v>6046</v>
      </c>
      <c r="BQ38" s="381">
        <v>0</v>
      </c>
      <c r="BR38" s="381">
        <v>32158</v>
      </c>
      <c r="BS38" s="381">
        <v>0</v>
      </c>
      <c r="BT38" s="381">
        <v>8703</v>
      </c>
      <c r="BU38" s="381">
        <v>10211</v>
      </c>
      <c r="BV38" s="381">
        <v>0</v>
      </c>
      <c r="BW38" s="381">
        <v>0</v>
      </c>
      <c r="BX38" s="381">
        <v>0</v>
      </c>
      <c r="BY38" s="382">
        <v>69638</v>
      </c>
      <c r="BZ38" s="382">
        <v>1500</v>
      </c>
      <c r="CA38" s="382">
        <v>874255</v>
      </c>
      <c r="CB38" s="381"/>
      <c r="CC38" s="381">
        <v>5204</v>
      </c>
      <c r="CD38" s="381">
        <v>0</v>
      </c>
      <c r="CE38" s="381">
        <v>0</v>
      </c>
      <c r="CF38" s="381">
        <v>5204</v>
      </c>
      <c r="CG38" s="381"/>
      <c r="CH38" s="381">
        <v>0</v>
      </c>
      <c r="CI38" s="381">
        <v>5212</v>
      </c>
      <c r="CJ38" s="381">
        <v>0</v>
      </c>
      <c r="CK38" s="381">
        <v>0</v>
      </c>
      <c r="CL38" s="381">
        <v>0</v>
      </c>
      <c r="CM38" s="381">
        <v>0</v>
      </c>
      <c r="CN38" s="381">
        <v>0</v>
      </c>
      <c r="CO38" s="381">
        <v>0</v>
      </c>
      <c r="CP38" s="381">
        <v>5212</v>
      </c>
      <c r="CQ38" s="381"/>
      <c r="CR38" s="381">
        <v>-21039.569999999912</v>
      </c>
      <c r="CS38" s="381">
        <v>0</v>
      </c>
      <c r="CT38" s="381">
        <v>0</v>
      </c>
      <c r="CU38" s="381">
        <v>0.16000000000076398</v>
      </c>
      <c r="CV38" s="381">
        <v>0</v>
      </c>
      <c r="CW38" s="381">
        <v>4851.5599999999977</v>
      </c>
      <c r="CX38" s="381">
        <v>-16187.849999999915</v>
      </c>
      <c r="CY38" s="381"/>
      <c r="CZ38" s="117"/>
      <c r="DA38" s="384"/>
      <c r="DB38" s="117"/>
      <c r="DC38" s="384"/>
      <c r="DD38" s="385"/>
      <c r="DE38" s="117"/>
      <c r="DF38" s="117"/>
      <c r="DG38" s="381"/>
      <c r="DH38" s="386"/>
      <c r="DI38" s="387"/>
      <c r="DJ38" s="381"/>
      <c r="DK38" s="381">
        <v>3909.9900000000835</v>
      </c>
      <c r="DL38" s="381">
        <v>8.160000000000764</v>
      </c>
      <c r="DM38" s="381">
        <v>3918.1500000000842</v>
      </c>
      <c r="DN38" s="381">
        <v>-16188.009999999915</v>
      </c>
      <c r="DO38" s="381">
        <v>0.16000000000076398</v>
      </c>
      <c r="DP38" s="381">
        <v>-16187.849999999915</v>
      </c>
      <c r="DQ38" s="383"/>
      <c r="DR38" s="381"/>
      <c r="DS38" s="388"/>
      <c r="DT38" s="388"/>
    </row>
    <row r="39" spans="1:124" ht="14.25">
      <c r="A39" s="380">
        <v>775</v>
      </c>
      <c r="B39" s="391">
        <v>9162072</v>
      </c>
      <c r="C39" s="68">
        <v>2072</v>
      </c>
      <c r="D39" s="120"/>
      <c r="E39" s="120" t="s">
        <v>230</v>
      </c>
      <c r="F39" s="120"/>
      <c r="G39" s="120"/>
      <c r="H39" s="68"/>
      <c r="I39" s="381">
        <v>119525.83999999989</v>
      </c>
      <c r="J39" s="381">
        <v>15994.289999999999</v>
      </c>
      <c r="K39" s="381">
        <v>0</v>
      </c>
      <c r="L39" s="381">
        <v>29428.22</v>
      </c>
      <c r="M39" s="381">
        <v>0</v>
      </c>
      <c r="N39" s="381">
        <v>0</v>
      </c>
      <c r="O39" s="381">
        <v>164948.34999999989</v>
      </c>
      <c r="P39" s="381"/>
      <c r="Q39" s="381">
        <v>712796</v>
      </c>
      <c r="R39" s="381">
        <v>0</v>
      </c>
      <c r="S39" s="381">
        <v>73548</v>
      </c>
      <c r="T39" s="381">
        <v>0</v>
      </c>
      <c r="U39" s="381">
        <v>30300</v>
      </c>
      <c r="V39" s="381">
        <v>38898</v>
      </c>
      <c r="W39" s="381">
        <v>0</v>
      </c>
      <c r="X39" s="381">
        <v>0</v>
      </c>
      <c r="Y39" s="381">
        <v>0</v>
      </c>
      <c r="Z39" s="381">
        <v>0</v>
      </c>
      <c r="AA39" s="381">
        <v>0</v>
      </c>
      <c r="AB39" s="381">
        <v>0</v>
      </c>
      <c r="AC39" s="381">
        <v>14000</v>
      </c>
      <c r="AD39" s="381">
        <v>17565</v>
      </c>
      <c r="AE39" s="381">
        <v>0</v>
      </c>
      <c r="AF39" s="381">
        <v>0</v>
      </c>
      <c r="AG39" s="381">
        <v>0</v>
      </c>
      <c r="AH39" s="381">
        <v>0</v>
      </c>
      <c r="AI39" s="381">
        <v>0</v>
      </c>
      <c r="AJ39" s="381">
        <v>0</v>
      </c>
      <c r="AK39" s="381">
        <v>0</v>
      </c>
      <c r="AL39" s="381">
        <v>887107</v>
      </c>
      <c r="AM39" s="381"/>
      <c r="AN39" s="381">
        <v>422261</v>
      </c>
      <c r="AO39" s="381">
        <v>2973</v>
      </c>
      <c r="AP39" s="381">
        <v>203431</v>
      </c>
      <c r="AQ39" s="381">
        <v>21979</v>
      </c>
      <c r="AR39" s="381">
        <v>38166</v>
      </c>
      <c r="AS39" s="381">
        <v>0</v>
      </c>
      <c r="AT39" s="381">
        <v>20127</v>
      </c>
      <c r="AU39" s="381">
        <v>4158</v>
      </c>
      <c r="AV39" s="381">
        <v>5250</v>
      </c>
      <c r="AW39" s="381">
        <v>351</v>
      </c>
      <c r="AX39" s="381">
        <v>0</v>
      </c>
      <c r="AY39" s="381">
        <v>7265</v>
      </c>
      <c r="AZ39" s="381">
        <v>4709</v>
      </c>
      <c r="BA39" s="381">
        <v>1092</v>
      </c>
      <c r="BB39" s="381">
        <v>4389</v>
      </c>
      <c r="BC39" s="381">
        <v>9230</v>
      </c>
      <c r="BD39" s="381">
        <v>14346</v>
      </c>
      <c r="BE39" s="381">
        <v>2163</v>
      </c>
      <c r="BF39" s="381">
        <v>80778</v>
      </c>
      <c r="BG39" s="381">
        <v>5000</v>
      </c>
      <c r="BH39" s="381">
        <v>0</v>
      </c>
      <c r="BI39" s="381">
        <v>0</v>
      </c>
      <c r="BJ39" s="381">
        <v>0</v>
      </c>
      <c r="BK39" s="381">
        <v>2983</v>
      </c>
      <c r="BL39" s="381">
        <v>0</v>
      </c>
      <c r="BM39" s="381">
        <v>362</v>
      </c>
      <c r="BN39" s="381">
        <v>0</v>
      </c>
      <c r="BO39" s="381">
        <v>2617</v>
      </c>
      <c r="BP39" s="381">
        <v>3072</v>
      </c>
      <c r="BQ39" s="381">
        <v>0</v>
      </c>
      <c r="BR39" s="381">
        <v>21861</v>
      </c>
      <c r="BS39" s="381">
        <v>12000</v>
      </c>
      <c r="BT39" s="381">
        <v>11861</v>
      </c>
      <c r="BU39" s="381">
        <v>14767</v>
      </c>
      <c r="BV39" s="381">
        <v>0</v>
      </c>
      <c r="BW39" s="381">
        <v>0</v>
      </c>
      <c r="BX39" s="381">
        <v>0</v>
      </c>
      <c r="BY39" s="382">
        <v>0</v>
      </c>
      <c r="BZ39" s="382">
        <v>0</v>
      </c>
      <c r="CA39" s="382">
        <v>917191</v>
      </c>
      <c r="CB39" s="381"/>
      <c r="CC39" s="381">
        <v>5283</v>
      </c>
      <c r="CD39" s="381">
        <v>0</v>
      </c>
      <c r="CE39" s="381">
        <v>0</v>
      </c>
      <c r="CF39" s="381">
        <v>5283</v>
      </c>
      <c r="CG39" s="381"/>
      <c r="CH39" s="381">
        <v>0</v>
      </c>
      <c r="CI39" s="381">
        <v>34711</v>
      </c>
      <c r="CJ39" s="381">
        <v>0</v>
      </c>
      <c r="CK39" s="381">
        <v>0</v>
      </c>
      <c r="CL39" s="381">
        <v>0</v>
      </c>
      <c r="CM39" s="381">
        <v>0</v>
      </c>
      <c r="CN39" s="381">
        <v>0</v>
      </c>
      <c r="CO39" s="381">
        <v>0</v>
      </c>
      <c r="CP39" s="381">
        <v>34711</v>
      </c>
      <c r="CQ39" s="381"/>
      <c r="CR39" s="381">
        <v>105436.12999999989</v>
      </c>
      <c r="CS39" s="381">
        <v>0</v>
      </c>
      <c r="CT39" s="381">
        <v>0</v>
      </c>
      <c r="CU39" s="381">
        <v>0.22000000000116415</v>
      </c>
      <c r="CV39" s="381">
        <v>0</v>
      </c>
      <c r="CW39" s="381">
        <v>0</v>
      </c>
      <c r="CX39" s="381">
        <v>105436.34999999989</v>
      </c>
      <c r="CY39" s="381"/>
      <c r="CZ39" s="117"/>
      <c r="DA39" s="384"/>
      <c r="DB39" s="117"/>
      <c r="DC39" s="384"/>
      <c r="DD39" s="385"/>
      <c r="DE39" s="117"/>
      <c r="DF39" s="117"/>
      <c r="DG39" s="381"/>
      <c r="DH39" s="386"/>
      <c r="DI39" s="387"/>
      <c r="DJ39" s="381"/>
      <c r="DK39" s="381">
        <v>135520.12999999989</v>
      </c>
      <c r="DL39" s="381">
        <v>29428.22</v>
      </c>
      <c r="DM39" s="381">
        <v>164948.34999999989</v>
      </c>
      <c r="DN39" s="381">
        <v>105436.12999999989</v>
      </c>
      <c r="DO39" s="381">
        <v>0.22000000000116415</v>
      </c>
      <c r="DP39" s="381">
        <v>105436.34999999989</v>
      </c>
      <c r="DQ39" s="383"/>
      <c r="DR39" s="381"/>
      <c r="DS39" s="388"/>
      <c r="DT39" s="388"/>
    </row>
    <row r="40" spans="1:124" ht="14.25">
      <c r="A40" s="380">
        <v>546</v>
      </c>
      <c r="B40" s="391">
        <v>9162103</v>
      </c>
      <c r="C40" s="68">
        <v>2103</v>
      </c>
      <c r="D40" s="120"/>
      <c r="E40" s="120" t="s">
        <v>753</v>
      </c>
      <c r="F40" s="120"/>
      <c r="G40" s="120"/>
      <c r="H40" s="68"/>
      <c r="I40" s="381">
        <v>19297.239999999612</v>
      </c>
      <c r="J40" s="381">
        <v>21330</v>
      </c>
      <c r="K40" s="381">
        <v>0</v>
      </c>
      <c r="L40" s="381">
        <v>-4952.75</v>
      </c>
      <c r="M40" s="381">
        <v>0</v>
      </c>
      <c r="N40" s="381">
        <v>-67718.579999999987</v>
      </c>
      <c r="O40" s="381">
        <v>-32044.090000000375</v>
      </c>
      <c r="P40" s="381"/>
      <c r="Q40" s="381">
        <v>1124978</v>
      </c>
      <c r="R40" s="381">
        <v>0</v>
      </c>
      <c r="S40" s="381">
        <v>19258</v>
      </c>
      <c r="T40" s="381">
        <v>0</v>
      </c>
      <c r="U40" s="381">
        <v>55240</v>
      </c>
      <c r="V40" s="381">
        <v>52259</v>
      </c>
      <c r="W40" s="381">
        <v>0</v>
      </c>
      <c r="X40" s="381">
        <v>13500</v>
      </c>
      <c r="Y40" s="381">
        <v>15000</v>
      </c>
      <c r="Z40" s="381">
        <v>24179</v>
      </c>
      <c r="AA40" s="381">
        <v>0</v>
      </c>
      <c r="AB40" s="381">
        <v>0</v>
      </c>
      <c r="AC40" s="381">
        <v>0</v>
      </c>
      <c r="AD40" s="381">
        <v>0</v>
      </c>
      <c r="AE40" s="381">
        <v>0</v>
      </c>
      <c r="AF40" s="381">
        <v>0</v>
      </c>
      <c r="AG40" s="381">
        <v>0</v>
      </c>
      <c r="AH40" s="381">
        <v>0</v>
      </c>
      <c r="AI40" s="381">
        <v>0</v>
      </c>
      <c r="AJ40" s="381">
        <v>0</v>
      </c>
      <c r="AK40" s="381">
        <v>0</v>
      </c>
      <c r="AL40" s="381">
        <v>1304414</v>
      </c>
      <c r="AM40" s="381"/>
      <c r="AN40" s="381">
        <v>648474</v>
      </c>
      <c r="AO40" s="381">
        <v>11000</v>
      </c>
      <c r="AP40" s="381">
        <v>234767</v>
      </c>
      <c r="AQ40" s="381">
        <v>47553</v>
      </c>
      <c r="AR40" s="381">
        <v>64890</v>
      </c>
      <c r="AS40" s="381">
        <v>38622</v>
      </c>
      <c r="AT40" s="381">
        <v>27619</v>
      </c>
      <c r="AU40" s="381">
        <v>0</v>
      </c>
      <c r="AV40" s="381">
        <v>6440</v>
      </c>
      <c r="AW40" s="381">
        <v>12116</v>
      </c>
      <c r="AX40" s="381">
        <v>0</v>
      </c>
      <c r="AY40" s="381">
        <v>16588</v>
      </c>
      <c r="AZ40" s="381">
        <v>2756</v>
      </c>
      <c r="BA40" s="381">
        <v>3800</v>
      </c>
      <c r="BB40" s="381">
        <v>5500</v>
      </c>
      <c r="BC40" s="381">
        <v>19000</v>
      </c>
      <c r="BD40" s="381">
        <v>3643</v>
      </c>
      <c r="BE40" s="381">
        <v>2985</v>
      </c>
      <c r="BF40" s="381">
        <v>72310</v>
      </c>
      <c r="BG40" s="381">
        <v>3278</v>
      </c>
      <c r="BH40" s="381">
        <v>0</v>
      </c>
      <c r="BI40" s="381">
        <v>1300</v>
      </c>
      <c r="BJ40" s="381">
        <v>6500</v>
      </c>
      <c r="BK40" s="381">
        <v>0</v>
      </c>
      <c r="BL40" s="381">
        <v>2000</v>
      </c>
      <c r="BM40" s="381">
        <v>4300</v>
      </c>
      <c r="BN40" s="381">
        <v>0</v>
      </c>
      <c r="BO40" s="381">
        <v>3858</v>
      </c>
      <c r="BP40" s="381">
        <v>10904</v>
      </c>
      <c r="BQ40" s="381">
        <v>0</v>
      </c>
      <c r="BR40" s="381">
        <v>47500</v>
      </c>
      <c r="BS40" s="381">
        <v>11000</v>
      </c>
      <c r="BT40" s="381">
        <v>7000</v>
      </c>
      <c r="BU40" s="381">
        <v>20915</v>
      </c>
      <c r="BV40" s="381">
        <v>0</v>
      </c>
      <c r="BW40" s="381">
        <v>0</v>
      </c>
      <c r="BX40" s="381">
        <v>0</v>
      </c>
      <c r="BY40" s="382">
        <v>0</v>
      </c>
      <c r="BZ40" s="382">
        <v>0</v>
      </c>
      <c r="CA40" s="382">
        <v>1336618</v>
      </c>
      <c r="CB40" s="381"/>
      <c r="CC40" s="381">
        <v>6194</v>
      </c>
      <c r="CD40" s="381">
        <v>0</v>
      </c>
      <c r="CE40" s="381">
        <v>0</v>
      </c>
      <c r="CF40" s="381">
        <v>6194</v>
      </c>
      <c r="CG40" s="381"/>
      <c r="CH40" s="381">
        <v>0</v>
      </c>
      <c r="CI40" s="381">
        <v>1241</v>
      </c>
      <c r="CJ40" s="381">
        <v>0</v>
      </c>
      <c r="CK40" s="381">
        <v>0</v>
      </c>
      <c r="CL40" s="381">
        <v>0</v>
      </c>
      <c r="CM40" s="381">
        <v>0</v>
      </c>
      <c r="CN40" s="381">
        <v>0</v>
      </c>
      <c r="CO40" s="381">
        <v>0</v>
      </c>
      <c r="CP40" s="381">
        <v>1241</v>
      </c>
      <c r="CQ40" s="381"/>
      <c r="CR40" s="381">
        <v>8423.2399999996123</v>
      </c>
      <c r="CS40" s="381">
        <v>0</v>
      </c>
      <c r="CT40" s="381">
        <v>0</v>
      </c>
      <c r="CU40" s="381">
        <v>0.25</v>
      </c>
      <c r="CV40" s="381">
        <v>0</v>
      </c>
      <c r="CW40" s="381">
        <v>-67718.579999999987</v>
      </c>
      <c r="CX40" s="381">
        <v>-59295.090000000375</v>
      </c>
      <c r="CY40" s="381"/>
      <c r="CZ40" s="117"/>
      <c r="DA40" s="384"/>
      <c r="DB40" s="117"/>
      <c r="DC40" s="384"/>
      <c r="DD40" s="385"/>
      <c r="DE40" s="117"/>
      <c r="DF40" s="117"/>
      <c r="DG40" s="381"/>
      <c r="DH40" s="386"/>
      <c r="DI40" s="387"/>
      <c r="DJ40" s="381"/>
      <c r="DK40" s="381">
        <v>-27091.340000000375</v>
      </c>
      <c r="DL40" s="381">
        <v>-4952.75</v>
      </c>
      <c r="DM40" s="381">
        <v>-32044.090000000375</v>
      </c>
      <c r="DN40" s="381">
        <v>-59295.340000000375</v>
      </c>
      <c r="DO40" s="381">
        <v>0.25</v>
      </c>
      <c r="DP40" s="381">
        <v>-59295.090000000375</v>
      </c>
      <c r="DQ40" s="383"/>
      <c r="DR40" s="381"/>
      <c r="DS40" s="388"/>
      <c r="DT40" s="388"/>
    </row>
    <row r="41" spans="1:124" ht="14.25">
      <c r="A41" s="380">
        <v>582</v>
      </c>
      <c r="B41" s="391">
        <v>9163313</v>
      </c>
      <c r="C41" s="68">
        <v>3313</v>
      </c>
      <c r="D41" s="120"/>
      <c r="E41" s="120" t="s">
        <v>234</v>
      </c>
      <c r="F41" s="120"/>
      <c r="G41" s="120"/>
      <c r="H41" s="68"/>
      <c r="I41" s="381">
        <v>29682.689999999711</v>
      </c>
      <c r="J41" s="381">
        <v>19900.47</v>
      </c>
      <c r="K41" s="381">
        <v>0</v>
      </c>
      <c r="L41" s="381">
        <v>0</v>
      </c>
      <c r="M41" s="381">
        <v>0</v>
      </c>
      <c r="N41" s="381">
        <v>0</v>
      </c>
      <c r="O41" s="381">
        <v>49583.159999999712</v>
      </c>
      <c r="P41" s="381"/>
      <c r="Q41" s="381">
        <v>1110603</v>
      </c>
      <c r="R41" s="381">
        <v>0</v>
      </c>
      <c r="S41" s="381">
        <v>48581</v>
      </c>
      <c r="T41" s="381">
        <v>0</v>
      </c>
      <c r="U41" s="381">
        <v>44600</v>
      </c>
      <c r="V41" s="381">
        <v>50869</v>
      </c>
      <c r="W41" s="381">
        <v>0</v>
      </c>
      <c r="X41" s="381">
        <v>0</v>
      </c>
      <c r="Y41" s="381">
        <v>0</v>
      </c>
      <c r="Z41" s="381">
        <v>0</v>
      </c>
      <c r="AA41" s="381">
        <v>0</v>
      </c>
      <c r="AB41" s="381">
        <v>0</v>
      </c>
      <c r="AC41" s="381">
        <v>0</v>
      </c>
      <c r="AD41" s="381">
        <v>1000</v>
      </c>
      <c r="AE41" s="381">
        <v>0</v>
      </c>
      <c r="AF41" s="381">
        <v>0</v>
      </c>
      <c r="AG41" s="381">
        <v>0</v>
      </c>
      <c r="AH41" s="381">
        <v>0</v>
      </c>
      <c r="AI41" s="381">
        <v>0</v>
      </c>
      <c r="AJ41" s="381">
        <v>0</v>
      </c>
      <c r="AK41" s="381">
        <v>0</v>
      </c>
      <c r="AL41" s="381">
        <v>1255653</v>
      </c>
      <c r="AM41" s="381"/>
      <c r="AN41" s="381">
        <v>617381</v>
      </c>
      <c r="AO41" s="381">
        <v>5950</v>
      </c>
      <c r="AP41" s="381">
        <v>236785</v>
      </c>
      <c r="AQ41" s="381">
        <v>27459</v>
      </c>
      <c r="AR41" s="381">
        <v>56036</v>
      </c>
      <c r="AS41" s="381">
        <v>0</v>
      </c>
      <c r="AT41" s="381">
        <v>35810</v>
      </c>
      <c r="AU41" s="381">
        <v>300</v>
      </c>
      <c r="AV41" s="381">
        <v>2071</v>
      </c>
      <c r="AW41" s="381">
        <v>2684</v>
      </c>
      <c r="AX41" s="381">
        <v>0</v>
      </c>
      <c r="AY41" s="381">
        <v>19836</v>
      </c>
      <c r="AZ41" s="381">
        <v>3899</v>
      </c>
      <c r="BA41" s="381">
        <v>13975</v>
      </c>
      <c r="BB41" s="381">
        <v>3700</v>
      </c>
      <c r="BC41" s="381">
        <v>12000</v>
      </c>
      <c r="BD41" s="381">
        <v>2146</v>
      </c>
      <c r="BE41" s="381">
        <v>3815</v>
      </c>
      <c r="BF41" s="381">
        <v>81754</v>
      </c>
      <c r="BG41" s="381">
        <v>4332</v>
      </c>
      <c r="BH41" s="381">
        <v>0</v>
      </c>
      <c r="BI41" s="381">
        <v>8145</v>
      </c>
      <c r="BJ41" s="381">
        <v>0</v>
      </c>
      <c r="BK41" s="381">
        <v>6850</v>
      </c>
      <c r="BL41" s="381">
        <v>0</v>
      </c>
      <c r="BM41" s="381">
        <v>6716</v>
      </c>
      <c r="BN41" s="381">
        <v>0</v>
      </c>
      <c r="BO41" s="381">
        <v>10925</v>
      </c>
      <c r="BP41" s="381">
        <v>10334</v>
      </c>
      <c r="BQ41" s="381">
        <v>0</v>
      </c>
      <c r="BR41" s="381">
        <v>48482</v>
      </c>
      <c r="BS41" s="381">
        <v>4750</v>
      </c>
      <c r="BT41" s="381">
        <v>18219</v>
      </c>
      <c r="BU41" s="381">
        <v>13523</v>
      </c>
      <c r="BV41" s="381">
        <v>0</v>
      </c>
      <c r="BW41" s="381">
        <v>0</v>
      </c>
      <c r="BX41" s="381">
        <v>0</v>
      </c>
      <c r="BY41" s="382">
        <v>0</v>
      </c>
      <c r="BZ41" s="382">
        <v>0</v>
      </c>
      <c r="CA41" s="382">
        <v>1257877</v>
      </c>
      <c r="CB41" s="381"/>
      <c r="CC41" s="381">
        <v>0</v>
      </c>
      <c r="CD41" s="381">
        <v>0</v>
      </c>
      <c r="CE41" s="381">
        <v>0</v>
      </c>
      <c r="CF41" s="381">
        <v>0</v>
      </c>
      <c r="CG41" s="381"/>
      <c r="CH41" s="381">
        <v>0</v>
      </c>
      <c r="CI41" s="381">
        <v>0</v>
      </c>
      <c r="CJ41" s="381">
        <v>0</v>
      </c>
      <c r="CK41" s="381">
        <v>0</v>
      </c>
      <c r="CL41" s="381">
        <v>0</v>
      </c>
      <c r="CM41" s="381">
        <v>0</v>
      </c>
      <c r="CN41" s="381">
        <v>0</v>
      </c>
      <c r="CO41" s="381">
        <v>0</v>
      </c>
      <c r="CP41" s="381">
        <v>0</v>
      </c>
      <c r="CQ41" s="381"/>
      <c r="CR41" s="381">
        <v>47359.159999999712</v>
      </c>
      <c r="CS41" s="381">
        <v>0</v>
      </c>
      <c r="CT41" s="381">
        <v>0</v>
      </c>
      <c r="CU41" s="381">
        <v>0</v>
      </c>
      <c r="CV41" s="381">
        <v>0</v>
      </c>
      <c r="CW41" s="381">
        <v>0</v>
      </c>
      <c r="CX41" s="381">
        <v>47359.159999999712</v>
      </c>
      <c r="CY41" s="381"/>
      <c r="CZ41" s="117"/>
      <c r="DA41" s="384"/>
      <c r="DB41" s="117"/>
      <c r="DC41" s="384"/>
      <c r="DD41" s="385"/>
      <c r="DE41" s="117"/>
      <c r="DF41" s="117"/>
      <c r="DG41" s="381"/>
      <c r="DH41" s="386"/>
      <c r="DI41" s="387"/>
      <c r="DJ41" s="381"/>
      <c r="DK41" s="381">
        <v>49583.159999999712</v>
      </c>
      <c r="DL41" s="381">
        <v>0</v>
      </c>
      <c r="DM41" s="381">
        <v>49583.159999999712</v>
      </c>
      <c r="DN41" s="381">
        <v>47359.159999999712</v>
      </c>
      <c r="DO41" s="381">
        <v>0</v>
      </c>
      <c r="DP41" s="381">
        <v>47359.159999999712</v>
      </c>
      <c r="DQ41" s="383"/>
      <c r="DR41" s="381"/>
      <c r="DS41" s="388"/>
      <c r="DT41" s="388"/>
    </row>
    <row r="42" spans="1:124" ht="15">
      <c r="A42" s="380">
        <v>374</v>
      </c>
      <c r="B42" s="391">
        <v>9164032</v>
      </c>
      <c r="C42" s="68">
        <v>4032</v>
      </c>
      <c r="D42" s="120"/>
      <c r="E42" s="120" t="s">
        <v>717</v>
      </c>
      <c r="F42" s="120"/>
      <c r="G42" s="120"/>
      <c r="H42" s="68"/>
      <c r="I42" s="381">
        <v>520342.0800000052</v>
      </c>
      <c r="J42" s="381">
        <v>28263.77</v>
      </c>
      <c r="K42" s="381">
        <v>0</v>
      </c>
      <c r="L42" s="381">
        <v>33032.799999999988</v>
      </c>
      <c r="M42" s="381">
        <v>169808.24</v>
      </c>
      <c r="N42" s="381">
        <v>0</v>
      </c>
      <c r="O42" s="381">
        <v>751446.89000000525</v>
      </c>
      <c r="P42" s="389"/>
      <c r="Q42" s="381">
        <v>6687623</v>
      </c>
      <c r="R42" s="381">
        <v>700294</v>
      </c>
      <c r="S42" s="381">
        <v>177843</v>
      </c>
      <c r="T42" s="381">
        <v>0</v>
      </c>
      <c r="U42" s="381">
        <v>272315</v>
      </c>
      <c r="V42" s="381">
        <v>0</v>
      </c>
      <c r="W42" s="381">
        <v>11670</v>
      </c>
      <c r="X42" s="381">
        <v>120400</v>
      </c>
      <c r="Y42" s="381">
        <v>16000</v>
      </c>
      <c r="Z42" s="381">
        <v>0</v>
      </c>
      <c r="AA42" s="381">
        <v>0</v>
      </c>
      <c r="AB42" s="381">
        <v>0</v>
      </c>
      <c r="AC42" s="381">
        <v>0</v>
      </c>
      <c r="AD42" s="381">
        <v>1000</v>
      </c>
      <c r="AE42" s="381">
        <v>0</v>
      </c>
      <c r="AF42" s="381">
        <v>0</v>
      </c>
      <c r="AG42" s="381">
        <v>0</v>
      </c>
      <c r="AH42" s="381">
        <v>0</v>
      </c>
      <c r="AI42" s="381">
        <v>0</v>
      </c>
      <c r="AJ42" s="381">
        <v>0</v>
      </c>
      <c r="AK42" s="381">
        <v>0</v>
      </c>
      <c r="AL42" s="381">
        <v>7987145</v>
      </c>
      <c r="AM42" s="389"/>
      <c r="AN42" s="381">
        <v>4797618</v>
      </c>
      <c r="AO42" s="381">
        <v>15000</v>
      </c>
      <c r="AP42" s="381">
        <v>1160041</v>
      </c>
      <c r="AQ42" s="381">
        <v>266541</v>
      </c>
      <c r="AR42" s="381">
        <v>431940</v>
      </c>
      <c r="AS42" s="381">
        <v>0</v>
      </c>
      <c r="AT42" s="381">
        <v>44900</v>
      </c>
      <c r="AU42" s="381">
        <v>41593</v>
      </c>
      <c r="AV42" s="381">
        <v>18510</v>
      </c>
      <c r="AW42" s="381">
        <v>3205</v>
      </c>
      <c r="AX42" s="381">
        <v>0</v>
      </c>
      <c r="AY42" s="381">
        <v>93850</v>
      </c>
      <c r="AZ42" s="381">
        <v>20000</v>
      </c>
      <c r="BA42" s="381">
        <v>28000</v>
      </c>
      <c r="BB42" s="381">
        <v>29000</v>
      </c>
      <c r="BC42" s="381">
        <v>240000</v>
      </c>
      <c r="BD42" s="381">
        <v>144690</v>
      </c>
      <c r="BE42" s="381">
        <v>30000</v>
      </c>
      <c r="BF42" s="381">
        <v>195625</v>
      </c>
      <c r="BG42" s="381">
        <v>13000</v>
      </c>
      <c r="BH42" s="381">
        <v>4500</v>
      </c>
      <c r="BI42" s="381">
        <v>30500</v>
      </c>
      <c r="BJ42" s="381">
        <v>12000</v>
      </c>
      <c r="BK42" s="381">
        <v>50000</v>
      </c>
      <c r="BL42" s="381">
        <v>14000</v>
      </c>
      <c r="BM42" s="381">
        <v>3714</v>
      </c>
      <c r="BN42" s="381">
        <v>128000</v>
      </c>
      <c r="BO42" s="381">
        <v>31400</v>
      </c>
      <c r="BP42" s="381">
        <v>39663</v>
      </c>
      <c r="BQ42" s="381">
        <v>0</v>
      </c>
      <c r="BR42" s="381">
        <v>78165</v>
      </c>
      <c r="BS42" s="381">
        <v>81100</v>
      </c>
      <c r="BT42" s="381">
        <v>108643</v>
      </c>
      <c r="BU42" s="381">
        <v>48269</v>
      </c>
      <c r="BV42" s="381">
        <v>0</v>
      </c>
      <c r="BW42" s="381">
        <v>0</v>
      </c>
      <c r="BX42" s="381">
        <v>0</v>
      </c>
      <c r="BY42" s="382">
        <v>0</v>
      </c>
      <c r="BZ42" s="382">
        <v>0</v>
      </c>
      <c r="CA42" s="382">
        <v>8203467</v>
      </c>
      <c r="CB42" s="389"/>
      <c r="CC42" s="381">
        <v>21480</v>
      </c>
      <c r="CD42" s="381">
        <v>0</v>
      </c>
      <c r="CE42" s="381">
        <v>0</v>
      </c>
      <c r="CF42" s="381">
        <v>21480</v>
      </c>
      <c r="CG42" s="389"/>
      <c r="CH42" s="381">
        <v>0</v>
      </c>
      <c r="CI42" s="381">
        <v>224321</v>
      </c>
      <c r="CJ42" s="381">
        <v>0</v>
      </c>
      <c r="CK42" s="381">
        <v>0</v>
      </c>
      <c r="CL42" s="381">
        <v>0</v>
      </c>
      <c r="CM42" s="381">
        <v>0</v>
      </c>
      <c r="CN42" s="381">
        <v>0</v>
      </c>
      <c r="CO42" s="381">
        <v>0</v>
      </c>
      <c r="CP42" s="381">
        <v>224321</v>
      </c>
      <c r="CQ42" s="390"/>
      <c r="CR42" s="381">
        <v>332283.85000000522</v>
      </c>
      <c r="CS42" s="381">
        <v>0</v>
      </c>
      <c r="CT42" s="381">
        <v>0</v>
      </c>
      <c r="CU42" s="381">
        <v>3.9999999979045242E-2</v>
      </c>
      <c r="CV42" s="381">
        <v>0</v>
      </c>
      <c r="CW42" s="381">
        <v>0</v>
      </c>
      <c r="CX42" s="381">
        <v>332283.89000000519</v>
      </c>
      <c r="CY42" s="381"/>
      <c r="CZ42" s="117"/>
      <c r="DA42" s="384"/>
      <c r="DB42" s="117"/>
      <c r="DC42" s="384"/>
      <c r="DD42" s="385"/>
      <c r="DE42" s="117"/>
      <c r="DF42" s="117"/>
      <c r="DG42" s="381"/>
      <c r="DH42" s="386"/>
      <c r="DI42" s="387"/>
      <c r="DJ42" s="381"/>
      <c r="DK42" s="381">
        <v>548605.85000000522</v>
      </c>
      <c r="DL42" s="381">
        <v>202841.03999999998</v>
      </c>
      <c r="DM42" s="381">
        <v>751446.89000000525</v>
      </c>
      <c r="DN42" s="381">
        <v>332283.85000000522</v>
      </c>
      <c r="DO42" s="381">
        <v>3.9999999979045242E-2</v>
      </c>
      <c r="DP42" s="381">
        <v>332283.89000000519</v>
      </c>
      <c r="DQ42" s="383"/>
      <c r="DR42" s="381"/>
      <c r="DS42" s="388"/>
      <c r="DT42" s="388"/>
    </row>
    <row r="43" spans="1:124" ht="14.25">
      <c r="A43" s="380">
        <v>825</v>
      </c>
      <c r="B43" s="391">
        <v>9163074</v>
      </c>
      <c r="C43" s="68">
        <v>3074</v>
      </c>
      <c r="D43" s="120"/>
      <c r="E43" s="120" t="s">
        <v>198</v>
      </c>
      <c r="F43" s="120"/>
      <c r="G43" s="120"/>
      <c r="H43" s="68"/>
      <c r="I43" s="381">
        <v>114856.31</v>
      </c>
      <c r="J43" s="381">
        <v>17338.440000000002</v>
      </c>
      <c r="K43" s="381">
        <v>0</v>
      </c>
      <c r="L43" s="381">
        <v>15181.529999999999</v>
      </c>
      <c r="M43" s="381">
        <v>0</v>
      </c>
      <c r="N43" s="381">
        <v>0</v>
      </c>
      <c r="O43" s="381">
        <v>147376.28</v>
      </c>
      <c r="P43" s="381"/>
      <c r="Q43" s="381">
        <v>1099062</v>
      </c>
      <c r="R43" s="381">
        <v>0</v>
      </c>
      <c r="S43" s="381">
        <v>30454</v>
      </c>
      <c r="T43" s="381">
        <v>0</v>
      </c>
      <c r="U43" s="381">
        <v>36425</v>
      </c>
      <c r="V43" s="381">
        <v>53765</v>
      </c>
      <c r="W43" s="381">
        <v>0</v>
      </c>
      <c r="X43" s="381">
        <v>6000</v>
      </c>
      <c r="Y43" s="381">
        <v>0</v>
      </c>
      <c r="Z43" s="381">
        <v>0</v>
      </c>
      <c r="AA43" s="381">
        <v>0</v>
      </c>
      <c r="AB43" s="381">
        <v>0</v>
      </c>
      <c r="AC43" s="381">
        <v>15000</v>
      </c>
      <c r="AD43" s="381">
        <v>0</v>
      </c>
      <c r="AE43" s="381">
        <v>0</v>
      </c>
      <c r="AF43" s="381">
        <v>0</v>
      </c>
      <c r="AG43" s="381">
        <v>0</v>
      </c>
      <c r="AH43" s="381">
        <v>0</v>
      </c>
      <c r="AI43" s="381">
        <v>0</v>
      </c>
      <c r="AJ43" s="381">
        <v>0</v>
      </c>
      <c r="AK43" s="381">
        <v>0</v>
      </c>
      <c r="AL43" s="381">
        <v>1240706</v>
      </c>
      <c r="AM43" s="381"/>
      <c r="AN43" s="381">
        <v>691632</v>
      </c>
      <c r="AO43" s="381">
        <v>9600</v>
      </c>
      <c r="AP43" s="381">
        <v>178848</v>
      </c>
      <c r="AQ43" s="381">
        <v>50580</v>
      </c>
      <c r="AR43" s="381">
        <v>55763</v>
      </c>
      <c r="AS43" s="381">
        <v>0</v>
      </c>
      <c r="AT43" s="381">
        <v>26682</v>
      </c>
      <c r="AU43" s="381">
        <v>5878</v>
      </c>
      <c r="AV43" s="381">
        <v>6735</v>
      </c>
      <c r="AW43" s="381">
        <v>647</v>
      </c>
      <c r="AX43" s="381">
        <v>1092</v>
      </c>
      <c r="AY43" s="381">
        <v>11136</v>
      </c>
      <c r="AZ43" s="381">
        <v>19898</v>
      </c>
      <c r="BA43" s="381">
        <v>5607</v>
      </c>
      <c r="BB43" s="381">
        <v>3000</v>
      </c>
      <c r="BC43" s="381">
        <v>21500</v>
      </c>
      <c r="BD43" s="381">
        <v>28665</v>
      </c>
      <c r="BE43" s="381">
        <v>5900</v>
      </c>
      <c r="BF43" s="381">
        <v>67104</v>
      </c>
      <c r="BG43" s="381">
        <v>4500</v>
      </c>
      <c r="BH43" s="381">
        <v>0</v>
      </c>
      <c r="BI43" s="381">
        <v>4000</v>
      </c>
      <c r="BJ43" s="381">
        <v>6009</v>
      </c>
      <c r="BK43" s="381">
        <v>200</v>
      </c>
      <c r="BL43" s="381">
        <v>100</v>
      </c>
      <c r="BM43" s="381">
        <v>2226</v>
      </c>
      <c r="BN43" s="381">
        <v>0</v>
      </c>
      <c r="BO43" s="381">
        <v>3820</v>
      </c>
      <c r="BP43" s="381">
        <v>11444</v>
      </c>
      <c r="BQ43" s="381">
        <v>0</v>
      </c>
      <c r="BR43" s="381">
        <v>44758</v>
      </c>
      <c r="BS43" s="381">
        <v>28500</v>
      </c>
      <c r="BT43" s="381">
        <v>39706</v>
      </c>
      <c r="BU43" s="381">
        <v>24067</v>
      </c>
      <c r="BV43" s="381">
        <v>0</v>
      </c>
      <c r="BW43" s="381">
        <v>0</v>
      </c>
      <c r="BX43" s="381">
        <v>0</v>
      </c>
      <c r="BY43" s="382">
        <v>0</v>
      </c>
      <c r="BZ43" s="382">
        <v>0</v>
      </c>
      <c r="CA43" s="382">
        <v>1359597</v>
      </c>
      <c r="CB43" s="381"/>
      <c r="CC43" s="381">
        <v>6396</v>
      </c>
      <c r="CD43" s="381">
        <v>0</v>
      </c>
      <c r="CE43" s="381">
        <v>0</v>
      </c>
      <c r="CF43" s="381">
        <v>6396</v>
      </c>
      <c r="CG43" s="381"/>
      <c r="CH43" s="381">
        <v>0</v>
      </c>
      <c r="CI43" s="381">
        <v>21578</v>
      </c>
      <c r="CJ43" s="381">
        <v>0</v>
      </c>
      <c r="CK43" s="381">
        <v>0</v>
      </c>
      <c r="CL43" s="381">
        <v>0</v>
      </c>
      <c r="CM43" s="381">
        <v>0</v>
      </c>
      <c r="CN43" s="381">
        <v>0</v>
      </c>
      <c r="CO43" s="381">
        <v>0</v>
      </c>
      <c r="CP43" s="381">
        <v>21578</v>
      </c>
      <c r="CQ43" s="381"/>
      <c r="CR43" s="381">
        <v>13303.75</v>
      </c>
      <c r="CS43" s="381">
        <v>0</v>
      </c>
      <c r="CT43" s="381">
        <v>0</v>
      </c>
      <c r="CU43" s="381">
        <v>-0.47000000000116415</v>
      </c>
      <c r="CV43" s="381">
        <v>0</v>
      </c>
      <c r="CW43" s="381">
        <v>0</v>
      </c>
      <c r="CX43" s="381">
        <v>13303.279999999999</v>
      </c>
      <c r="CY43" s="381"/>
      <c r="CZ43" s="117"/>
      <c r="DA43" s="384"/>
      <c r="DB43" s="117"/>
      <c r="DC43" s="384"/>
      <c r="DD43" s="385"/>
      <c r="DE43" s="117"/>
      <c r="DF43" s="117"/>
      <c r="DG43" s="381"/>
      <c r="DH43" s="386"/>
      <c r="DI43" s="387"/>
      <c r="DJ43" s="381"/>
      <c r="DK43" s="381">
        <v>132194.75</v>
      </c>
      <c r="DL43" s="381">
        <v>15181.529999999999</v>
      </c>
      <c r="DM43" s="381">
        <v>147376.28</v>
      </c>
      <c r="DN43" s="381">
        <v>13303.75</v>
      </c>
      <c r="DO43" s="381">
        <v>-0.47000000000116415</v>
      </c>
      <c r="DP43" s="381">
        <v>13303.279999999999</v>
      </c>
      <c r="DQ43" s="383"/>
      <c r="DR43" s="381"/>
      <c r="DS43" s="388"/>
      <c r="DT43" s="388"/>
    </row>
    <row r="44" spans="1:124" ht="14.25">
      <c r="A44" s="380">
        <v>852</v>
      </c>
      <c r="B44" s="391">
        <v>9162114</v>
      </c>
      <c r="C44" s="68">
        <v>2114</v>
      </c>
      <c r="D44" s="120"/>
      <c r="E44" s="120" t="s">
        <v>201</v>
      </c>
      <c r="F44" s="120"/>
      <c r="G44" s="120"/>
      <c r="H44" s="68"/>
      <c r="I44" s="381">
        <v>51755.189999999937</v>
      </c>
      <c r="J44" s="381">
        <v>8265.74</v>
      </c>
      <c r="K44" s="381">
        <v>0</v>
      </c>
      <c r="L44" s="381">
        <v>1490.9099999999999</v>
      </c>
      <c r="M44" s="381">
        <v>0</v>
      </c>
      <c r="N44" s="381">
        <v>0</v>
      </c>
      <c r="O44" s="381">
        <v>61511.839999999938</v>
      </c>
      <c r="P44" s="381"/>
      <c r="Q44" s="381">
        <v>800520</v>
      </c>
      <c r="R44" s="381">
        <v>0</v>
      </c>
      <c r="S44" s="381">
        <v>44134</v>
      </c>
      <c r="T44" s="381">
        <v>0</v>
      </c>
      <c r="U44" s="381">
        <v>29920</v>
      </c>
      <c r="V44" s="381">
        <v>35137</v>
      </c>
      <c r="W44" s="381">
        <v>0</v>
      </c>
      <c r="X44" s="381">
        <v>6000</v>
      </c>
      <c r="Y44" s="381">
        <v>0</v>
      </c>
      <c r="Z44" s="381">
        <v>0</v>
      </c>
      <c r="AA44" s="381">
        <v>0</v>
      </c>
      <c r="AB44" s="381">
        <v>0</v>
      </c>
      <c r="AC44" s="381">
        <v>10000</v>
      </c>
      <c r="AD44" s="381">
        <v>0</v>
      </c>
      <c r="AE44" s="381">
        <v>0</v>
      </c>
      <c r="AF44" s="381">
        <v>0</v>
      </c>
      <c r="AG44" s="381">
        <v>0</v>
      </c>
      <c r="AH44" s="381">
        <v>0</v>
      </c>
      <c r="AI44" s="381">
        <v>0</v>
      </c>
      <c r="AJ44" s="381">
        <v>0</v>
      </c>
      <c r="AK44" s="381">
        <v>0</v>
      </c>
      <c r="AL44" s="381">
        <v>925711</v>
      </c>
      <c r="AM44" s="381"/>
      <c r="AN44" s="381">
        <v>448942</v>
      </c>
      <c r="AO44" s="381">
        <v>13000</v>
      </c>
      <c r="AP44" s="381">
        <v>142797</v>
      </c>
      <c r="AQ44" s="381">
        <v>16415</v>
      </c>
      <c r="AR44" s="381">
        <v>57497</v>
      </c>
      <c r="AS44" s="381">
        <v>0</v>
      </c>
      <c r="AT44" s="381">
        <v>22367</v>
      </c>
      <c r="AU44" s="381">
        <v>4488</v>
      </c>
      <c r="AV44" s="381">
        <v>2350</v>
      </c>
      <c r="AW44" s="381">
        <v>412</v>
      </c>
      <c r="AX44" s="381">
        <v>780</v>
      </c>
      <c r="AY44" s="381">
        <v>7135</v>
      </c>
      <c r="AZ44" s="381">
        <v>5301</v>
      </c>
      <c r="BA44" s="381">
        <v>23037</v>
      </c>
      <c r="BB44" s="381">
        <v>3780</v>
      </c>
      <c r="BC44" s="381">
        <v>21910</v>
      </c>
      <c r="BD44" s="381">
        <v>16467</v>
      </c>
      <c r="BE44" s="381">
        <v>14150</v>
      </c>
      <c r="BF44" s="381">
        <v>41964</v>
      </c>
      <c r="BG44" s="381">
        <v>2850</v>
      </c>
      <c r="BH44" s="381">
        <v>0</v>
      </c>
      <c r="BI44" s="381">
        <v>1925</v>
      </c>
      <c r="BJ44" s="381">
        <v>6650</v>
      </c>
      <c r="BK44" s="381">
        <v>0</v>
      </c>
      <c r="BL44" s="381">
        <v>75</v>
      </c>
      <c r="BM44" s="381">
        <v>1417</v>
      </c>
      <c r="BN44" s="381">
        <v>0</v>
      </c>
      <c r="BO44" s="381">
        <v>1400</v>
      </c>
      <c r="BP44" s="381">
        <v>7286</v>
      </c>
      <c r="BQ44" s="381">
        <v>0</v>
      </c>
      <c r="BR44" s="381">
        <v>26125</v>
      </c>
      <c r="BS44" s="381">
        <v>16000</v>
      </c>
      <c r="BT44" s="381">
        <v>40445</v>
      </c>
      <c r="BU44" s="381">
        <v>17906</v>
      </c>
      <c r="BV44" s="381">
        <v>0</v>
      </c>
      <c r="BW44" s="381">
        <v>0</v>
      </c>
      <c r="BX44" s="381">
        <v>0</v>
      </c>
      <c r="BY44" s="382">
        <v>0</v>
      </c>
      <c r="BZ44" s="382">
        <v>0</v>
      </c>
      <c r="CA44" s="382">
        <v>964871</v>
      </c>
      <c r="CB44" s="381"/>
      <c r="CC44" s="381">
        <v>5428</v>
      </c>
      <c r="CD44" s="381">
        <v>0</v>
      </c>
      <c r="CE44" s="381">
        <v>0</v>
      </c>
      <c r="CF44" s="381">
        <v>5428</v>
      </c>
      <c r="CG44" s="381"/>
      <c r="CH44" s="381">
        <v>0</v>
      </c>
      <c r="CI44" s="381">
        <v>6919</v>
      </c>
      <c r="CJ44" s="381">
        <v>0</v>
      </c>
      <c r="CK44" s="381">
        <v>0</v>
      </c>
      <c r="CL44" s="381">
        <v>0</v>
      </c>
      <c r="CM44" s="381">
        <v>0</v>
      </c>
      <c r="CN44" s="381">
        <v>0</v>
      </c>
      <c r="CO44" s="381">
        <v>0</v>
      </c>
      <c r="CP44" s="381">
        <v>6919</v>
      </c>
      <c r="CQ44" s="381"/>
      <c r="CR44" s="381">
        <v>20860.929999999935</v>
      </c>
      <c r="CS44" s="381">
        <v>0</v>
      </c>
      <c r="CT44" s="381">
        <v>0</v>
      </c>
      <c r="CU44" s="381">
        <v>-9.0000000000145519E-2</v>
      </c>
      <c r="CV44" s="381">
        <v>0</v>
      </c>
      <c r="CW44" s="381">
        <v>0</v>
      </c>
      <c r="CX44" s="381">
        <v>20860.839999999935</v>
      </c>
      <c r="CY44" s="381"/>
      <c r="CZ44" s="117"/>
      <c r="DA44" s="384"/>
      <c r="DB44" s="117"/>
      <c r="DC44" s="384"/>
      <c r="DD44" s="385"/>
      <c r="DE44" s="117"/>
      <c r="DF44" s="117"/>
      <c r="DG44" s="381"/>
      <c r="DH44" s="386"/>
      <c r="DI44" s="387"/>
      <c r="DJ44" s="381"/>
      <c r="DK44" s="381">
        <v>60020.929999999935</v>
      </c>
      <c r="DL44" s="381">
        <v>1490.9099999999999</v>
      </c>
      <c r="DM44" s="381">
        <v>61511.839999999938</v>
      </c>
      <c r="DN44" s="381">
        <v>20860.929999999935</v>
      </c>
      <c r="DO44" s="381">
        <v>-9.0000000000145519E-2</v>
      </c>
      <c r="DP44" s="381">
        <v>20860.839999999935</v>
      </c>
      <c r="DQ44" s="383"/>
      <c r="DR44" s="381"/>
      <c r="DS44" s="388"/>
      <c r="DT44" s="388"/>
    </row>
    <row r="45" spans="1:124" ht="15">
      <c r="A45" s="380">
        <v>603</v>
      </c>
      <c r="B45" s="391">
        <v>9163375</v>
      </c>
      <c r="C45" s="68">
        <v>3375</v>
      </c>
      <c r="D45" s="120"/>
      <c r="E45" s="120" t="s">
        <v>204</v>
      </c>
      <c r="F45" s="120"/>
      <c r="G45" s="120"/>
      <c r="H45" s="68"/>
      <c r="I45" s="381">
        <v>276000.9099999998</v>
      </c>
      <c r="J45" s="381">
        <v>3401</v>
      </c>
      <c r="K45" s="381">
        <v>0</v>
      </c>
      <c r="L45" s="381">
        <v>-1.8189894035458565E-12</v>
      </c>
      <c r="M45" s="381">
        <v>0</v>
      </c>
      <c r="N45" s="381">
        <v>15594.999999999971</v>
      </c>
      <c r="O45" s="381">
        <v>294996.9099999998</v>
      </c>
      <c r="P45" s="389"/>
      <c r="Q45" s="381">
        <v>1747558</v>
      </c>
      <c r="R45" s="381">
        <v>0</v>
      </c>
      <c r="S45" s="381">
        <v>98108</v>
      </c>
      <c r="T45" s="381">
        <v>0</v>
      </c>
      <c r="U45" s="381">
        <v>161660</v>
      </c>
      <c r="V45" s="381">
        <v>57337</v>
      </c>
      <c r="W45" s="381">
        <v>7086</v>
      </c>
      <c r="X45" s="381">
        <v>9681</v>
      </c>
      <c r="Y45" s="381">
        <v>31500</v>
      </c>
      <c r="Z45" s="381">
        <v>1500</v>
      </c>
      <c r="AA45" s="381">
        <v>0</v>
      </c>
      <c r="AB45" s="381">
        <v>0</v>
      </c>
      <c r="AC45" s="381">
        <v>19759</v>
      </c>
      <c r="AD45" s="381">
        <v>29</v>
      </c>
      <c r="AE45" s="381">
        <v>0</v>
      </c>
      <c r="AF45" s="381">
        <v>124056</v>
      </c>
      <c r="AG45" s="381">
        <v>50000</v>
      </c>
      <c r="AH45" s="381">
        <v>0</v>
      </c>
      <c r="AI45" s="381">
        <v>0</v>
      </c>
      <c r="AJ45" s="381">
        <v>0</v>
      </c>
      <c r="AK45" s="381">
        <v>0</v>
      </c>
      <c r="AL45" s="381">
        <v>2308274</v>
      </c>
      <c r="AM45" s="389"/>
      <c r="AN45" s="381">
        <v>1036010</v>
      </c>
      <c r="AO45" s="381">
        <v>14000</v>
      </c>
      <c r="AP45" s="381">
        <v>429889</v>
      </c>
      <c r="AQ45" s="381">
        <v>5743</v>
      </c>
      <c r="AR45" s="381">
        <v>119698</v>
      </c>
      <c r="AS45" s="381">
        <v>0</v>
      </c>
      <c r="AT45" s="381">
        <v>56602</v>
      </c>
      <c r="AU45" s="381">
        <v>9724</v>
      </c>
      <c r="AV45" s="381">
        <v>7750</v>
      </c>
      <c r="AW45" s="381">
        <v>952</v>
      </c>
      <c r="AX45" s="381">
        <v>8000</v>
      </c>
      <c r="AY45" s="381">
        <v>12222</v>
      </c>
      <c r="AZ45" s="381">
        <v>9520</v>
      </c>
      <c r="BA45" s="381">
        <v>44724</v>
      </c>
      <c r="BB45" s="381">
        <v>7350</v>
      </c>
      <c r="BC45" s="381">
        <v>33500</v>
      </c>
      <c r="BD45" s="381">
        <v>36855</v>
      </c>
      <c r="BE45" s="381">
        <v>11314</v>
      </c>
      <c r="BF45" s="381">
        <v>77547</v>
      </c>
      <c r="BG45" s="381">
        <v>2389</v>
      </c>
      <c r="BH45" s="381">
        <v>0</v>
      </c>
      <c r="BI45" s="381">
        <v>5903</v>
      </c>
      <c r="BJ45" s="381">
        <v>8689</v>
      </c>
      <c r="BK45" s="381">
        <v>1500</v>
      </c>
      <c r="BL45" s="381">
        <v>3750</v>
      </c>
      <c r="BM45" s="381">
        <v>8311</v>
      </c>
      <c r="BN45" s="381">
        <v>0</v>
      </c>
      <c r="BO45" s="381">
        <v>16250</v>
      </c>
      <c r="BP45" s="381">
        <v>16842</v>
      </c>
      <c r="BQ45" s="381">
        <v>0</v>
      </c>
      <c r="BR45" s="381">
        <v>82371</v>
      </c>
      <c r="BS45" s="381">
        <v>21000</v>
      </c>
      <c r="BT45" s="381">
        <v>7294</v>
      </c>
      <c r="BU45" s="381">
        <v>88122</v>
      </c>
      <c r="BV45" s="381">
        <v>0</v>
      </c>
      <c r="BW45" s="381">
        <v>0</v>
      </c>
      <c r="BX45" s="381">
        <v>3000</v>
      </c>
      <c r="BY45" s="382">
        <v>151930</v>
      </c>
      <c r="BZ45" s="382">
        <v>25721</v>
      </c>
      <c r="CA45" s="382">
        <v>2364472</v>
      </c>
      <c r="CB45" s="389"/>
      <c r="CC45" s="381">
        <v>7356</v>
      </c>
      <c r="CD45" s="381">
        <v>0</v>
      </c>
      <c r="CE45" s="381">
        <v>3000</v>
      </c>
      <c r="CF45" s="381">
        <v>10356</v>
      </c>
      <c r="CG45" s="389"/>
      <c r="CH45" s="381">
        <v>0</v>
      </c>
      <c r="CI45" s="381">
        <v>10356</v>
      </c>
      <c r="CJ45" s="381">
        <v>0</v>
      </c>
      <c r="CK45" s="381">
        <v>0</v>
      </c>
      <c r="CL45" s="381">
        <v>0</v>
      </c>
      <c r="CM45" s="381">
        <v>0</v>
      </c>
      <c r="CN45" s="381">
        <v>0</v>
      </c>
      <c r="CO45" s="381">
        <v>0</v>
      </c>
      <c r="CP45" s="381">
        <v>10356</v>
      </c>
      <c r="CQ45" s="390"/>
      <c r="CR45" s="381">
        <v>226798.90999999983</v>
      </c>
      <c r="CS45" s="381">
        <v>0</v>
      </c>
      <c r="CT45" s="381">
        <v>0</v>
      </c>
      <c r="CU45" s="381">
        <v>-1.8189894035458565E-12</v>
      </c>
      <c r="CV45" s="381">
        <v>0</v>
      </c>
      <c r="CW45" s="381">
        <v>11999.999999999971</v>
      </c>
      <c r="CX45" s="381">
        <v>238798.9099999998</v>
      </c>
      <c r="CY45" s="381"/>
      <c r="CZ45" s="117"/>
      <c r="DA45" s="384"/>
      <c r="DB45" s="117"/>
      <c r="DC45" s="384"/>
      <c r="DD45" s="385"/>
      <c r="DE45" s="117"/>
      <c r="DF45" s="117"/>
      <c r="DG45" s="381"/>
      <c r="DH45" s="386"/>
      <c r="DI45" s="387"/>
      <c r="DJ45" s="381"/>
      <c r="DK45" s="381">
        <v>294996.9099999998</v>
      </c>
      <c r="DL45" s="381">
        <v>-1.8189894035458565E-12</v>
      </c>
      <c r="DM45" s="381">
        <v>294996.9099999998</v>
      </c>
      <c r="DN45" s="381">
        <v>238798.9099999998</v>
      </c>
      <c r="DO45" s="381">
        <v>-1.8189894035458565E-12</v>
      </c>
      <c r="DP45" s="381">
        <v>238798.9099999998</v>
      </c>
      <c r="DQ45" s="383"/>
      <c r="DR45" s="381"/>
      <c r="DS45" s="388"/>
      <c r="DT45" s="388"/>
    </row>
    <row r="46" spans="1:124" ht="14.25">
      <c r="A46" s="380">
        <v>616</v>
      </c>
      <c r="B46" s="391">
        <v>9163322</v>
      </c>
      <c r="C46" s="68">
        <v>3322</v>
      </c>
      <c r="D46" s="120"/>
      <c r="E46" s="120" t="s">
        <v>257</v>
      </c>
      <c r="F46" s="120"/>
      <c r="G46" s="120"/>
      <c r="H46" s="68"/>
      <c r="I46" s="381">
        <v>80744.260000000009</v>
      </c>
      <c r="J46" s="381">
        <v>32122.120000000003</v>
      </c>
      <c r="K46" s="381">
        <v>0</v>
      </c>
      <c r="L46" s="381">
        <v>2286.1400000000012</v>
      </c>
      <c r="M46" s="381">
        <v>0</v>
      </c>
      <c r="N46" s="381">
        <v>0</v>
      </c>
      <c r="O46" s="381">
        <v>115152.52</v>
      </c>
      <c r="P46" s="381"/>
      <c r="Q46" s="381">
        <v>431689</v>
      </c>
      <c r="R46" s="381">
        <v>0</v>
      </c>
      <c r="S46" s="381">
        <v>23391</v>
      </c>
      <c r="T46" s="381">
        <v>0</v>
      </c>
      <c r="U46" s="381">
        <v>5245</v>
      </c>
      <c r="V46" s="381">
        <v>26798</v>
      </c>
      <c r="W46" s="381">
        <v>0</v>
      </c>
      <c r="X46" s="381">
        <v>0</v>
      </c>
      <c r="Y46" s="381">
        <v>11700</v>
      </c>
      <c r="Z46" s="381">
        <v>3500</v>
      </c>
      <c r="AA46" s="381">
        <v>0</v>
      </c>
      <c r="AB46" s="381">
        <v>0</v>
      </c>
      <c r="AC46" s="381">
        <v>0</v>
      </c>
      <c r="AD46" s="381">
        <v>0</v>
      </c>
      <c r="AE46" s="381">
        <v>0</v>
      </c>
      <c r="AF46" s="381">
        <v>0</v>
      </c>
      <c r="AG46" s="381">
        <v>0</v>
      </c>
      <c r="AH46" s="381">
        <v>0</v>
      </c>
      <c r="AI46" s="381">
        <v>0</v>
      </c>
      <c r="AJ46" s="381">
        <v>0</v>
      </c>
      <c r="AK46" s="381">
        <v>0</v>
      </c>
      <c r="AL46" s="381">
        <v>502323</v>
      </c>
      <c r="AM46" s="381"/>
      <c r="AN46" s="381">
        <v>253601</v>
      </c>
      <c r="AO46" s="381">
        <v>1600</v>
      </c>
      <c r="AP46" s="381">
        <v>113360</v>
      </c>
      <c r="AQ46" s="381">
        <v>0</v>
      </c>
      <c r="AR46" s="381">
        <v>33601</v>
      </c>
      <c r="AS46" s="381">
        <v>0</v>
      </c>
      <c r="AT46" s="381">
        <v>41061</v>
      </c>
      <c r="AU46" s="381">
        <v>500</v>
      </c>
      <c r="AV46" s="381">
        <v>3100</v>
      </c>
      <c r="AW46" s="381">
        <v>2083</v>
      </c>
      <c r="AX46" s="381">
        <v>0</v>
      </c>
      <c r="AY46" s="381">
        <v>5500</v>
      </c>
      <c r="AZ46" s="381">
        <v>0</v>
      </c>
      <c r="BA46" s="381">
        <v>13446</v>
      </c>
      <c r="BB46" s="381">
        <v>1800</v>
      </c>
      <c r="BC46" s="381">
        <v>6500</v>
      </c>
      <c r="BD46" s="381">
        <v>928</v>
      </c>
      <c r="BE46" s="381">
        <v>1050</v>
      </c>
      <c r="BF46" s="381">
        <v>22114</v>
      </c>
      <c r="BG46" s="381">
        <v>2200</v>
      </c>
      <c r="BH46" s="381">
        <v>0</v>
      </c>
      <c r="BI46" s="381">
        <v>2500</v>
      </c>
      <c r="BJ46" s="381">
        <v>4500</v>
      </c>
      <c r="BK46" s="381">
        <v>0</v>
      </c>
      <c r="BL46" s="381">
        <v>0</v>
      </c>
      <c r="BM46" s="381">
        <v>790</v>
      </c>
      <c r="BN46" s="381">
        <v>0</v>
      </c>
      <c r="BO46" s="381">
        <v>3430</v>
      </c>
      <c r="BP46" s="381">
        <v>2753</v>
      </c>
      <c r="BQ46" s="381">
        <v>0</v>
      </c>
      <c r="BR46" s="381">
        <v>18473</v>
      </c>
      <c r="BS46" s="381">
        <v>400</v>
      </c>
      <c r="BT46" s="381">
        <v>9997</v>
      </c>
      <c r="BU46" s="381">
        <v>8529</v>
      </c>
      <c r="BV46" s="381">
        <v>0</v>
      </c>
      <c r="BW46" s="381">
        <v>0</v>
      </c>
      <c r="BX46" s="381">
        <v>0</v>
      </c>
      <c r="BY46" s="382">
        <v>0</v>
      </c>
      <c r="BZ46" s="382">
        <v>0</v>
      </c>
      <c r="CA46" s="382">
        <v>553816</v>
      </c>
      <c r="CB46" s="381"/>
      <c r="CC46" s="381">
        <v>0</v>
      </c>
      <c r="CD46" s="381">
        <v>0</v>
      </c>
      <c r="CE46" s="381">
        <v>0</v>
      </c>
      <c r="CF46" s="381">
        <v>0</v>
      </c>
      <c r="CG46" s="381"/>
      <c r="CH46" s="381">
        <v>0</v>
      </c>
      <c r="CI46" s="381">
        <v>2286</v>
      </c>
      <c r="CJ46" s="381">
        <v>0</v>
      </c>
      <c r="CK46" s="381">
        <v>0</v>
      </c>
      <c r="CL46" s="381">
        <v>0</v>
      </c>
      <c r="CM46" s="381">
        <v>0</v>
      </c>
      <c r="CN46" s="381">
        <v>0</v>
      </c>
      <c r="CO46" s="381">
        <v>0</v>
      </c>
      <c r="CP46" s="381">
        <v>2286</v>
      </c>
      <c r="CQ46" s="381"/>
      <c r="CR46" s="381">
        <v>61373.380000000005</v>
      </c>
      <c r="CS46" s="381">
        <v>0</v>
      </c>
      <c r="CT46" s="381">
        <v>0</v>
      </c>
      <c r="CU46" s="381">
        <v>0.14000000000123691</v>
      </c>
      <c r="CV46" s="381">
        <v>0</v>
      </c>
      <c r="CW46" s="381">
        <v>0</v>
      </c>
      <c r="CX46" s="381">
        <v>61373.520000000004</v>
      </c>
      <c r="CY46" s="381"/>
      <c r="CZ46" s="117"/>
      <c r="DA46" s="384"/>
      <c r="DB46" s="117"/>
      <c r="DC46" s="384"/>
      <c r="DD46" s="385"/>
      <c r="DE46" s="117"/>
      <c r="DF46" s="117"/>
      <c r="DG46" s="381"/>
      <c r="DH46" s="386"/>
      <c r="DI46" s="387"/>
      <c r="DJ46" s="381"/>
      <c r="DK46" s="381">
        <v>112866.38</v>
      </c>
      <c r="DL46" s="381">
        <v>2286.1400000000012</v>
      </c>
      <c r="DM46" s="381">
        <v>115152.52</v>
      </c>
      <c r="DN46" s="381">
        <v>61373.380000000005</v>
      </c>
      <c r="DO46" s="381">
        <v>0.14000000000123691</v>
      </c>
      <c r="DP46" s="381">
        <v>61373.520000000004</v>
      </c>
      <c r="DQ46" s="383"/>
      <c r="DR46" s="381"/>
      <c r="DS46" s="388"/>
      <c r="DT46" s="388"/>
    </row>
    <row r="47" spans="1:124" ht="14.25">
      <c r="A47" s="380">
        <v>695</v>
      </c>
      <c r="B47" s="391">
        <v>9163044</v>
      </c>
      <c r="C47" s="68">
        <v>3044</v>
      </c>
      <c r="D47" s="120"/>
      <c r="E47" s="120" t="s">
        <v>751</v>
      </c>
      <c r="F47" s="120"/>
      <c r="G47" s="120"/>
      <c r="H47" s="68"/>
      <c r="I47" s="381">
        <v>41336.579999999973</v>
      </c>
      <c r="J47" s="381">
        <v>5686.58</v>
      </c>
      <c r="K47" s="381">
        <v>0</v>
      </c>
      <c r="L47" s="381">
        <v>9048.6100000000042</v>
      </c>
      <c r="M47" s="381">
        <v>0</v>
      </c>
      <c r="N47" s="381">
        <v>1029.9899999999907</v>
      </c>
      <c r="O47" s="381">
        <v>57101.759999999966</v>
      </c>
      <c r="P47" s="381"/>
      <c r="Q47" s="381">
        <v>540665</v>
      </c>
      <c r="R47" s="381">
        <v>0</v>
      </c>
      <c r="S47" s="381">
        <v>36996</v>
      </c>
      <c r="T47" s="381">
        <v>0</v>
      </c>
      <c r="U47" s="381">
        <v>31000</v>
      </c>
      <c r="V47" s="381">
        <v>25239</v>
      </c>
      <c r="W47" s="381">
        <v>0</v>
      </c>
      <c r="X47" s="381">
        <v>0</v>
      </c>
      <c r="Y47" s="381">
        <v>3000</v>
      </c>
      <c r="Z47" s="381">
        <v>0</v>
      </c>
      <c r="AA47" s="381">
        <v>0</v>
      </c>
      <c r="AB47" s="381">
        <v>0</v>
      </c>
      <c r="AC47" s="381">
        <v>500</v>
      </c>
      <c r="AD47" s="381">
        <v>4000</v>
      </c>
      <c r="AE47" s="381">
        <v>0</v>
      </c>
      <c r="AF47" s="381">
        <v>40211</v>
      </c>
      <c r="AG47" s="381">
        <v>0</v>
      </c>
      <c r="AH47" s="381">
        <v>0</v>
      </c>
      <c r="AI47" s="381">
        <v>0</v>
      </c>
      <c r="AJ47" s="381">
        <v>0</v>
      </c>
      <c r="AK47" s="381">
        <v>0</v>
      </c>
      <c r="AL47" s="381">
        <v>681611</v>
      </c>
      <c r="AM47" s="381"/>
      <c r="AN47" s="381">
        <v>343440</v>
      </c>
      <c r="AO47" s="381">
        <v>0</v>
      </c>
      <c r="AP47" s="381">
        <v>167251</v>
      </c>
      <c r="AQ47" s="381">
        <v>4472</v>
      </c>
      <c r="AR47" s="381">
        <v>42978</v>
      </c>
      <c r="AS47" s="381">
        <v>0</v>
      </c>
      <c r="AT47" s="381">
        <v>22879</v>
      </c>
      <c r="AU47" s="381">
        <v>3597</v>
      </c>
      <c r="AV47" s="381">
        <v>4465</v>
      </c>
      <c r="AW47" s="381">
        <v>223</v>
      </c>
      <c r="AX47" s="381">
        <v>0</v>
      </c>
      <c r="AY47" s="381">
        <v>6551</v>
      </c>
      <c r="AZ47" s="381">
        <v>2868</v>
      </c>
      <c r="BA47" s="381">
        <v>27063</v>
      </c>
      <c r="BB47" s="381">
        <v>1500</v>
      </c>
      <c r="BC47" s="381">
        <v>10100</v>
      </c>
      <c r="BD47" s="381">
        <v>12974</v>
      </c>
      <c r="BE47" s="381">
        <v>2114</v>
      </c>
      <c r="BF47" s="381">
        <v>15638</v>
      </c>
      <c r="BG47" s="381">
        <v>4311</v>
      </c>
      <c r="BH47" s="381">
        <v>0</v>
      </c>
      <c r="BI47" s="381">
        <v>0</v>
      </c>
      <c r="BJ47" s="381">
        <v>0</v>
      </c>
      <c r="BK47" s="381">
        <v>0</v>
      </c>
      <c r="BL47" s="381">
        <v>0</v>
      </c>
      <c r="BM47" s="381">
        <v>3090</v>
      </c>
      <c r="BN47" s="381">
        <v>0</v>
      </c>
      <c r="BO47" s="381">
        <v>1050</v>
      </c>
      <c r="BP47" s="381">
        <v>3940</v>
      </c>
      <c r="BQ47" s="381">
        <v>0</v>
      </c>
      <c r="BR47" s="381">
        <v>18525</v>
      </c>
      <c r="BS47" s="381">
        <v>3552</v>
      </c>
      <c r="BT47" s="381">
        <v>16008</v>
      </c>
      <c r="BU47" s="381">
        <v>12495</v>
      </c>
      <c r="BV47" s="381">
        <v>0</v>
      </c>
      <c r="BW47" s="381">
        <v>0</v>
      </c>
      <c r="BX47" s="381">
        <v>0</v>
      </c>
      <c r="BY47" s="382">
        <v>44111</v>
      </c>
      <c r="BZ47" s="382">
        <v>250</v>
      </c>
      <c r="CA47" s="382">
        <v>775445</v>
      </c>
      <c r="CB47" s="381"/>
      <c r="CC47" s="381">
        <v>4900</v>
      </c>
      <c r="CD47" s="381">
        <v>0</v>
      </c>
      <c r="CE47" s="381">
        <v>0</v>
      </c>
      <c r="CF47" s="381">
        <v>4900</v>
      </c>
      <c r="CG47" s="381"/>
      <c r="CH47" s="381">
        <v>0</v>
      </c>
      <c r="CI47" s="381">
        <v>13949</v>
      </c>
      <c r="CJ47" s="381">
        <v>0</v>
      </c>
      <c r="CK47" s="381">
        <v>0</v>
      </c>
      <c r="CL47" s="381">
        <v>0</v>
      </c>
      <c r="CM47" s="381">
        <v>0</v>
      </c>
      <c r="CN47" s="381">
        <v>0</v>
      </c>
      <c r="CO47" s="381">
        <v>0</v>
      </c>
      <c r="CP47" s="381">
        <v>13949</v>
      </c>
      <c r="CQ47" s="381"/>
      <c r="CR47" s="381">
        <v>-42660.840000000026</v>
      </c>
      <c r="CS47" s="381">
        <v>0</v>
      </c>
      <c r="CT47" s="381">
        <v>0</v>
      </c>
      <c r="CU47" s="381">
        <v>-0.38999999999577994</v>
      </c>
      <c r="CV47" s="381">
        <v>0</v>
      </c>
      <c r="CW47" s="381">
        <v>-3120.0100000000093</v>
      </c>
      <c r="CX47" s="381">
        <v>-45781.240000000034</v>
      </c>
      <c r="CY47" s="381"/>
      <c r="CZ47" s="117"/>
      <c r="DA47" s="384"/>
      <c r="DB47" s="117"/>
      <c r="DC47" s="384"/>
      <c r="DD47" s="385"/>
      <c r="DE47" s="117"/>
      <c r="DF47" s="117"/>
      <c r="DG47" s="381"/>
      <c r="DH47" s="386"/>
      <c r="DI47" s="387"/>
      <c r="DJ47" s="381"/>
      <c r="DK47" s="381">
        <v>48053.149999999965</v>
      </c>
      <c r="DL47" s="381">
        <v>9048.6100000000042</v>
      </c>
      <c r="DM47" s="381">
        <v>57101.759999999966</v>
      </c>
      <c r="DN47" s="381">
        <v>-45780.850000000035</v>
      </c>
      <c r="DO47" s="381">
        <v>-0.38999999999577994</v>
      </c>
      <c r="DP47" s="381">
        <v>-45781.240000000034</v>
      </c>
      <c r="DQ47" s="383"/>
      <c r="DR47" s="381"/>
      <c r="DS47" s="388"/>
      <c r="DT47" s="388"/>
    </row>
    <row r="48" spans="1:124" ht="14.25">
      <c r="A48" s="380">
        <v>547</v>
      </c>
      <c r="B48" s="391">
        <v>9162141</v>
      </c>
      <c r="C48" s="68">
        <v>2141</v>
      </c>
      <c r="D48" s="120"/>
      <c r="E48" s="120" t="s">
        <v>246</v>
      </c>
      <c r="F48" s="120"/>
      <c r="G48" s="120"/>
      <c r="H48" s="68"/>
      <c r="I48" s="381">
        <v>419298.7999999997</v>
      </c>
      <c r="J48" s="381">
        <v>14033.839999999997</v>
      </c>
      <c r="K48" s="381">
        <v>0</v>
      </c>
      <c r="L48" s="381">
        <v>0</v>
      </c>
      <c r="M48" s="381">
        <v>0</v>
      </c>
      <c r="N48" s="381">
        <v>42223.899999999994</v>
      </c>
      <c r="O48" s="381">
        <v>475556.53999999969</v>
      </c>
      <c r="P48" s="381"/>
      <c r="Q48" s="381">
        <v>2149347</v>
      </c>
      <c r="R48" s="381">
        <v>0</v>
      </c>
      <c r="S48" s="381">
        <v>138105</v>
      </c>
      <c r="T48" s="381">
        <v>0</v>
      </c>
      <c r="U48" s="381">
        <v>113490</v>
      </c>
      <c r="V48" s="381">
        <v>90189</v>
      </c>
      <c r="W48" s="381">
        <v>0</v>
      </c>
      <c r="X48" s="381">
        <v>0</v>
      </c>
      <c r="Y48" s="381">
        <v>208800</v>
      </c>
      <c r="Z48" s="381">
        <v>0</v>
      </c>
      <c r="AA48" s="381">
        <v>0</v>
      </c>
      <c r="AB48" s="381">
        <v>0</v>
      </c>
      <c r="AC48" s="381">
        <v>0</v>
      </c>
      <c r="AD48" s="381">
        <v>14200</v>
      </c>
      <c r="AE48" s="381">
        <v>0</v>
      </c>
      <c r="AF48" s="381">
        <v>150849</v>
      </c>
      <c r="AG48" s="381">
        <v>0</v>
      </c>
      <c r="AH48" s="381">
        <v>0</v>
      </c>
      <c r="AI48" s="381">
        <v>0</v>
      </c>
      <c r="AJ48" s="381">
        <v>0</v>
      </c>
      <c r="AK48" s="381">
        <v>0</v>
      </c>
      <c r="AL48" s="381">
        <v>2864980</v>
      </c>
      <c r="AM48" s="381"/>
      <c r="AN48" s="381">
        <v>1375190</v>
      </c>
      <c r="AO48" s="381">
        <v>5000</v>
      </c>
      <c r="AP48" s="381">
        <v>385338</v>
      </c>
      <c r="AQ48" s="381">
        <v>20754</v>
      </c>
      <c r="AR48" s="381">
        <v>142282</v>
      </c>
      <c r="AS48" s="381">
        <v>0</v>
      </c>
      <c r="AT48" s="381">
        <v>165232</v>
      </c>
      <c r="AU48" s="381">
        <v>11069</v>
      </c>
      <c r="AV48" s="381">
        <v>8446</v>
      </c>
      <c r="AW48" s="381">
        <v>1278</v>
      </c>
      <c r="AX48" s="381">
        <v>0</v>
      </c>
      <c r="AY48" s="381">
        <v>50185</v>
      </c>
      <c r="AZ48" s="381">
        <v>14495</v>
      </c>
      <c r="BA48" s="381">
        <v>48446</v>
      </c>
      <c r="BB48" s="381">
        <v>5652</v>
      </c>
      <c r="BC48" s="381">
        <v>26480</v>
      </c>
      <c r="BD48" s="381">
        <v>32756</v>
      </c>
      <c r="BE48" s="381">
        <v>8300</v>
      </c>
      <c r="BF48" s="381">
        <v>127294</v>
      </c>
      <c r="BG48" s="381">
        <v>4386</v>
      </c>
      <c r="BH48" s="381">
        <v>0</v>
      </c>
      <c r="BI48" s="381">
        <v>2000</v>
      </c>
      <c r="BJ48" s="381">
        <v>0</v>
      </c>
      <c r="BK48" s="381">
        <v>19706</v>
      </c>
      <c r="BL48" s="381">
        <v>0</v>
      </c>
      <c r="BM48" s="381">
        <v>19473</v>
      </c>
      <c r="BN48" s="381">
        <v>0</v>
      </c>
      <c r="BO48" s="381">
        <v>13148</v>
      </c>
      <c r="BP48" s="381">
        <v>22617</v>
      </c>
      <c r="BQ48" s="381">
        <v>0</v>
      </c>
      <c r="BR48" s="381">
        <v>116331</v>
      </c>
      <c r="BS48" s="381">
        <v>23500</v>
      </c>
      <c r="BT48" s="381">
        <v>50070</v>
      </c>
      <c r="BU48" s="381">
        <v>24105</v>
      </c>
      <c r="BV48" s="381">
        <v>0</v>
      </c>
      <c r="BW48" s="381">
        <v>0</v>
      </c>
      <c r="BX48" s="381">
        <v>0</v>
      </c>
      <c r="BY48" s="382">
        <v>132353</v>
      </c>
      <c r="BZ48" s="382">
        <v>18884</v>
      </c>
      <c r="CA48" s="382">
        <v>2874770</v>
      </c>
      <c r="CB48" s="381"/>
      <c r="CC48" s="381">
        <v>8658</v>
      </c>
      <c r="CD48" s="381">
        <v>0</v>
      </c>
      <c r="CE48" s="381">
        <v>0</v>
      </c>
      <c r="CF48" s="381">
        <v>8658</v>
      </c>
      <c r="CG48" s="381"/>
      <c r="CH48" s="381">
        <v>0</v>
      </c>
      <c r="CI48" s="381">
        <v>8658</v>
      </c>
      <c r="CJ48" s="381">
        <v>0</v>
      </c>
      <c r="CK48" s="381">
        <v>0</v>
      </c>
      <c r="CL48" s="381">
        <v>0</v>
      </c>
      <c r="CM48" s="381">
        <v>0</v>
      </c>
      <c r="CN48" s="381">
        <v>0</v>
      </c>
      <c r="CO48" s="381">
        <v>0</v>
      </c>
      <c r="CP48" s="381">
        <v>8658</v>
      </c>
      <c r="CQ48" s="381"/>
      <c r="CR48" s="381">
        <v>423930.63999999966</v>
      </c>
      <c r="CS48" s="381">
        <v>0</v>
      </c>
      <c r="CT48" s="381">
        <v>0</v>
      </c>
      <c r="CU48" s="381">
        <v>0</v>
      </c>
      <c r="CV48" s="381">
        <v>0</v>
      </c>
      <c r="CW48" s="381">
        <v>41835.899999999994</v>
      </c>
      <c r="CX48" s="381">
        <v>465766.53999999969</v>
      </c>
      <c r="CY48" s="381"/>
      <c r="CZ48" s="117"/>
      <c r="DA48" s="384"/>
      <c r="DB48" s="117"/>
      <c r="DC48" s="384"/>
      <c r="DD48" s="385"/>
      <c r="DE48" s="117"/>
      <c r="DF48" s="117"/>
      <c r="DG48" s="381"/>
      <c r="DH48" s="386"/>
      <c r="DI48" s="387"/>
      <c r="DJ48" s="381"/>
      <c r="DK48" s="381">
        <v>475556.53999999969</v>
      </c>
      <c r="DL48" s="381">
        <v>0</v>
      </c>
      <c r="DM48" s="381">
        <v>475556.53999999969</v>
      </c>
      <c r="DN48" s="381">
        <v>465766.53999999969</v>
      </c>
      <c r="DO48" s="381">
        <v>0</v>
      </c>
      <c r="DP48" s="381">
        <v>465766.53999999969</v>
      </c>
      <c r="DQ48" s="383"/>
      <c r="DR48" s="381"/>
      <c r="DS48" s="388"/>
      <c r="DT48" s="388"/>
    </row>
    <row r="49" spans="1:127" ht="14.25">
      <c r="A49" s="380">
        <v>733</v>
      </c>
      <c r="B49" s="391">
        <v>9163057</v>
      </c>
      <c r="C49" s="68">
        <v>3057</v>
      </c>
      <c r="D49" s="120"/>
      <c r="E49" s="120" t="s">
        <v>199</v>
      </c>
      <c r="F49" s="120"/>
      <c r="G49" s="120"/>
      <c r="H49" s="68"/>
      <c r="I49" s="381">
        <v>106836.18000000009</v>
      </c>
      <c r="J49" s="381">
        <v>878.36999999999989</v>
      </c>
      <c r="K49" s="381">
        <v>0</v>
      </c>
      <c r="L49" s="381">
        <v>11423.39</v>
      </c>
      <c r="M49" s="381">
        <v>0</v>
      </c>
      <c r="N49" s="381">
        <v>22557.420000000013</v>
      </c>
      <c r="O49" s="381">
        <v>141695.3600000001</v>
      </c>
      <c r="P49" s="381"/>
      <c r="Q49" s="381">
        <v>825700</v>
      </c>
      <c r="R49" s="381">
        <v>0</v>
      </c>
      <c r="S49" s="381">
        <v>52478</v>
      </c>
      <c r="T49" s="381">
        <v>0</v>
      </c>
      <c r="U49" s="381">
        <v>17710</v>
      </c>
      <c r="V49" s="381">
        <v>38210</v>
      </c>
      <c r="W49" s="381">
        <v>0</v>
      </c>
      <c r="X49" s="381">
        <v>0</v>
      </c>
      <c r="Y49" s="381">
        <v>23000</v>
      </c>
      <c r="Z49" s="381">
        <v>0</v>
      </c>
      <c r="AA49" s="381">
        <v>0</v>
      </c>
      <c r="AB49" s="381">
        <v>0</v>
      </c>
      <c r="AC49" s="381">
        <v>0</v>
      </c>
      <c r="AD49" s="381">
        <v>0</v>
      </c>
      <c r="AE49" s="381">
        <v>0</v>
      </c>
      <c r="AF49" s="381">
        <v>62373</v>
      </c>
      <c r="AG49" s="381">
        <v>24422</v>
      </c>
      <c r="AH49" s="381">
        <v>0</v>
      </c>
      <c r="AI49" s="381">
        <v>0</v>
      </c>
      <c r="AJ49" s="381">
        <v>0</v>
      </c>
      <c r="AK49" s="381">
        <v>0</v>
      </c>
      <c r="AL49" s="381">
        <v>1043893</v>
      </c>
      <c r="AM49" s="381"/>
      <c r="AN49" s="381">
        <v>570435</v>
      </c>
      <c r="AO49" s="381">
        <v>0</v>
      </c>
      <c r="AP49" s="381">
        <v>211615</v>
      </c>
      <c r="AQ49" s="381">
        <v>0</v>
      </c>
      <c r="AR49" s="381">
        <v>58923</v>
      </c>
      <c r="AS49" s="381">
        <v>0</v>
      </c>
      <c r="AT49" s="381">
        <v>35214</v>
      </c>
      <c r="AU49" s="381">
        <v>4801</v>
      </c>
      <c r="AV49" s="381">
        <v>4200</v>
      </c>
      <c r="AW49" s="381">
        <v>454</v>
      </c>
      <c r="AX49" s="381">
        <v>0</v>
      </c>
      <c r="AY49" s="381">
        <v>3554</v>
      </c>
      <c r="AZ49" s="381">
        <v>1263</v>
      </c>
      <c r="BA49" s="381">
        <v>18188</v>
      </c>
      <c r="BB49" s="381">
        <v>2499</v>
      </c>
      <c r="BC49" s="381">
        <v>6803</v>
      </c>
      <c r="BD49" s="381">
        <v>4890</v>
      </c>
      <c r="BE49" s="381">
        <v>12243</v>
      </c>
      <c r="BF49" s="381">
        <v>41679</v>
      </c>
      <c r="BG49" s="381">
        <v>3000</v>
      </c>
      <c r="BH49" s="381">
        <v>0</v>
      </c>
      <c r="BI49" s="381">
        <v>2446</v>
      </c>
      <c r="BJ49" s="381">
        <v>0</v>
      </c>
      <c r="BK49" s="381">
        <v>0</v>
      </c>
      <c r="BL49" s="381">
        <v>0</v>
      </c>
      <c r="BM49" s="381">
        <v>0</v>
      </c>
      <c r="BN49" s="381">
        <v>0</v>
      </c>
      <c r="BO49" s="381">
        <v>5427</v>
      </c>
      <c r="BP49" s="381">
        <v>8044</v>
      </c>
      <c r="BQ49" s="381">
        <v>0</v>
      </c>
      <c r="BR49" s="381">
        <v>27610</v>
      </c>
      <c r="BS49" s="381">
        <v>0</v>
      </c>
      <c r="BT49" s="381">
        <v>0</v>
      </c>
      <c r="BU49" s="381">
        <v>12262</v>
      </c>
      <c r="BV49" s="381">
        <v>0</v>
      </c>
      <c r="BW49" s="381">
        <v>0</v>
      </c>
      <c r="BX49" s="381">
        <v>0</v>
      </c>
      <c r="BY49" s="382">
        <v>76386</v>
      </c>
      <c r="BZ49" s="382">
        <v>4441</v>
      </c>
      <c r="CA49" s="382">
        <v>1116377</v>
      </c>
      <c r="CB49" s="381"/>
      <c r="CC49" s="381">
        <v>5721</v>
      </c>
      <c r="CD49" s="381">
        <v>0</v>
      </c>
      <c r="CE49" s="381">
        <v>0</v>
      </c>
      <c r="CF49" s="381">
        <v>5721</v>
      </c>
      <c r="CG49" s="381"/>
      <c r="CH49" s="381">
        <v>0</v>
      </c>
      <c r="CI49" s="381">
        <v>17145</v>
      </c>
      <c r="CJ49" s="381">
        <v>0</v>
      </c>
      <c r="CK49" s="381">
        <v>0</v>
      </c>
      <c r="CL49" s="381">
        <v>0</v>
      </c>
      <c r="CM49" s="381">
        <v>0</v>
      </c>
      <c r="CN49" s="381">
        <v>0</v>
      </c>
      <c r="CO49" s="381">
        <v>0</v>
      </c>
      <c r="CP49" s="381">
        <v>17145</v>
      </c>
      <c r="CQ49" s="381"/>
      <c r="CR49" s="381">
        <v>29262.55000000009</v>
      </c>
      <c r="CS49" s="381">
        <v>0</v>
      </c>
      <c r="CT49" s="381">
        <v>0</v>
      </c>
      <c r="CU49" s="381">
        <v>-0.61000000000058208</v>
      </c>
      <c r="CV49" s="381">
        <v>0</v>
      </c>
      <c r="CW49" s="381">
        <v>28525.420000000013</v>
      </c>
      <c r="CX49" s="381">
        <v>57787.360000000102</v>
      </c>
      <c r="CY49" s="381"/>
      <c r="CZ49" s="117"/>
      <c r="DA49" s="384"/>
      <c r="DB49" s="117"/>
      <c r="DC49" s="384"/>
      <c r="DD49" s="385"/>
      <c r="DE49" s="117"/>
      <c r="DF49" s="117"/>
      <c r="DG49" s="381"/>
      <c r="DH49" s="386"/>
      <c r="DI49" s="387"/>
      <c r="DJ49" s="381"/>
      <c r="DK49" s="381">
        <v>130271.9700000001</v>
      </c>
      <c r="DL49" s="381">
        <v>11423.39</v>
      </c>
      <c r="DM49" s="381">
        <v>141695.3600000001</v>
      </c>
      <c r="DN49" s="381">
        <v>57787.970000000103</v>
      </c>
      <c r="DO49" s="381">
        <v>-0.61000000000058208</v>
      </c>
      <c r="DP49" s="381">
        <v>57787.360000000102</v>
      </c>
      <c r="DQ49" s="383"/>
      <c r="DR49" s="381"/>
      <c r="DS49" s="388"/>
      <c r="DT49" s="388"/>
    </row>
    <row r="50" spans="1:127" ht="15">
      <c r="A50" s="380">
        <v>691</v>
      </c>
      <c r="B50" s="391">
        <v>9162075</v>
      </c>
      <c r="C50" s="68">
        <v>2075</v>
      </c>
      <c r="D50" s="120"/>
      <c r="E50" s="120" t="s">
        <v>192</v>
      </c>
      <c r="F50" s="120"/>
      <c r="G50" s="120"/>
      <c r="H50" s="68"/>
      <c r="I50" s="381">
        <v>55106.55000000001</v>
      </c>
      <c r="J50" s="381">
        <v>29325.46</v>
      </c>
      <c r="K50" s="381">
        <v>0</v>
      </c>
      <c r="L50" s="381">
        <v>-1352.6699999999983</v>
      </c>
      <c r="M50" s="381">
        <v>0</v>
      </c>
      <c r="N50" s="381">
        <v>0</v>
      </c>
      <c r="O50" s="381">
        <v>83079.340000000011</v>
      </c>
      <c r="P50" s="389"/>
      <c r="Q50" s="381">
        <v>594374</v>
      </c>
      <c r="R50" s="381">
        <v>0</v>
      </c>
      <c r="S50" s="381">
        <v>36196</v>
      </c>
      <c r="T50" s="381">
        <v>0</v>
      </c>
      <c r="U50" s="381">
        <v>27870</v>
      </c>
      <c r="V50" s="381">
        <v>40965</v>
      </c>
      <c r="W50" s="381">
        <v>0</v>
      </c>
      <c r="X50" s="381">
        <v>0</v>
      </c>
      <c r="Y50" s="381">
        <v>55189</v>
      </c>
      <c r="Z50" s="381">
        <v>0</v>
      </c>
      <c r="AA50" s="381">
        <v>0</v>
      </c>
      <c r="AB50" s="381">
        <v>0</v>
      </c>
      <c r="AC50" s="381">
        <v>2000</v>
      </c>
      <c r="AD50" s="381">
        <v>2270</v>
      </c>
      <c r="AE50" s="381">
        <v>0</v>
      </c>
      <c r="AF50" s="381">
        <v>0</v>
      </c>
      <c r="AG50" s="381">
        <v>0</v>
      </c>
      <c r="AH50" s="381">
        <v>0</v>
      </c>
      <c r="AI50" s="381">
        <v>0</v>
      </c>
      <c r="AJ50" s="381">
        <v>0</v>
      </c>
      <c r="AK50" s="381">
        <v>0</v>
      </c>
      <c r="AL50" s="381">
        <v>758864</v>
      </c>
      <c r="AM50" s="389"/>
      <c r="AN50" s="381">
        <v>422748</v>
      </c>
      <c r="AO50" s="381">
        <v>1000</v>
      </c>
      <c r="AP50" s="381">
        <v>159076</v>
      </c>
      <c r="AQ50" s="381">
        <v>3958</v>
      </c>
      <c r="AR50" s="381">
        <v>66047</v>
      </c>
      <c r="AS50" s="381">
        <v>0</v>
      </c>
      <c r="AT50" s="381">
        <v>10767</v>
      </c>
      <c r="AU50" s="381">
        <v>3816</v>
      </c>
      <c r="AV50" s="381">
        <v>4775</v>
      </c>
      <c r="AW50" s="381">
        <v>2297</v>
      </c>
      <c r="AX50" s="381">
        <v>0</v>
      </c>
      <c r="AY50" s="381">
        <v>10290</v>
      </c>
      <c r="AZ50" s="381">
        <v>600</v>
      </c>
      <c r="BA50" s="381">
        <v>10973</v>
      </c>
      <c r="BB50" s="381">
        <v>1200</v>
      </c>
      <c r="BC50" s="381">
        <v>6300</v>
      </c>
      <c r="BD50" s="381">
        <v>12191</v>
      </c>
      <c r="BE50" s="381">
        <v>1000</v>
      </c>
      <c r="BF50" s="381">
        <v>54280</v>
      </c>
      <c r="BG50" s="381">
        <v>3300</v>
      </c>
      <c r="BH50" s="381">
        <v>0</v>
      </c>
      <c r="BI50" s="381">
        <v>0</v>
      </c>
      <c r="BJ50" s="381">
        <v>0</v>
      </c>
      <c r="BK50" s="381">
        <v>0</v>
      </c>
      <c r="BL50" s="381">
        <v>0</v>
      </c>
      <c r="BM50" s="381">
        <v>2500</v>
      </c>
      <c r="BN50" s="381">
        <v>0</v>
      </c>
      <c r="BO50" s="381">
        <v>710</v>
      </c>
      <c r="BP50" s="381">
        <v>5020</v>
      </c>
      <c r="BQ50" s="381">
        <v>0</v>
      </c>
      <c r="BR50" s="381">
        <v>26668</v>
      </c>
      <c r="BS50" s="381">
        <v>15745</v>
      </c>
      <c r="BT50" s="381">
        <v>16241</v>
      </c>
      <c r="BU50" s="381">
        <v>32834</v>
      </c>
      <c r="BV50" s="381">
        <v>0</v>
      </c>
      <c r="BW50" s="381">
        <v>0</v>
      </c>
      <c r="BX50" s="381">
        <v>0</v>
      </c>
      <c r="BY50" s="382">
        <v>0</v>
      </c>
      <c r="BZ50" s="382">
        <v>0</v>
      </c>
      <c r="CA50" s="382">
        <v>874336</v>
      </c>
      <c r="CB50" s="389"/>
      <c r="CC50" s="381">
        <v>5114</v>
      </c>
      <c r="CD50" s="381">
        <v>0</v>
      </c>
      <c r="CE50" s="381">
        <v>0</v>
      </c>
      <c r="CF50" s="381">
        <v>5114</v>
      </c>
      <c r="CG50" s="389"/>
      <c r="CH50" s="381">
        <v>0</v>
      </c>
      <c r="CI50" s="381">
        <v>3761</v>
      </c>
      <c r="CJ50" s="381">
        <v>0</v>
      </c>
      <c r="CK50" s="381">
        <v>0</v>
      </c>
      <c r="CL50" s="381">
        <v>0</v>
      </c>
      <c r="CM50" s="381">
        <v>0</v>
      </c>
      <c r="CN50" s="381">
        <v>0</v>
      </c>
      <c r="CO50" s="381">
        <v>0</v>
      </c>
      <c r="CP50" s="381">
        <v>3761</v>
      </c>
      <c r="CQ50" s="390"/>
      <c r="CR50" s="381">
        <v>-31039.989999999991</v>
      </c>
      <c r="CS50" s="381">
        <v>0</v>
      </c>
      <c r="CT50" s="381">
        <v>0</v>
      </c>
      <c r="CU50" s="381">
        <v>0.33000000000174623</v>
      </c>
      <c r="CV50" s="381">
        <v>0</v>
      </c>
      <c r="CW50" s="381">
        <v>0</v>
      </c>
      <c r="CX50" s="381">
        <v>-31039.659999999989</v>
      </c>
      <c r="CY50" s="381"/>
      <c r="CZ50" s="117"/>
      <c r="DA50" s="384"/>
      <c r="DB50" s="117"/>
      <c r="DC50" s="384"/>
      <c r="DD50" s="385"/>
      <c r="DE50" s="117"/>
      <c r="DF50" s="117"/>
      <c r="DG50" s="381"/>
      <c r="DH50" s="386"/>
      <c r="DI50" s="387"/>
      <c r="DJ50" s="381"/>
      <c r="DK50" s="381">
        <v>84432.010000000009</v>
      </c>
      <c r="DL50" s="381">
        <v>-1352.6699999999983</v>
      </c>
      <c r="DM50" s="381">
        <v>83079.340000000011</v>
      </c>
      <c r="DN50" s="381">
        <v>-31039.989999999991</v>
      </c>
      <c r="DO50" s="381">
        <v>0.33000000000174623</v>
      </c>
      <c r="DP50" s="381">
        <v>-31039.659999999989</v>
      </c>
      <c r="DQ50" s="383"/>
      <c r="DR50" s="381"/>
      <c r="DS50" s="388"/>
      <c r="DT50" s="388"/>
    </row>
    <row r="51" spans="1:127" ht="14.25">
      <c r="A51" s="380">
        <v>936</v>
      </c>
      <c r="B51" s="391">
        <v>9163011</v>
      </c>
      <c r="C51" s="68">
        <v>3011</v>
      </c>
      <c r="D51" s="120"/>
      <c r="E51" s="120" t="s">
        <v>260</v>
      </c>
      <c r="F51" s="120"/>
      <c r="G51" s="120"/>
      <c r="H51" s="68"/>
      <c r="I51" s="381">
        <v>-43155.629999999903</v>
      </c>
      <c r="J51" s="381">
        <v>7611</v>
      </c>
      <c r="K51" s="381">
        <v>0</v>
      </c>
      <c r="L51" s="381">
        <v>3767.0599999999977</v>
      </c>
      <c r="M51" s="381">
        <v>0</v>
      </c>
      <c r="N51" s="381">
        <v>0</v>
      </c>
      <c r="O51" s="381">
        <v>-31777.569999999905</v>
      </c>
      <c r="P51" s="381"/>
      <c r="Q51" s="381">
        <v>1213773</v>
      </c>
      <c r="R51" s="381">
        <v>0</v>
      </c>
      <c r="S51" s="381">
        <v>113833</v>
      </c>
      <c r="T51" s="381">
        <v>0</v>
      </c>
      <c r="U51" s="381">
        <v>66995</v>
      </c>
      <c r="V51" s="381">
        <v>50398</v>
      </c>
      <c r="W51" s="381">
        <v>0</v>
      </c>
      <c r="X51" s="381">
        <v>0</v>
      </c>
      <c r="Y51" s="381">
        <v>50860</v>
      </c>
      <c r="Z51" s="381">
        <v>20000</v>
      </c>
      <c r="AA51" s="381">
        <v>525</v>
      </c>
      <c r="AB51" s="381">
        <v>0</v>
      </c>
      <c r="AC51" s="381">
        <v>0</v>
      </c>
      <c r="AD51" s="381">
        <v>0</v>
      </c>
      <c r="AE51" s="381">
        <v>0</v>
      </c>
      <c r="AF51" s="381">
        <v>0</v>
      </c>
      <c r="AG51" s="381">
        <v>0</v>
      </c>
      <c r="AH51" s="381">
        <v>0</v>
      </c>
      <c r="AI51" s="381">
        <v>0</v>
      </c>
      <c r="AJ51" s="381">
        <v>0</v>
      </c>
      <c r="AK51" s="381">
        <v>0</v>
      </c>
      <c r="AL51" s="381">
        <v>1516384</v>
      </c>
      <c r="AM51" s="381"/>
      <c r="AN51" s="381">
        <v>679880</v>
      </c>
      <c r="AO51" s="381">
        <v>5700</v>
      </c>
      <c r="AP51" s="381">
        <v>420991</v>
      </c>
      <c r="AQ51" s="381">
        <v>24139</v>
      </c>
      <c r="AR51" s="381">
        <v>74499</v>
      </c>
      <c r="AS51" s="381">
        <v>0</v>
      </c>
      <c r="AT51" s="381">
        <v>48638</v>
      </c>
      <c r="AU51" s="381">
        <v>5891</v>
      </c>
      <c r="AV51" s="381">
        <v>1500</v>
      </c>
      <c r="AW51" s="381">
        <v>647</v>
      </c>
      <c r="AX51" s="381">
        <v>8000</v>
      </c>
      <c r="AY51" s="381">
        <v>9633</v>
      </c>
      <c r="AZ51" s="381">
        <v>3600</v>
      </c>
      <c r="BA51" s="381">
        <v>28918</v>
      </c>
      <c r="BB51" s="381">
        <v>4434</v>
      </c>
      <c r="BC51" s="381">
        <v>17125</v>
      </c>
      <c r="BD51" s="381">
        <v>12556</v>
      </c>
      <c r="BE51" s="381">
        <v>2869</v>
      </c>
      <c r="BF51" s="381">
        <v>52639</v>
      </c>
      <c r="BG51" s="381">
        <v>5165</v>
      </c>
      <c r="BH51" s="381">
        <v>0</v>
      </c>
      <c r="BI51" s="381">
        <v>0</v>
      </c>
      <c r="BJ51" s="381">
        <v>0</v>
      </c>
      <c r="BK51" s="381">
        <v>0</v>
      </c>
      <c r="BL51" s="381">
        <v>0</v>
      </c>
      <c r="BM51" s="381">
        <v>5485</v>
      </c>
      <c r="BN51" s="381">
        <v>0</v>
      </c>
      <c r="BO51" s="381">
        <v>5998</v>
      </c>
      <c r="BP51" s="381">
        <v>11444</v>
      </c>
      <c r="BQ51" s="381">
        <v>0</v>
      </c>
      <c r="BR51" s="381">
        <v>68758</v>
      </c>
      <c r="BS51" s="381">
        <v>40424</v>
      </c>
      <c r="BT51" s="381">
        <v>170</v>
      </c>
      <c r="BU51" s="381">
        <v>16885</v>
      </c>
      <c r="BV51" s="381">
        <v>0</v>
      </c>
      <c r="BW51" s="381">
        <v>0</v>
      </c>
      <c r="BX51" s="381">
        <v>0</v>
      </c>
      <c r="BY51" s="382">
        <v>0</v>
      </c>
      <c r="BZ51" s="382">
        <v>0</v>
      </c>
      <c r="CA51" s="382">
        <v>1555988</v>
      </c>
      <c r="CB51" s="381"/>
      <c r="CC51" s="381">
        <v>6373</v>
      </c>
      <c r="CD51" s="381">
        <v>0</v>
      </c>
      <c r="CE51" s="381">
        <v>0</v>
      </c>
      <c r="CF51" s="381">
        <v>6373</v>
      </c>
      <c r="CG51" s="381"/>
      <c r="CH51" s="381">
        <v>0</v>
      </c>
      <c r="CI51" s="381">
        <v>6373</v>
      </c>
      <c r="CJ51" s="381">
        <v>0</v>
      </c>
      <c r="CK51" s="381">
        <v>0</v>
      </c>
      <c r="CL51" s="381">
        <v>0</v>
      </c>
      <c r="CM51" s="381">
        <v>0</v>
      </c>
      <c r="CN51" s="381">
        <v>0</v>
      </c>
      <c r="CO51" s="381">
        <v>0</v>
      </c>
      <c r="CP51" s="381">
        <v>6373</v>
      </c>
      <c r="CQ51" s="381"/>
      <c r="CR51" s="381">
        <v>-75148.629999999903</v>
      </c>
      <c r="CS51" s="381">
        <v>0</v>
      </c>
      <c r="CT51" s="381">
        <v>0</v>
      </c>
      <c r="CU51" s="381">
        <v>3767.0599999999977</v>
      </c>
      <c r="CV51" s="381">
        <v>0</v>
      </c>
      <c r="CW51" s="381">
        <v>0</v>
      </c>
      <c r="CX51" s="381">
        <v>-71381.569999999905</v>
      </c>
      <c r="CY51" s="381"/>
      <c r="CZ51" s="117"/>
      <c r="DA51" s="384"/>
      <c r="DB51" s="117"/>
      <c r="DC51" s="384"/>
      <c r="DD51" s="385"/>
      <c r="DE51" s="117"/>
      <c r="DF51" s="117"/>
      <c r="DG51" s="381"/>
      <c r="DH51" s="386"/>
      <c r="DI51" s="387"/>
      <c r="DJ51" s="381"/>
      <c r="DK51" s="381">
        <v>-35544.629999999903</v>
      </c>
      <c r="DL51" s="381">
        <v>3767.0599999999977</v>
      </c>
      <c r="DM51" s="381">
        <v>-31777.569999999905</v>
      </c>
      <c r="DN51" s="381">
        <v>-75148.629999999903</v>
      </c>
      <c r="DO51" s="381">
        <v>3767.0599999999977</v>
      </c>
      <c r="DP51" s="381">
        <v>-71381.569999999905</v>
      </c>
      <c r="DQ51" s="383"/>
      <c r="DR51" s="381"/>
      <c r="DS51" s="388"/>
      <c r="DT51" s="388"/>
    </row>
    <row r="52" spans="1:127" ht="14.25">
      <c r="A52" s="380">
        <v>940</v>
      </c>
      <c r="B52" s="391">
        <v>9162004</v>
      </c>
      <c r="C52" s="68">
        <v>2004</v>
      </c>
      <c r="D52" s="120"/>
      <c r="E52" s="120" t="s">
        <v>253</v>
      </c>
      <c r="F52" s="120"/>
      <c r="G52" s="120"/>
      <c r="H52" s="68"/>
      <c r="I52" s="381">
        <v>103453.24000000031</v>
      </c>
      <c r="J52" s="381">
        <v>0</v>
      </c>
      <c r="K52" s="381">
        <v>0</v>
      </c>
      <c r="L52" s="381">
        <v>2547.3999999999996</v>
      </c>
      <c r="M52" s="381">
        <v>0</v>
      </c>
      <c r="N52" s="381">
        <v>0</v>
      </c>
      <c r="O52" s="381">
        <v>106000.64000000031</v>
      </c>
      <c r="P52" s="381"/>
      <c r="Q52" s="381">
        <v>2242735</v>
      </c>
      <c r="R52" s="381">
        <v>0</v>
      </c>
      <c r="S52" s="381">
        <v>81000</v>
      </c>
      <c r="T52" s="381">
        <v>0</v>
      </c>
      <c r="U52" s="381">
        <v>166380</v>
      </c>
      <c r="V52" s="381">
        <v>134425</v>
      </c>
      <c r="W52" s="381">
        <v>12000</v>
      </c>
      <c r="X52" s="381">
        <v>3000</v>
      </c>
      <c r="Y52" s="381">
        <v>48000</v>
      </c>
      <c r="Z52" s="381">
        <v>16000</v>
      </c>
      <c r="AA52" s="381">
        <v>0</v>
      </c>
      <c r="AB52" s="381">
        <v>0</v>
      </c>
      <c r="AC52" s="381">
        <v>21000</v>
      </c>
      <c r="AD52" s="381">
        <v>0</v>
      </c>
      <c r="AE52" s="381">
        <v>0</v>
      </c>
      <c r="AF52" s="381">
        <v>0</v>
      </c>
      <c r="AG52" s="381">
        <v>0</v>
      </c>
      <c r="AH52" s="381">
        <v>0</v>
      </c>
      <c r="AI52" s="381">
        <v>0</v>
      </c>
      <c r="AJ52" s="381">
        <v>0</v>
      </c>
      <c r="AK52" s="381">
        <v>0</v>
      </c>
      <c r="AL52" s="381">
        <v>2724540</v>
      </c>
      <c r="AM52" s="381"/>
      <c r="AN52" s="381">
        <v>1312577</v>
      </c>
      <c r="AO52" s="381">
        <v>0</v>
      </c>
      <c r="AP52" s="381">
        <v>669823</v>
      </c>
      <c r="AQ52" s="381">
        <v>55365</v>
      </c>
      <c r="AR52" s="381">
        <v>117569</v>
      </c>
      <c r="AS52" s="381">
        <v>99503</v>
      </c>
      <c r="AT52" s="381">
        <v>121130</v>
      </c>
      <c r="AU52" s="381">
        <v>8000</v>
      </c>
      <c r="AV52" s="381">
        <v>5900</v>
      </c>
      <c r="AW52" s="381">
        <v>1269</v>
      </c>
      <c r="AX52" s="381">
        <v>0</v>
      </c>
      <c r="AY52" s="381">
        <v>11878</v>
      </c>
      <c r="AZ52" s="381">
        <v>3788</v>
      </c>
      <c r="BA52" s="381">
        <v>28500</v>
      </c>
      <c r="BB52" s="381">
        <v>8000</v>
      </c>
      <c r="BC52" s="381">
        <v>33000</v>
      </c>
      <c r="BD52" s="381">
        <v>42588</v>
      </c>
      <c r="BE52" s="381">
        <v>6500</v>
      </c>
      <c r="BF52" s="381">
        <v>78240</v>
      </c>
      <c r="BG52" s="381">
        <v>4980</v>
      </c>
      <c r="BH52" s="381">
        <v>0</v>
      </c>
      <c r="BI52" s="381">
        <v>0</v>
      </c>
      <c r="BJ52" s="381">
        <v>4377</v>
      </c>
      <c r="BK52" s="381">
        <v>0</v>
      </c>
      <c r="BL52" s="381">
        <v>0</v>
      </c>
      <c r="BM52" s="381">
        <v>9940</v>
      </c>
      <c r="BN52" s="381">
        <v>0</v>
      </c>
      <c r="BO52" s="381">
        <v>9680</v>
      </c>
      <c r="BP52" s="381">
        <v>22455</v>
      </c>
      <c r="BQ52" s="381">
        <v>0</v>
      </c>
      <c r="BR52" s="381">
        <v>57235</v>
      </c>
      <c r="BS52" s="381">
        <v>8000</v>
      </c>
      <c r="BT52" s="381">
        <v>23550</v>
      </c>
      <c r="BU52" s="381">
        <v>27373</v>
      </c>
      <c r="BV52" s="381">
        <v>0</v>
      </c>
      <c r="BW52" s="381">
        <v>0</v>
      </c>
      <c r="BX52" s="381">
        <v>0</v>
      </c>
      <c r="BY52" s="382">
        <v>0</v>
      </c>
      <c r="BZ52" s="382">
        <v>0</v>
      </c>
      <c r="CA52" s="382">
        <v>2771220</v>
      </c>
      <c r="CB52" s="381"/>
      <c r="CC52" s="381">
        <v>8713</v>
      </c>
      <c r="CD52" s="381">
        <v>0</v>
      </c>
      <c r="CE52" s="381">
        <v>0</v>
      </c>
      <c r="CF52" s="381">
        <v>8713</v>
      </c>
      <c r="CG52" s="381"/>
      <c r="CH52" s="381">
        <v>0</v>
      </c>
      <c r="CI52" s="381">
        <v>2000</v>
      </c>
      <c r="CJ52" s="381">
        <v>0</v>
      </c>
      <c r="CK52" s="381">
        <v>0</v>
      </c>
      <c r="CL52" s="381">
        <v>0</v>
      </c>
      <c r="CM52" s="381">
        <v>2547</v>
      </c>
      <c r="CN52" s="381">
        <v>6713</v>
      </c>
      <c r="CO52" s="381">
        <v>0</v>
      </c>
      <c r="CP52" s="381">
        <v>11260</v>
      </c>
      <c r="CQ52" s="381"/>
      <c r="CR52" s="381">
        <v>56773.240000000311</v>
      </c>
      <c r="CS52" s="381">
        <v>0</v>
      </c>
      <c r="CT52" s="381">
        <v>0</v>
      </c>
      <c r="CU52" s="381">
        <v>0.3999999999996362</v>
      </c>
      <c r="CV52" s="381">
        <v>0</v>
      </c>
      <c r="CW52" s="381">
        <v>0</v>
      </c>
      <c r="CX52" s="381">
        <v>56773.640000000312</v>
      </c>
      <c r="CY52" s="381"/>
      <c r="CZ52" s="117"/>
      <c r="DA52" s="384"/>
      <c r="DB52" s="117"/>
      <c r="DC52" s="384"/>
      <c r="DD52" s="385"/>
      <c r="DE52" s="117"/>
      <c r="DF52" s="117"/>
      <c r="DG52" s="381"/>
      <c r="DH52" s="386"/>
      <c r="DI52" s="387"/>
      <c r="DJ52" s="381"/>
      <c r="DK52" s="381">
        <v>103453.24000000031</v>
      </c>
      <c r="DL52" s="381">
        <v>2547.3999999999996</v>
      </c>
      <c r="DM52" s="381">
        <v>106000.64000000031</v>
      </c>
      <c r="DN52" s="381">
        <v>56773.240000000311</v>
      </c>
      <c r="DO52" s="381">
        <v>0.3999999999996362</v>
      </c>
      <c r="DP52" s="381">
        <v>56773.640000000312</v>
      </c>
      <c r="DQ52" s="383"/>
      <c r="DR52" s="381"/>
      <c r="DS52" s="388"/>
      <c r="DT52" s="388"/>
    </row>
    <row r="53" spans="1:127" ht="15">
      <c r="A53" s="380">
        <v>886</v>
      </c>
      <c r="B53" s="391">
        <v>9162177</v>
      </c>
      <c r="C53" s="68">
        <v>2177</v>
      </c>
      <c r="D53" s="120"/>
      <c r="E53" s="120" t="s">
        <v>242</v>
      </c>
      <c r="F53" s="120"/>
      <c r="G53" s="120"/>
      <c r="H53" s="68"/>
      <c r="I53" s="381">
        <v>271266.70000000007</v>
      </c>
      <c r="J53" s="381">
        <v>42552.26</v>
      </c>
      <c r="K53" s="381">
        <v>0</v>
      </c>
      <c r="L53" s="381">
        <v>6816.57</v>
      </c>
      <c r="M53" s="381">
        <v>0</v>
      </c>
      <c r="N53" s="381">
        <v>0</v>
      </c>
      <c r="O53" s="381">
        <v>320635.53000000009</v>
      </c>
      <c r="P53" s="389"/>
      <c r="Q53" s="381">
        <v>1722126</v>
      </c>
      <c r="R53" s="381">
        <v>0</v>
      </c>
      <c r="S53" s="381">
        <v>113321</v>
      </c>
      <c r="T53" s="381">
        <v>0</v>
      </c>
      <c r="U53" s="381">
        <v>167110</v>
      </c>
      <c r="V53" s="381">
        <v>44916</v>
      </c>
      <c r="W53" s="381">
        <v>0</v>
      </c>
      <c r="X53" s="381">
        <v>0</v>
      </c>
      <c r="Y53" s="381">
        <v>10000</v>
      </c>
      <c r="Z53" s="381">
        <v>6000</v>
      </c>
      <c r="AA53" s="381">
        <v>0</v>
      </c>
      <c r="AB53" s="381">
        <v>0</v>
      </c>
      <c r="AC53" s="381">
        <v>8000</v>
      </c>
      <c r="AD53" s="381">
        <v>200</v>
      </c>
      <c r="AE53" s="381">
        <v>0</v>
      </c>
      <c r="AF53" s="381">
        <v>0</v>
      </c>
      <c r="AG53" s="381">
        <v>0</v>
      </c>
      <c r="AH53" s="381">
        <v>0</v>
      </c>
      <c r="AI53" s="381">
        <v>0</v>
      </c>
      <c r="AJ53" s="381">
        <v>0</v>
      </c>
      <c r="AK53" s="381">
        <v>0</v>
      </c>
      <c r="AL53" s="381">
        <v>2071673</v>
      </c>
      <c r="AM53" s="389"/>
      <c r="AN53" s="381">
        <v>1010488</v>
      </c>
      <c r="AO53" s="381">
        <v>10000</v>
      </c>
      <c r="AP53" s="381">
        <v>498274</v>
      </c>
      <c r="AQ53" s="381">
        <v>91095</v>
      </c>
      <c r="AR53" s="381">
        <v>82845</v>
      </c>
      <c r="AS53" s="381">
        <v>0</v>
      </c>
      <c r="AT53" s="381">
        <v>47674</v>
      </c>
      <c r="AU53" s="381">
        <v>400</v>
      </c>
      <c r="AV53" s="381">
        <v>4100</v>
      </c>
      <c r="AW53" s="381">
        <v>857</v>
      </c>
      <c r="AX53" s="381">
        <v>0</v>
      </c>
      <c r="AY53" s="381">
        <v>45880</v>
      </c>
      <c r="AZ53" s="381">
        <v>4724</v>
      </c>
      <c r="BA53" s="381">
        <v>7007</v>
      </c>
      <c r="BB53" s="381">
        <v>6000</v>
      </c>
      <c r="BC53" s="381">
        <v>46000</v>
      </c>
      <c r="BD53" s="381">
        <v>7153</v>
      </c>
      <c r="BE53" s="381">
        <v>4200</v>
      </c>
      <c r="BF53" s="381">
        <v>115621</v>
      </c>
      <c r="BG53" s="381">
        <v>3400</v>
      </c>
      <c r="BH53" s="381">
        <v>0</v>
      </c>
      <c r="BI53" s="381">
        <v>13000</v>
      </c>
      <c r="BJ53" s="381">
        <v>9000</v>
      </c>
      <c r="BK53" s="381">
        <v>1000</v>
      </c>
      <c r="BL53" s="381">
        <v>1500</v>
      </c>
      <c r="BM53" s="381">
        <v>2951</v>
      </c>
      <c r="BN53" s="381">
        <v>0</v>
      </c>
      <c r="BO53" s="381">
        <v>10475</v>
      </c>
      <c r="BP53" s="381">
        <v>15168</v>
      </c>
      <c r="BQ53" s="381">
        <v>0</v>
      </c>
      <c r="BR53" s="381">
        <v>75598</v>
      </c>
      <c r="BS53" s="381">
        <v>40200</v>
      </c>
      <c r="BT53" s="381">
        <v>5000</v>
      </c>
      <c r="BU53" s="381">
        <v>112258</v>
      </c>
      <c r="BV53" s="381">
        <v>0</v>
      </c>
      <c r="BW53" s="381">
        <v>0</v>
      </c>
      <c r="BX53" s="381">
        <v>0</v>
      </c>
      <c r="BY53" s="382">
        <v>0</v>
      </c>
      <c r="BZ53" s="382">
        <v>0</v>
      </c>
      <c r="CA53" s="382">
        <v>2271868</v>
      </c>
      <c r="CB53" s="389"/>
      <c r="CC53" s="381">
        <v>7037</v>
      </c>
      <c r="CD53" s="381">
        <v>0</v>
      </c>
      <c r="CE53" s="381">
        <v>0</v>
      </c>
      <c r="CF53" s="381">
        <v>7037</v>
      </c>
      <c r="CG53" s="389"/>
      <c r="CH53" s="381">
        <v>0</v>
      </c>
      <c r="CI53" s="381">
        <v>0</v>
      </c>
      <c r="CJ53" s="381">
        <v>0</v>
      </c>
      <c r="CK53" s="381">
        <v>0</v>
      </c>
      <c r="CL53" s="381">
        <v>0</v>
      </c>
      <c r="CM53" s="381">
        <v>0</v>
      </c>
      <c r="CN53" s="381">
        <v>13854</v>
      </c>
      <c r="CO53" s="381">
        <v>0</v>
      </c>
      <c r="CP53" s="381">
        <v>13854</v>
      </c>
      <c r="CQ53" s="390"/>
      <c r="CR53" s="381">
        <v>113623.96000000008</v>
      </c>
      <c r="CS53" s="381">
        <v>0</v>
      </c>
      <c r="CT53" s="381">
        <v>0</v>
      </c>
      <c r="CU53" s="381">
        <v>-0.43000000000029104</v>
      </c>
      <c r="CV53" s="381">
        <v>0</v>
      </c>
      <c r="CW53" s="381">
        <v>0</v>
      </c>
      <c r="CX53" s="381">
        <v>113623.53000000009</v>
      </c>
      <c r="CY53" s="381"/>
      <c r="CZ53" s="117"/>
      <c r="DA53" s="384"/>
      <c r="DB53" s="117"/>
      <c r="DC53" s="384"/>
      <c r="DD53" s="385"/>
      <c r="DE53" s="117"/>
      <c r="DF53" s="117"/>
      <c r="DG53" s="381"/>
      <c r="DH53" s="386"/>
      <c r="DI53" s="387"/>
      <c r="DJ53" s="381"/>
      <c r="DK53" s="381">
        <v>313818.96000000008</v>
      </c>
      <c r="DL53" s="381">
        <v>6816.57</v>
      </c>
      <c r="DM53" s="381">
        <v>320635.53000000009</v>
      </c>
      <c r="DN53" s="381">
        <v>113623.96000000008</v>
      </c>
      <c r="DO53" s="381">
        <v>-0.43000000000029104</v>
      </c>
      <c r="DP53" s="381">
        <v>113623.53000000009</v>
      </c>
      <c r="DQ53" s="383"/>
      <c r="DR53" s="381"/>
      <c r="DS53" s="388"/>
      <c r="DT53" s="388"/>
    </row>
    <row r="54" spans="1:127" ht="14.25">
      <c r="A54" s="380">
        <v>887</v>
      </c>
      <c r="B54" s="391">
        <v>9162150</v>
      </c>
      <c r="C54" s="68">
        <v>2150</v>
      </c>
      <c r="D54" s="120"/>
      <c r="E54" s="120" t="s">
        <v>278</v>
      </c>
      <c r="F54" s="120"/>
      <c r="G54" s="120"/>
      <c r="H54" s="68"/>
      <c r="I54" s="381">
        <v>110200.82</v>
      </c>
      <c r="J54" s="381">
        <v>19733.46</v>
      </c>
      <c r="K54" s="381">
        <v>0</v>
      </c>
      <c r="L54" s="381">
        <v>15497.19</v>
      </c>
      <c r="M54" s="381">
        <v>0</v>
      </c>
      <c r="N54" s="381">
        <v>66377.900000000009</v>
      </c>
      <c r="O54" s="381">
        <v>211809.37</v>
      </c>
      <c r="P54" s="381"/>
      <c r="Q54" s="381">
        <v>1229701</v>
      </c>
      <c r="R54" s="381">
        <v>0</v>
      </c>
      <c r="S54" s="381">
        <v>183059</v>
      </c>
      <c r="T54" s="381">
        <v>0</v>
      </c>
      <c r="U54" s="381">
        <v>79920</v>
      </c>
      <c r="V54" s="381">
        <v>55031</v>
      </c>
      <c r="W54" s="381">
        <v>0</v>
      </c>
      <c r="X54" s="381">
        <v>0</v>
      </c>
      <c r="Y54" s="381">
        <v>53145</v>
      </c>
      <c r="Z54" s="381">
        <v>0</v>
      </c>
      <c r="AA54" s="381">
        <v>0</v>
      </c>
      <c r="AB54" s="381">
        <v>0</v>
      </c>
      <c r="AC54" s="381">
        <v>9000</v>
      </c>
      <c r="AD54" s="381">
        <v>0</v>
      </c>
      <c r="AE54" s="381">
        <v>0</v>
      </c>
      <c r="AF54" s="381">
        <v>90000</v>
      </c>
      <c r="AG54" s="381">
        <v>5000</v>
      </c>
      <c r="AH54" s="381">
        <v>0</v>
      </c>
      <c r="AI54" s="381">
        <v>0</v>
      </c>
      <c r="AJ54" s="381">
        <v>0</v>
      </c>
      <c r="AK54" s="381">
        <v>0</v>
      </c>
      <c r="AL54" s="381">
        <v>1704856</v>
      </c>
      <c r="AM54" s="381"/>
      <c r="AN54" s="381">
        <v>871649</v>
      </c>
      <c r="AO54" s="381">
        <v>0</v>
      </c>
      <c r="AP54" s="381">
        <v>305404</v>
      </c>
      <c r="AQ54" s="381">
        <v>47159</v>
      </c>
      <c r="AR54" s="381">
        <v>111117</v>
      </c>
      <c r="AS54" s="381">
        <v>0</v>
      </c>
      <c r="AT54" s="381">
        <v>42994</v>
      </c>
      <c r="AU54" s="381">
        <v>5650</v>
      </c>
      <c r="AV54" s="381">
        <v>11500</v>
      </c>
      <c r="AW54" s="381">
        <v>638</v>
      </c>
      <c r="AX54" s="381">
        <v>0</v>
      </c>
      <c r="AY54" s="381">
        <v>17239</v>
      </c>
      <c r="AZ54" s="381">
        <v>1974</v>
      </c>
      <c r="BA54" s="381">
        <v>6007</v>
      </c>
      <c r="BB54" s="381">
        <v>4500</v>
      </c>
      <c r="BC54" s="381">
        <v>19500</v>
      </c>
      <c r="BD54" s="381">
        <v>15594</v>
      </c>
      <c r="BE54" s="381">
        <v>3500</v>
      </c>
      <c r="BF54" s="381">
        <v>82819</v>
      </c>
      <c r="BG54" s="381">
        <v>1500</v>
      </c>
      <c r="BH54" s="381">
        <v>0</v>
      </c>
      <c r="BI54" s="381">
        <v>250</v>
      </c>
      <c r="BJ54" s="381">
        <v>750</v>
      </c>
      <c r="BK54" s="381">
        <v>0</v>
      </c>
      <c r="BL54" s="381">
        <v>0</v>
      </c>
      <c r="BM54" s="381">
        <v>201</v>
      </c>
      <c r="BN54" s="381">
        <v>0</v>
      </c>
      <c r="BO54" s="381">
        <v>6600</v>
      </c>
      <c r="BP54" s="381">
        <v>11282</v>
      </c>
      <c r="BQ54" s="381">
        <v>2450</v>
      </c>
      <c r="BR54" s="381">
        <v>64708</v>
      </c>
      <c r="BS54" s="381">
        <v>20000</v>
      </c>
      <c r="BT54" s="381">
        <v>40850</v>
      </c>
      <c r="BU54" s="381">
        <v>28148</v>
      </c>
      <c r="BV54" s="381">
        <v>0</v>
      </c>
      <c r="BW54" s="381">
        <v>0</v>
      </c>
      <c r="BX54" s="381">
        <v>25000</v>
      </c>
      <c r="BY54" s="382">
        <v>65221</v>
      </c>
      <c r="BZ54" s="382">
        <v>4750</v>
      </c>
      <c r="CA54" s="382">
        <v>1818954</v>
      </c>
      <c r="CB54" s="381"/>
      <c r="CC54" s="381">
        <v>25013</v>
      </c>
      <c r="CD54" s="381">
        <v>0</v>
      </c>
      <c r="CE54" s="381">
        <v>25000</v>
      </c>
      <c r="CF54" s="381">
        <v>50013</v>
      </c>
      <c r="CG54" s="381"/>
      <c r="CH54" s="381">
        <v>0</v>
      </c>
      <c r="CI54" s="381">
        <v>65510</v>
      </c>
      <c r="CJ54" s="381">
        <v>0</v>
      </c>
      <c r="CK54" s="381">
        <v>0</v>
      </c>
      <c r="CL54" s="381">
        <v>0</v>
      </c>
      <c r="CM54" s="381">
        <v>0</v>
      </c>
      <c r="CN54" s="381">
        <v>0</v>
      </c>
      <c r="CO54" s="381">
        <v>0</v>
      </c>
      <c r="CP54" s="381">
        <v>65510</v>
      </c>
      <c r="CQ54" s="381"/>
      <c r="CR54" s="381">
        <v>-9192.7200000000303</v>
      </c>
      <c r="CS54" s="381">
        <v>0</v>
      </c>
      <c r="CT54" s="381">
        <v>0</v>
      </c>
      <c r="CU54" s="381">
        <v>0.19000000000050932</v>
      </c>
      <c r="CV54" s="381">
        <v>0</v>
      </c>
      <c r="CW54" s="381">
        <v>91406.900000000023</v>
      </c>
      <c r="CX54" s="381">
        <v>82214.37</v>
      </c>
      <c r="CY54" s="381"/>
      <c r="CZ54" s="117"/>
      <c r="DA54" s="384"/>
      <c r="DB54" s="117"/>
      <c r="DC54" s="384"/>
      <c r="DD54" s="385"/>
      <c r="DE54" s="117"/>
      <c r="DF54" s="117"/>
      <c r="DG54" s="381"/>
      <c r="DH54" s="386"/>
      <c r="DI54" s="387"/>
      <c r="DJ54" s="381"/>
      <c r="DK54" s="381">
        <v>196312.18</v>
      </c>
      <c r="DL54" s="381">
        <v>15497.19</v>
      </c>
      <c r="DM54" s="381">
        <v>211809.37</v>
      </c>
      <c r="DN54" s="381">
        <v>82214.179999999993</v>
      </c>
      <c r="DO54" s="381">
        <v>0.19000000000050932</v>
      </c>
      <c r="DP54" s="381">
        <v>82214.37</v>
      </c>
      <c r="DQ54" s="383"/>
      <c r="DR54" s="381"/>
      <c r="DS54" s="388"/>
      <c r="DT54" s="388"/>
    </row>
    <row r="55" spans="1:127" ht="14.25">
      <c r="A55" s="380">
        <v>808</v>
      </c>
      <c r="B55" s="391">
        <v>9163072</v>
      </c>
      <c r="C55" s="68">
        <v>3072</v>
      </c>
      <c r="D55" s="120"/>
      <c r="E55" s="120" t="s">
        <v>268</v>
      </c>
      <c r="F55" s="120"/>
      <c r="G55" s="120"/>
      <c r="H55" s="68"/>
      <c r="I55" s="381">
        <v>106267.39000000009</v>
      </c>
      <c r="J55" s="381">
        <v>4887.6900000000023</v>
      </c>
      <c r="K55" s="381">
        <v>0</v>
      </c>
      <c r="L55" s="381">
        <v>0</v>
      </c>
      <c r="M55" s="381">
        <v>0</v>
      </c>
      <c r="N55" s="381">
        <v>0</v>
      </c>
      <c r="O55" s="381">
        <v>111155.08000000009</v>
      </c>
      <c r="P55" s="381"/>
      <c r="Q55" s="381">
        <v>638551</v>
      </c>
      <c r="R55" s="381">
        <v>0</v>
      </c>
      <c r="S55" s="381">
        <v>5888</v>
      </c>
      <c r="T55" s="381">
        <v>0</v>
      </c>
      <c r="U55" s="381">
        <v>12120</v>
      </c>
      <c r="V55" s="381">
        <v>39521</v>
      </c>
      <c r="W55" s="381">
        <v>0</v>
      </c>
      <c r="X55" s="381">
        <v>0</v>
      </c>
      <c r="Y55" s="381">
        <v>69652</v>
      </c>
      <c r="Z55" s="381">
        <v>0</v>
      </c>
      <c r="AA55" s="381">
        <v>0</v>
      </c>
      <c r="AB55" s="381">
        <v>0</v>
      </c>
      <c r="AC55" s="381">
        <v>0</v>
      </c>
      <c r="AD55" s="381">
        <v>0</v>
      </c>
      <c r="AE55" s="381">
        <v>0</v>
      </c>
      <c r="AF55" s="381">
        <v>0</v>
      </c>
      <c r="AG55" s="381">
        <v>0</v>
      </c>
      <c r="AH55" s="381">
        <v>0</v>
      </c>
      <c r="AI55" s="381">
        <v>0</v>
      </c>
      <c r="AJ55" s="381">
        <v>0</v>
      </c>
      <c r="AK55" s="381">
        <v>0</v>
      </c>
      <c r="AL55" s="381">
        <v>765732</v>
      </c>
      <c r="AM55" s="381"/>
      <c r="AN55" s="381">
        <v>342983</v>
      </c>
      <c r="AO55" s="381">
        <v>9000</v>
      </c>
      <c r="AP55" s="381">
        <v>121122</v>
      </c>
      <c r="AQ55" s="381">
        <v>17562</v>
      </c>
      <c r="AR55" s="381">
        <v>33709</v>
      </c>
      <c r="AS55" s="381">
        <v>0</v>
      </c>
      <c r="AT55" s="381">
        <v>19050</v>
      </c>
      <c r="AU55" s="381">
        <v>3109</v>
      </c>
      <c r="AV55" s="381">
        <v>1800</v>
      </c>
      <c r="AW55" s="381">
        <v>6233</v>
      </c>
      <c r="AX55" s="381">
        <v>0</v>
      </c>
      <c r="AY55" s="381">
        <v>51800</v>
      </c>
      <c r="AZ55" s="381">
        <v>6011</v>
      </c>
      <c r="BA55" s="381">
        <v>2000</v>
      </c>
      <c r="BB55" s="381">
        <v>2980</v>
      </c>
      <c r="BC55" s="381">
        <v>11659</v>
      </c>
      <c r="BD55" s="381">
        <v>5739</v>
      </c>
      <c r="BE55" s="381">
        <v>7900</v>
      </c>
      <c r="BF55" s="381">
        <v>29161</v>
      </c>
      <c r="BG55" s="381">
        <v>1850</v>
      </c>
      <c r="BH55" s="381">
        <v>0</v>
      </c>
      <c r="BI55" s="381">
        <v>150</v>
      </c>
      <c r="BJ55" s="381">
        <v>0</v>
      </c>
      <c r="BK55" s="381">
        <v>1500</v>
      </c>
      <c r="BL55" s="381">
        <v>0</v>
      </c>
      <c r="BM55" s="381">
        <v>4039</v>
      </c>
      <c r="BN55" s="381">
        <v>0</v>
      </c>
      <c r="BO55" s="381">
        <v>3800</v>
      </c>
      <c r="BP55" s="381">
        <v>5345</v>
      </c>
      <c r="BQ55" s="381">
        <v>0</v>
      </c>
      <c r="BR55" s="381">
        <v>28737</v>
      </c>
      <c r="BS55" s="381">
        <v>2500</v>
      </c>
      <c r="BT55" s="381">
        <v>10620</v>
      </c>
      <c r="BU55" s="381">
        <v>36806</v>
      </c>
      <c r="BV55" s="381">
        <v>0</v>
      </c>
      <c r="BW55" s="381">
        <v>0</v>
      </c>
      <c r="BX55" s="381">
        <v>0</v>
      </c>
      <c r="BY55" s="382">
        <v>0</v>
      </c>
      <c r="BZ55" s="382">
        <v>0</v>
      </c>
      <c r="CA55" s="382">
        <v>767165</v>
      </c>
      <c r="CB55" s="381"/>
      <c r="CC55" s="381">
        <v>5035</v>
      </c>
      <c r="CD55" s="381">
        <v>0</v>
      </c>
      <c r="CE55" s="381">
        <v>0</v>
      </c>
      <c r="CF55" s="381">
        <v>5035</v>
      </c>
      <c r="CG55" s="381"/>
      <c r="CH55" s="381">
        <v>0</v>
      </c>
      <c r="CI55" s="381">
        <v>5035</v>
      </c>
      <c r="CJ55" s="381">
        <v>0</v>
      </c>
      <c r="CK55" s="381">
        <v>0</v>
      </c>
      <c r="CL55" s="381">
        <v>0</v>
      </c>
      <c r="CM55" s="381">
        <v>0</v>
      </c>
      <c r="CN55" s="381">
        <v>0</v>
      </c>
      <c r="CO55" s="381">
        <v>0</v>
      </c>
      <c r="CP55" s="381">
        <v>5035</v>
      </c>
      <c r="CQ55" s="381"/>
      <c r="CR55" s="381">
        <v>109722.08000000009</v>
      </c>
      <c r="CS55" s="381">
        <v>0</v>
      </c>
      <c r="CT55" s="381">
        <v>0</v>
      </c>
      <c r="CU55" s="381">
        <v>0</v>
      </c>
      <c r="CV55" s="381">
        <v>0</v>
      </c>
      <c r="CW55" s="381">
        <v>0</v>
      </c>
      <c r="CX55" s="381">
        <v>109722.08000000009</v>
      </c>
      <c r="CY55" s="381"/>
      <c r="CZ55" s="117"/>
      <c r="DA55" s="384"/>
      <c r="DB55" s="117"/>
      <c r="DC55" s="384"/>
      <c r="DD55" s="385"/>
      <c r="DE55" s="117"/>
      <c r="DF55" s="117"/>
      <c r="DG55" s="381"/>
      <c r="DH55" s="386"/>
      <c r="DI55" s="387"/>
      <c r="DJ55" s="381"/>
      <c r="DK55" s="381">
        <v>111155.08000000009</v>
      </c>
      <c r="DL55" s="381">
        <v>0</v>
      </c>
      <c r="DM55" s="381">
        <v>111155.08000000009</v>
      </c>
      <c r="DN55" s="381">
        <v>109722.08000000009</v>
      </c>
      <c r="DO55" s="381">
        <v>0</v>
      </c>
      <c r="DP55" s="381">
        <v>109722.08000000009</v>
      </c>
      <c r="DQ55" s="383"/>
      <c r="DR55" s="381"/>
      <c r="DS55" s="388"/>
      <c r="DT55" s="388"/>
    </row>
    <row r="56" spans="1:127" ht="14.25">
      <c r="A56" s="380">
        <v>892</v>
      </c>
      <c r="B56" s="391">
        <v>9162160</v>
      </c>
      <c r="C56" s="68">
        <v>2160</v>
      </c>
      <c r="D56" s="120"/>
      <c r="E56" s="120" t="s">
        <v>221</v>
      </c>
      <c r="F56" s="120"/>
      <c r="G56" s="120"/>
      <c r="H56" s="68"/>
      <c r="I56" s="381">
        <v>107627.26000000004</v>
      </c>
      <c r="J56" s="381">
        <v>96841</v>
      </c>
      <c r="K56" s="381">
        <v>0</v>
      </c>
      <c r="L56" s="381">
        <v>-0.13000000000101863</v>
      </c>
      <c r="M56" s="381">
        <v>15882</v>
      </c>
      <c r="N56" s="381">
        <v>0</v>
      </c>
      <c r="O56" s="381">
        <v>220350.13000000003</v>
      </c>
      <c r="P56" s="381"/>
      <c r="Q56" s="381">
        <v>2680830</v>
      </c>
      <c r="R56" s="381">
        <v>0</v>
      </c>
      <c r="S56" s="381">
        <v>158309</v>
      </c>
      <c r="T56" s="381">
        <v>0</v>
      </c>
      <c r="U56" s="381">
        <v>111080</v>
      </c>
      <c r="V56" s="381">
        <v>143367</v>
      </c>
      <c r="W56" s="381">
        <v>3500</v>
      </c>
      <c r="X56" s="381">
        <v>30014</v>
      </c>
      <c r="Y56" s="381">
        <v>4720</v>
      </c>
      <c r="Z56" s="381">
        <v>0</v>
      </c>
      <c r="AA56" s="381">
        <v>10000</v>
      </c>
      <c r="AB56" s="381">
        <v>0</v>
      </c>
      <c r="AC56" s="381">
        <v>56000</v>
      </c>
      <c r="AD56" s="381">
        <v>71510</v>
      </c>
      <c r="AE56" s="381">
        <v>0</v>
      </c>
      <c r="AF56" s="381">
        <v>0</v>
      </c>
      <c r="AG56" s="381">
        <v>0</v>
      </c>
      <c r="AH56" s="381">
        <v>0</v>
      </c>
      <c r="AI56" s="381">
        <v>0</v>
      </c>
      <c r="AJ56" s="381">
        <v>0</v>
      </c>
      <c r="AK56" s="381">
        <v>0</v>
      </c>
      <c r="AL56" s="381">
        <v>3269330</v>
      </c>
      <c r="AM56" s="381"/>
      <c r="AN56" s="381">
        <v>1701923</v>
      </c>
      <c r="AO56" s="381">
        <v>460</v>
      </c>
      <c r="AP56" s="381">
        <v>454418</v>
      </c>
      <c r="AQ56" s="381">
        <v>87866</v>
      </c>
      <c r="AR56" s="381">
        <v>182532</v>
      </c>
      <c r="AS56" s="381">
        <v>0</v>
      </c>
      <c r="AT56" s="381">
        <v>50095</v>
      </c>
      <c r="AU56" s="381">
        <v>7365</v>
      </c>
      <c r="AV56" s="381">
        <v>10204</v>
      </c>
      <c r="AW56" s="381">
        <v>20135</v>
      </c>
      <c r="AX56" s="381">
        <v>0</v>
      </c>
      <c r="AY56" s="381">
        <v>26326</v>
      </c>
      <c r="AZ56" s="381">
        <v>8880</v>
      </c>
      <c r="BA56" s="381">
        <v>68854</v>
      </c>
      <c r="BB56" s="381">
        <v>9057</v>
      </c>
      <c r="BC56" s="381">
        <v>69825</v>
      </c>
      <c r="BD56" s="381">
        <v>24950</v>
      </c>
      <c r="BE56" s="381">
        <v>18277</v>
      </c>
      <c r="BF56" s="381">
        <v>155835</v>
      </c>
      <c r="BG56" s="381">
        <v>5000</v>
      </c>
      <c r="BH56" s="381">
        <v>0</v>
      </c>
      <c r="BI56" s="381">
        <v>10490</v>
      </c>
      <c r="BJ56" s="381">
        <v>3725</v>
      </c>
      <c r="BK56" s="381">
        <v>0</v>
      </c>
      <c r="BL56" s="381">
        <v>0</v>
      </c>
      <c r="BM56" s="381">
        <v>3600</v>
      </c>
      <c r="BN56" s="381">
        <v>0</v>
      </c>
      <c r="BO56" s="381">
        <v>7876</v>
      </c>
      <c r="BP56" s="381">
        <v>28036</v>
      </c>
      <c r="BQ56" s="381">
        <v>0</v>
      </c>
      <c r="BR56" s="381">
        <v>124673</v>
      </c>
      <c r="BS56" s="381">
        <v>47312</v>
      </c>
      <c r="BT56" s="381">
        <v>179049</v>
      </c>
      <c r="BU56" s="381">
        <v>15641</v>
      </c>
      <c r="BV56" s="381">
        <v>0</v>
      </c>
      <c r="BW56" s="381">
        <v>0</v>
      </c>
      <c r="BX56" s="381">
        <v>27670</v>
      </c>
      <c r="BY56" s="382">
        <v>0</v>
      </c>
      <c r="BZ56" s="382">
        <v>0</v>
      </c>
      <c r="CA56" s="382">
        <v>3350074</v>
      </c>
      <c r="CB56" s="381"/>
      <c r="CC56" s="381">
        <v>153106</v>
      </c>
      <c r="CD56" s="381">
        <v>0</v>
      </c>
      <c r="CE56" s="381">
        <v>27670</v>
      </c>
      <c r="CF56" s="381">
        <v>180776</v>
      </c>
      <c r="CG56" s="381"/>
      <c r="CH56" s="381">
        <v>0</v>
      </c>
      <c r="CI56" s="381">
        <v>187926</v>
      </c>
      <c r="CJ56" s="381">
        <v>0</v>
      </c>
      <c r="CK56" s="381">
        <v>0</v>
      </c>
      <c r="CL56" s="381">
        <v>0</v>
      </c>
      <c r="CM56" s="381">
        <v>0</v>
      </c>
      <c r="CN56" s="381">
        <v>5670</v>
      </c>
      <c r="CO56" s="381">
        <v>3000</v>
      </c>
      <c r="CP56" s="381">
        <v>196596</v>
      </c>
      <c r="CQ56" s="381"/>
      <c r="CR56" s="381">
        <v>76842.260000000038</v>
      </c>
      <c r="CS56" s="381">
        <v>46882</v>
      </c>
      <c r="CT56" s="381">
        <v>0</v>
      </c>
      <c r="CU56" s="381">
        <v>61.869999999998981</v>
      </c>
      <c r="CV56" s="381">
        <v>0</v>
      </c>
      <c r="CW56" s="381">
        <v>0</v>
      </c>
      <c r="CX56" s="381">
        <v>123786.13000000003</v>
      </c>
      <c r="CY56" s="381"/>
      <c r="CZ56" s="117"/>
      <c r="DA56" s="384"/>
      <c r="DB56" s="117"/>
      <c r="DC56" s="384"/>
      <c r="DD56" s="385"/>
      <c r="DE56" s="117"/>
      <c r="DF56" s="117"/>
      <c r="DG56" s="381"/>
      <c r="DH56" s="386"/>
      <c r="DI56" s="387"/>
      <c r="DJ56" s="381"/>
      <c r="DK56" s="381">
        <v>204468.26000000004</v>
      </c>
      <c r="DL56" s="381">
        <v>15881.869999999999</v>
      </c>
      <c r="DM56" s="381">
        <v>220350.13000000003</v>
      </c>
      <c r="DN56" s="381">
        <v>123724.26000000004</v>
      </c>
      <c r="DO56" s="381">
        <v>61.869999999998981</v>
      </c>
      <c r="DP56" s="381">
        <v>123786.13000000003</v>
      </c>
      <c r="DQ56" s="383"/>
      <c r="DR56" s="381"/>
      <c r="DS56" s="388"/>
      <c r="DT56" s="388"/>
    </row>
    <row r="57" spans="1:127" ht="14.25">
      <c r="A57" s="380">
        <v>724</v>
      </c>
      <c r="B57" s="391">
        <v>9163052</v>
      </c>
      <c r="C57" s="68">
        <v>3052</v>
      </c>
      <c r="D57" s="120"/>
      <c r="E57" s="120" t="s">
        <v>284</v>
      </c>
      <c r="F57" s="120"/>
      <c r="G57" s="120"/>
      <c r="H57" s="68"/>
      <c r="I57" s="381">
        <v>3993.7900000003137</v>
      </c>
      <c r="J57" s="381">
        <v>8856.7799999999988</v>
      </c>
      <c r="K57" s="381">
        <v>0</v>
      </c>
      <c r="L57" s="381">
        <v>6488.91</v>
      </c>
      <c r="M57" s="381">
        <v>0</v>
      </c>
      <c r="N57" s="381">
        <v>0</v>
      </c>
      <c r="O57" s="381">
        <v>19339.480000000312</v>
      </c>
      <c r="P57" s="381"/>
      <c r="Q57" s="381">
        <v>1038934</v>
      </c>
      <c r="R57" s="381">
        <v>0</v>
      </c>
      <c r="S57" s="381">
        <v>115515</v>
      </c>
      <c r="T57" s="381">
        <v>0</v>
      </c>
      <c r="U57" s="381">
        <v>59085</v>
      </c>
      <c r="V57" s="381">
        <v>50081</v>
      </c>
      <c r="W57" s="381">
        <v>0</v>
      </c>
      <c r="X57" s="381">
        <v>13000</v>
      </c>
      <c r="Y57" s="381">
        <v>61460</v>
      </c>
      <c r="Z57" s="381">
        <v>20000</v>
      </c>
      <c r="AA57" s="381">
        <v>6000</v>
      </c>
      <c r="AB57" s="381">
        <v>0</v>
      </c>
      <c r="AC57" s="381">
        <v>32000</v>
      </c>
      <c r="AD57" s="381">
        <v>22879</v>
      </c>
      <c r="AE57" s="381">
        <v>0</v>
      </c>
      <c r="AF57" s="381">
        <v>0</v>
      </c>
      <c r="AG57" s="381">
        <v>0</v>
      </c>
      <c r="AH57" s="381">
        <v>0</v>
      </c>
      <c r="AI57" s="381">
        <v>0</v>
      </c>
      <c r="AJ57" s="381">
        <v>0</v>
      </c>
      <c r="AK57" s="381">
        <v>0</v>
      </c>
      <c r="AL57" s="381">
        <v>1418954</v>
      </c>
      <c r="AM57" s="381"/>
      <c r="AN57" s="381">
        <v>628262</v>
      </c>
      <c r="AO57" s="381">
        <v>0</v>
      </c>
      <c r="AP57" s="381">
        <v>281162</v>
      </c>
      <c r="AQ57" s="381">
        <v>47073</v>
      </c>
      <c r="AR57" s="381">
        <v>78269</v>
      </c>
      <c r="AS57" s="381">
        <v>38089</v>
      </c>
      <c r="AT57" s="381">
        <v>73532</v>
      </c>
      <c r="AU57" s="381">
        <v>6265</v>
      </c>
      <c r="AV57" s="381">
        <v>5150</v>
      </c>
      <c r="AW57" s="381">
        <v>4170</v>
      </c>
      <c r="AX57" s="381">
        <v>0</v>
      </c>
      <c r="AY57" s="381">
        <v>8584</v>
      </c>
      <c r="AZ57" s="381">
        <v>2500</v>
      </c>
      <c r="BA57" s="381">
        <v>1247</v>
      </c>
      <c r="BB57" s="381">
        <v>3516</v>
      </c>
      <c r="BC57" s="381">
        <v>26135</v>
      </c>
      <c r="BD57" s="381">
        <v>17091</v>
      </c>
      <c r="BE57" s="381">
        <v>4195</v>
      </c>
      <c r="BF57" s="381">
        <v>127624</v>
      </c>
      <c r="BG57" s="381">
        <v>2095</v>
      </c>
      <c r="BH57" s="381">
        <v>0</v>
      </c>
      <c r="BI57" s="381">
        <v>2832</v>
      </c>
      <c r="BJ57" s="381">
        <v>0</v>
      </c>
      <c r="BK57" s="381">
        <v>0</v>
      </c>
      <c r="BL57" s="381">
        <v>1811</v>
      </c>
      <c r="BM57" s="381">
        <v>5518</v>
      </c>
      <c r="BN57" s="381">
        <v>0</v>
      </c>
      <c r="BO57" s="381">
        <v>7019</v>
      </c>
      <c r="BP57" s="381">
        <v>10094</v>
      </c>
      <c r="BQ57" s="381">
        <v>0</v>
      </c>
      <c r="BR57" s="381">
        <v>20648</v>
      </c>
      <c r="BS57" s="381">
        <v>8000</v>
      </c>
      <c r="BT57" s="381">
        <v>4500</v>
      </c>
      <c r="BU57" s="381">
        <v>15927</v>
      </c>
      <c r="BV57" s="381">
        <v>0</v>
      </c>
      <c r="BW57" s="381">
        <v>0</v>
      </c>
      <c r="BX57" s="381">
        <v>0</v>
      </c>
      <c r="BY57" s="382">
        <v>0</v>
      </c>
      <c r="BZ57" s="382">
        <v>0</v>
      </c>
      <c r="CA57" s="382">
        <v>1431308</v>
      </c>
      <c r="CB57" s="381"/>
      <c r="CC57" s="381">
        <v>6239</v>
      </c>
      <c r="CD57" s="381">
        <v>0</v>
      </c>
      <c r="CE57" s="381">
        <v>0</v>
      </c>
      <c r="CF57" s="381">
        <v>6239</v>
      </c>
      <c r="CG57" s="381"/>
      <c r="CH57" s="381">
        <v>0</v>
      </c>
      <c r="CI57" s="381">
        <v>12728</v>
      </c>
      <c r="CJ57" s="381">
        <v>0</v>
      </c>
      <c r="CK57" s="381">
        <v>0</v>
      </c>
      <c r="CL57" s="381">
        <v>0</v>
      </c>
      <c r="CM57" s="381">
        <v>0</v>
      </c>
      <c r="CN57" s="381">
        <v>0</v>
      </c>
      <c r="CO57" s="381">
        <v>0</v>
      </c>
      <c r="CP57" s="381">
        <v>12728</v>
      </c>
      <c r="CQ57" s="381"/>
      <c r="CR57" s="381">
        <v>496.57000000031258</v>
      </c>
      <c r="CS57" s="381">
        <v>0</v>
      </c>
      <c r="CT57" s="381">
        <v>0</v>
      </c>
      <c r="CU57" s="381">
        <v>-9.0000000000145519E-2</v>
      </c>
      <c r="CV57" s="381">
        <v>0</v>
      </c>
      <c r="CW57" s="381">
        <v>0</v>
      </c>
      <c r="CX57" s="381">
        <v>496.48000000031243</v>
      </c>
      <c r="CY57" s="381"/>
      <c r="CZ57" s="117"/>
      <c r="DA57" s="384"/>
      <c r="DB57" s="117"/>
      <c r="DC57" s="384"/>
      <c r="DD57" s="385"/>
      <c r="DE57" s="117"/>
      <c r="DF57" s="117"/>
      <c r="DG57" s="381"/>
      <c r="DH57" s="386"/>
      <c r="DI57" s="387"/>
      <c r="DJ57" s="381"/>
      <c r="DK57" s="381">
        <v>12850.570000000313</v>
      </c>
      <c r="DL57" s="381">
        <v>6488.91</v>
      </c>
      <c r="DM57" s="381">
        <v>19339.480000000312</v>
      </c>
      <c r="DN57" s="381">
        <v>496.57000000031258</v>
      </c>
      <c r="DO57" s="381">
        <v>-9.0000000000145519E-2</v>
      </c>
      <c r="DP57" s="381">
        <v>496.48000000031243</v>
      </c>
      <c r="DQ57" s="383"/>
      <c r="DR57" s="381"/>
      <c r="DS57" s="388"/>
      <c r="DT57" s="388"/>
    </row>
    <row r="58" spans="1:127" ht="15">
      <c r="A58" s="380">
        <v>857</v>
      </c>
      <c r="B58" s="391">
        <v>9162136</v>
      </c>
      <c r="C58" s="68">
        <v>2136</v>
      </c>
      <c r="D58" s="120"/>
      <c r="E58" s="120" t="s">
        <v>729</v>
      </c>
      <c r="F58" s="120"/>
      <c r="G58" s="120"/>
      <c r="H58" s="68"/>
      <c r="I58" s="381">
        <v>72964.740000000442</v>
      </c>
      <c r="J58" s="381">
        <v>27540.710000000003</v>
      </c>
      <c r="K58" s="381">
        <v>0</v>
      </c>
      <c r="L58" s="381">
        <v>19763.639999999992</v>
      </c>
      <c r="M58" s="381">
        <v>0</v>
      </c>
      <c r="N58" s="381">
        <v>3321.8100000000268</v>
      </c>
      <c r="O58" s="381">
        <v>123590.90000000046</v>
      </c>
      <c r="P58" s="389"/>
      <c r="Q58" s="381">
        <v>1263675</v>
      </c>
      <c r="R58" s="381">
        <v>0</v>
      </c>
      <c r="S58" s="381">
        <v>40658</v>
      </c>
      <c r="T58" s="381">
        <v>0</v>
      </c>
      <c r="U58" s="381">
        <v>58950</v>
      </c>
      <c r="V58" s="381">
        <v>61365</v>
      </c>
      <c r="W58" s="381">
        <v>0</v>
      </c>
      <c r="X58" s="381">
        <v>1750</v>
      </c>
      <c r="Y58" s="381">
        <v>106688</v>
      </c>
      <c r="Z58" s="381">
        <v>0</v>
      </c>
      <c r="AA58" s="381">
        <v>0</v>
      </c>
      <c r="AB58" s="381">
        <v>0</v>
      </c>
      <c r="AC58" s="381">
        <v>42906</v>
      </c>
      <c r="AD58" s="381">
        <v>0</v>
      </c>
      <c r="AE58" s="381">
        <v>0</v>
      </c>
      <c r="AF58" s="381">
        <v>63134</v>
      </c>
      <c r="AG58" s="381">
        <v>53000</v>
      </c>
      <c r="AH58" s="381">
        <v>0</v>
      </c>
      <c r="AI58" s="381">
        <v>0</v>
      </c>
      <c r="AJ58" s="381">
        <v>0</v>
      </c>
      <c r="AK58" s="381">
        <v>0</v>
      </c>
      <c r="AL58" s="381">
        <v>1692126</v>
      </c>
      <c r="AM58" s="389"/>
      <c r="AN58" s="381">
        <v>815732</v>
      </c>
      <c r="AO58" s="381">
        <v>11500</v>
      </c>
      <c r="AP58" s="381">
        <v>283165</v>
      </c>
      <c r="AQ58" s="381">
        <v>35412</v>
      </c>
      <c r="AR58" s="381">
        <v>67701</v>
      </c>
      <c r="AS58" s="381">
        <v>0</v>
      </c>
      <c r="AT58" s="381">
        <v>83007</v>
      </c>
      <c r="AU58" s="381">
        <v>7828</v>
      </c>
      <c r="AV58" s="381">
        <v>9182</v>
      </c>
      <c r="AW58" s="381">
        <v>735</v>
      </c>
      <c r="AX58" s="381">
        <v>0</v>
      </c>
      <c r="AY58" s="381">
        <v>29319</v>
      </c>
      <c r="AZ58" s="381">
        <v>11640</v>
      </c>
      <c r="BA58" s="381">
        <v>5283</v>
      </c>
      <c r="BB58" s="381">
        <v>2431</v>
      </c>
      <c r="BC58" s="381">
        <v>18882</v>
      </c>
      <c r="BD58" s="381">
        <v>34055</v>
      </c>
      <c r="BE58" s="381">
        <v>11682</v>
      </c>
      <c r="BF58" s="381">
        <v>92477</v>
      </c>
      <c r="BG58" s="381">
        <v>500</v>
      </c>
      <c r="BH58" s="381">
        <v>0</v>
      </c>
      <c r="BI58" s="381">
        <v>8291</v>
      </c>
      <c r="BJ58" s="381">
        <v>4439</v>
      </c>
      <c r="BK58" s="381">
        <v>0</v>
      </c>
      <c r="BL58" s="381">
        <v>0</v>
      </c>
      <c r="BM58" s="381">
        <v>17755</v>
      </c>
      <c r="BN58" s="381">
        <v>0</v>
      </c>
      <c r="BO58" s="381">
        <v>5209</v>
      </c>
      <c r="BP58" s="381">
        <v>13009</v>
      </c>
      <c r="BQ58" s="381">
        <v>9500</v>
      </c>
      <c r="BR58" s="381">
        <v>38038</v>
      </c>
      <c r="BS58" s="381">
        <v>3623</v>
      </c>
      <c r="BT58" s="381">
        <v>16261</v>
      </c>
      <c r="BU58" s="381">
        <v>15780</v>
      </c>
      <c r="BV58" s="381">
        <v>0</v>
      </c>
      <c r="BW58" s="381">
        <v>0</v>
      </c>
      <c r="BX58" s="381">
        <v>0</v>
      </c>
      <c r="BY58" s="382">
        <v>106396</v>
      </c>
      <c r="BZ58" s="382">
        <v>13060</v>
      </c>
      <c r="CA58" s="382">
        <v>1771892</v>
      </c>
      <c r="CB58" s="389"/>
      <c r="CC58" s="381">
        <v>6947</v>
      </c>
      <c r="CD58" s="381">
        <v>0</v>
      </c>
      <c r="CE58" s="381">
        <v>0</v>
      </c>
      <c r="CF58" s="381">
        <v>6947</v>
      </c>
      <c r="CG58" s="389"/>
      <c r="CH58" s="381">
        <v>0</v>
      </c>
      <c r="CI58" s="381">
        <v>26711</v>
      </c>
      <c r="CJ58" s="381">
        <v>0</v>
      </c>
      <c r="CK58" s="381">
        <v>0</v>
      </c>
      <c r="CL58" s="381">
        <v>0</v>
      </c>
      <c r="CM58" s="381">
        <v>0</v>
      </c>
      <c r="CN58" s="381">
        <v>0</v>
      </c>
      <c r="CO58" s="381">
        <v>0</v>
      </c>
      <c r="CP58" s="381">
        <v>26711</v>
      </c>
      <c r="CQ58" s="390"/>
      <c r="CR58" s="381">
        <v>18158.450000000448</v>
      </c>
      <c r="CS58" s="381">
        <v>5903</v>
      </c>
      <c r="CT58" s="381">
        <v>0</v>
      </c>
      <c r="CU58" s="381">
        <v>-0.36000000000785803</v>
      </c>
      <c r="CV58" s="381">
        <v>0</v>
      </c>
      <c r="CW58" s="381">
        <v>-0.18999999997322448</v>
      </c>
      <c r="CX58" s="381">
        <v>24060.900000000467</v>
      </c>
      <c r="CY58" s="381"/>
      <c r="CZ58" s="117"/>
      <c r="DA58" s="384"/>
      <c r="DB58" s="117"/>
      <c r="DC58" s="384"/>
      <c r="DD58" s="385"/>
      <c r="DE58" s="117"/>
      <c r="DF58" s="117"/>
      <c r="DG58" s="381"/>
      <c r="DH58" s="386"/>
      <c r="DI58" s="387"/>
      <c r="DJ58" s="381"/>
      <c r="DK58" s="381">
        <v>103827.26000000047</v>
      </c>
      <c r="DL58" s="381">
        <v>19763.639999999992</v>
      </c>
      <c r="DM58" s="381">
        <v>123590.90000000046</v>
      </c>
      <c r="DN58" s="381">
        <v>24061.260000000475</v>
      </c>
      <c r="DO58" s="381">
        <v>-0.36000000000785803</v>
      </c>
      <c r="DP58" s="381">
        <v>24060.900000000467</v>
      </c>
      <c r="DQ58" s="383"/>
      <c r="DR58" s="381"/>
      <c r="DS58" s="388"/>
      <c r="DT58" s="388"/>
    </row>
    <row r="59" spans="1:127" ht="14.25">
      <c r="A59" s="380">
        <v>665</v>
      </c>
      <c r="B59" s="391">
        <v>9163039</v>
      </c>
      <c r="C59" s="68">
        <v>3039</v>
      </c>
      <c r="D59" s="120"/>
      <c r="E59" s="120" t="s">
        <v>238</v>
      </c>
      <c r="F59" s="120"/>
      <c r="G59" s="120"/>
      <c r="H59" s="68"/>
      <c r="I59" s="381">
        <v>210948.18999999997</v>
      </c>
      <c r="J59" s="381">
        <v>0</v>
      </c>
      <c r="K59" s="381">
        <v>0</v>
      </c>
      <c r="L59" s="381">
        <v>11897.17</v>
      </c>
      <c r="M59" s="381">
        <v>0</v>
      </c>
      <c r="N59" s="381">
        <v>0</v>
      </c>
      <c r="O59" s="381">
        <v>222845.36</v>
      </c>
      <c r="P59" s="381"/>
      <c r="Q59" s="381">
        <v>657869</v>
      </c>
      <c r="R59" s="381">
        <v>0</v>
      </c>
      <c r="S59" s="381">
        <v>0</v>
      </c>
      <c r="T59" s="381">
        <v>0</v>
      </c>
      <c r="U59" s="381">
        <v>14750</v>
      </c>
      <c r="V59" s="381">
        <v>37440</v>
      </c>
      <c r="W59" s="381">
        <v>0</v>
      </c>
      <c r="X59" s="381">
        <v>0</v>
      </c>
      <c r="Y59" s="381">
        <v>12000</v>
      </c>
      <c r="Z59" s="381">
        <v>0</v>
      </c>
      <c r="AA59" s="381">
        <v>0</v>
      </c>
      <c r="AB59" s="381">
        <v>0</v>
      </c>
      <c r="AC59" s="381">
        <v>2000</v>
      </c>
      <c r="AD59" s="381">
        <v>0</v>
      </c>
      <c r="AE59" s="381">
        <v>0</v>
      </c>
      <c r="AF59" s="381">
        <v>0</v>
      </c>
      <c r="AG59" s="381">
        <v>0</v>
      </c>
      <c r="AH59" s="381">
        <v>0</v>
      </c>
      <c r="AI59" s="381">
        <v>0</v>
      </c>
      <c r="AJ59" s="381">
        <v>0</v>
      </c>
      <c r="AK59" s="381">
        <v>0</v>
      </c>
      <c r="AL59" s="381">
        <v>724059</v>
      </c>
      <c r="AM59" s="381"/>
      <c r="AN59" s="381">
        <v>367141</v>
      </c>
      <c r="AO59" s="381">
        <v>6000</v>
      </c>
      <c r="AP59" s="381">
        <v>177121</v>
      </c>
      <c r="AQ59" s="381">
        <v>0</v>
      </c>
      <c r="AR59" s="381">
        <v>46523</v>
      </c>
      <c r="AS59" s="381">
        <v>0</v>
      </c>
      <c r="AT59" s="381">
        <v>23948</v>
      </c>
      <c r="AU59" s="381">
        <v>2900</v>
      </c>
      <c r="AV59" s="381">
        <v>14905</v>
      </c>
      <c r="AW59" s="381">
        <v>317</v>
      </c>
      <c r="AX59" s="381">
        <v>0</v>
      </c>
      <c r="AY59" s="381">
        <v>10196</v>
      </c>
      <c r="AZ59" s="381">
        <v>2600</v>
      </c>
      <c r="BA59" s="381">
        <v>18000</v>
      </c>
      <c r="BB59" s="381">
        <v>3500</v>
      </c>
      <c r="BC59" s="381">
        <v>18500</v>
      </c>
      <c r="BD59" s="381">
        <v>3593</v>
      </c>
      <c r="BE59" s="381">
        <v>2600</v>
      </c>
      <c r="BF59" s="381">
        <v>56979</v>
      </c>
      <c r="BG59" s="381">
        <v>5500</v>
      </c>
      <c r="BH59" s="381">
        <v>0</v>
      </c>
      <c r="BI59" s="381">
        <v>4500</v>
      </c>
      <c r="BJ59" s="381">
        <v>6725</v>
      </c>
      <c r="BK59" s="381">
        <v>0</v>
      </c>
      <c r="BL59" s="381">
        <v>0</v>
      </c>
      <c r="BM59" s="381">
        <v>1092</v>
      </c>
      <c r="BN59" s="381">
        <v>0</v>
      </c>
      <c r="BO59" s="381">
        <v>3300</v>
      </c>
      <c r="BP59" s="381">
        <v>5614</v>
      </c>
      <c r="BQ59" s="381">
        <v>0</v>
      </c>
      <c r="BR59" s="381">
        <v>25152</v>
      </c>
      <c r="BS59" s="381">
        <v>6000</v>
      </c>
      <c r="BT59" s="381">
        <v>23750</v>
      </c>
      <c r="BU59" s="381">
        <v>21674</v>
      </c>
      <c r="BV59" s="381">
        <v>0</v>
      </c>
      <c r="BW59" s="381">
        <v>0</v>
      </c>
      <c r="BX59" s="381">
        <v>0</v>
      </c>
      <c r="BY59" s="382">
        <v>0</v>
      </c>
      <c r="BZ59" s="382">
        <v>0</v>
      </c>
      <c r="CA59" s="382">
        <v>858130</v>
      </c>
      <c r="CB59" s="381"/>
      <c r="CC59" s="381">
        <v>5125</v>
      </c>
      <c r="CD59" s="381">
        <v>0</v>
      </c>
      <c r="CE59" s="381">
        <v>0</v>
      </c>
      <c r="CF59" s="381">
        <v>5125</v>
      </c>
      <c r="CG59" s="381"/>
      <c r="CH59" s="381">
        <v>0</v>
      </c>
      <c r="CI59" s="381">
        <v>10022</v>
      </c>
      <c r="CJ59" s="381">
        <v>0</v>
      </c>
      <c r="CK59" s="381">
        <v>0</v>
      </c>
      <c r="CL59" s="381">
        <v>0</v>
      </c>
      <c r="CM59" s="381">
        <v>0</v>
      </c>
      <c r="CN59" s="381">
        <v>7000</v>
      </c>
      <c r="CO59" s="381">
        <v>0</v>
      </c>
      <c r="CP59" s="381">
        <v>17022</v>
      </c>
      <c r="CQ59" s="381"/>
      <c r="CR59" s="381">
        <v>76877.189999999973</v>
      </c>
      <c r="CS59" s="381">
        <v>0</v>
      </c>
      <c r="CT59" s="381">
        <v>0</v>
      </c>
      <c r="CU59" s="381">
        <v>0.17000000000007276</v>
      </c>
      <c r="CV59" s="381">
        <v>0</v>
      </c>
      <c r="CW59" s="381">
        <v>0</v>
      </c>
      <c r="CX59" s="381">
        <v>76877.359999999971</v>
      </c>
      <c r="CY59" s="381"/>
      <c r="CZ59" s="117"/>
      <c r="DA59" s="384"/>
      <c r="DB59" s="117"/>
      <c r="DC59" s="384"/>
      <c r="DD59" s="385"/>
      <c r="DE59" s="117"/>
      <c r="DF59" s="117"/>
      <c r="DG59" s="381"/>
      <c r="DH59" s="386"/>
      <c r="DI59" s="387"/>
      <c r="DJ59" s="381"/>
      <c r="DK59" s="381">
        <v>210948.18999999997</v>
      </c>
      <c r="DL59" s="381">
        <v>11897.17</v>
      </c>
      <c r="DM59" s="381">
        <v>222845.36</v>
      </c>
      <c r="DN59" s="381">
        <v>76877.189999999973</v>
      </c>
      <c r="DO59" s="381">
        <v>0.17000000000007276</v>
      </c>
      <c r="DP59" s="381">
        <v>76877.359999999971</v>
      </c>
      <c r="DQ59" s="383"/>
      <c r="DR59" s="381"/>
      <c r="DS59" s="388"/>
      <c r="DT59" s="388"/>
    </row>
    <row r="60" spans="1:127" ht="14.25">
      <c r="A60" s="380">
        <v>957</v>
      </c>
      <c r="B60" s="391">
        <v>9165219</v>
      </c>
      <c r="C60" s="68">
        <v>5219</v>
      </c>
      <c r="D60" s="120"/>
      <c r="E60" s="120" t="s">
        <v>735</v>
      </c>
      <c r="F60" s="120"/>
      <c r="G60" s="120"/>
      <c r="H60" s="68"/>
      <c r="I60" s="381">
        <v>240235.51000000042</v>
      </c>
      <c r="J60" s="381">
        <v>57515.199999999997</v>
      </c>
      <c r="K60" s="381">
        <v>0</v>
      </c>
      <c r="L60" s="381">
        <v>15385.770000000004</v>
      </c>
      <c r="M60" s="381">
        <v>0</v>
      </c>
      <c r="N60" s="381">
        <v>0</v>
      </c>
      <c r="O60" s="381">
        <v>313136.48000000045</v>
      </c>
      <c r="P60" s="381"/>
      <c r="Q60" s="381">
        <v>2057654</v>
      </c>
      <c r="R60" s="381">
        <v>0</v>
      </c>
      <c r="S60" s="381">
        <v>70415</v>
      </c>
      <c r="T60" s="381">
        <v>0</v>
      </c>
      <c r="U60" s="381">
        <v>100775</v>
      </c>
      <c r="V60" s="381">
        <v>84937</v>
      </c>
      <c r="W60" s="381">
        <v>0</v>
      </c>
      <c r="X60" s="381">
        <v>20125</v>
      </c>
      <c r="Y60" s="381">
        <v>41970</v>
      </c>
      <c r="Z60" s="381">
        <v>49790</v>
      </c>
      <c r="AA60" s="381">
        <v>0</v>
      </c>
      <c r="AB60" s="381">
        <v>0</v>
      </c>
      <c r="AC60" s="381">
        <v>3850</v>
      </c>
      <c r="AD60" s="381">
        <v>0</v>
      </c>
      <c r="AE60" s="381">
        <v>0</v>
      </c>
      <c r="AF60" s="381">
        <v>0</v>
      </c>
      <c r="AG60" s="381">
        <v>0</v>
      </c>
      <c r="AH60" s="381">
        <v>0</v>
      </c>
      <c r="AI60" s="381">
        <v>0</v>
      </c>
      <c r="AJ60" s="381">
        <v>0</v>
      </c>
      <c r="AK60" s="381">
        <v>0</v>
      </c>
      <c r="AL60" s="381">
        <v>2429516</v>
      </c>
      <c r="AM60" s="381"/>
      <c r="AN60" s="381">
        <v>1274669</v>
      </c>
      <c r="AO60" s="381">
        <v>20437</v>
      </c>
      <c r="AP60" s="381">
        <v>465811</v>
      </c>
      <c r="AQ60" s="381">
        <v>89229</v>
      </c>
      <c r="AR60" s="381">
        <v>166953</v>
      </c>
      <c r="AS60" s="381">
        <v>77448</v>
      </c>
      <c r="AT60" s="381">
        <v>99585</v>
      </c>
      <c r="AU60" s="381">
        <v>2700</v>
      </c>
      <c r="AV60" s="381">
        <v>7182</v>
      </c>
      <c r="AW60" s="381">
        <v>1223</v>
      </c>
      <c r="AX60" s="381">
        <v>0</v>
      </c>
      <c r="AY60" s="381">
        <v>23590</v>
      </c>
      <c r="AZ60" s="381">
        <v>10585</v>
      </c>
      <c r="BA60" s="381">
        <v>6207</v>
      </c>
      <c r="BB60" s="381">
        <v>8600</v>
      </c>
      <c r="BC60" s="381">
        <v>32000</v>
      </c>
      <c r="BD60" s="381">
        <v>8170</v>
      </c>
      <c r="BE60" s="381">
        <v>6105</v>
      </c>
      <c r="BF60" s="381">
        <v>47433</v>
      </c>
      <c r="BG60" s="381">
        <v>1724</v>
      </c>
      <c r="BH60" s="381">
        <v>0</v>
      </c>
      <c r="BI60" s="381">
        <v>10189</v>
      </c>
      <c r="BJ60" s="381">
        <v>20326</v>
      </c>
      <c r="BK60" s="381">
        <v>1000</v>
      </c>
      <c r="BL60" s="381">
        <v>0</v>
      </c>
      <c r="BM60" s="381">
        <v>10597</v>
      </c>
      <c r="BN60" s="381">
        <v>0</v>
      </c>
      <c r="BO60" s="381">
        <v>4075</v>
      </c>
      <c r="BP60" s="381">
        <v>19084</v>
      </c>
      <c r="BQ60" s="381">
        <v>0</v>
      </c>
      <c r="BR60" s="381">
        <v>37810</v>
      </c>
      <c r="BS60" s="381">
        <v>27000</v>
      </c>
      <c r="BT60" s="381">
        <v>8915</v>
      </c>
      <c r="BU60" s="381">
        <v>19448</v>
      </c>
      <c r="BV60" s="381">
        <v>0</v>
      </c>
      <c r="BW60" s="381">
        <v>0</v>
      </c>
      <c r="BX60" s="381">
        <v>0</v>
      </c>
      <c r="BY60" s="382">
        <v>0</v>
      </c>
      <c r="BZ60" s="382">
        <v>0</v>
      </c>
      <c r="CA60" s="382">
        <v>2508095</v>
      </c>
      <c r="CB60" s="381"/>
      <c r="CC60" s="381">
        <v>8646</v>
      </c>
      <c r="CD60" s="381">
        <v>0</v>
      </c>
      <c r="CE60" s="381">
        <v>0</v>
      </c>
      <c r="CF60" s="381">
        <v>8646</v>
      </c>
      <c r="CG60" s="381"/>
      <c r="CH60" s="381">
        <v>0</v>
      </c>
      <c r="CI60" s="381">
        <v>24032</v>
      </c>
      <c r="CJ60" s="381">
        <v>0</v>
      </c>
      <c r="CK60" s="381">
        <v>0</v>
      </c>
      <c r="CL60" s="381">
        <v>0</v>
      </c>
      <c r="CM60" s="381">
        <v>0</v>
      </c>
      <c r="CN60" s="381">
        <v>0</v>
      </c>
      <c r="CO60" s="381">
        <v>0</v>
      </c>
      <c r="CP60" s="381">
        <v>24032</v>
      </c>
      <c r="CQ60" s="381"/>
      <c r="CR60" s="381">
        <v>219171.71000000043</v>
      </c>
      <c r="CS60" s="381">
        <v>0</v>
      </c>
      <c r="CT60" s="381">
        <v>0</v>
      </c>
      <c r="CU60" s="381">
        <v>-0.22999999999592546</v>
      </c>
      <c r="CV60" s="381">
        <v>0</v>
      </c>
      <c r="CW60" s="381">
        <v>0</v>
      </c>
      <c r="CX60" s="381">
        <v>219171.48000000045</v>
      </c>
      <c r="CY60" s="381"/>
      <c r="CZ60" s="117"/>
      <c r="DA60" s="384"/>
      <c r="DB60" s="117"/>
      <c r="DC60" s="384"/>
      <c r="DD60" s="385"/>
      <c r="DE60" s="117"/>
      <c r="DF60" s="117"/>
      <c r="DG60" s="381"/>
      <c r="DH60" s="386"/>
      <c r="DI60" s="387"/>
      <c r="DJ60" s="381"/>
      <c r="DK60" s="381">
        <v>297750.71000000043</v>
      </c>
      <c r="DL60" s="381">
        <v>15385.770000000004</v>
      </c>
      <c r="DM60" s="381">
        <v>313136.48000000045</v>
      </c>
      <c r="DN60" s="381">
        <v>219171.71000000043</v>
      </c>
      <c r="DO60" s="381">
        <v>-0.22999999999592546</v>
      </c>
      <c r="DP60" s="381">
        <v>219171.48000000045</v>
      </c>
      <c r="DQ60" s="383"/>
      <c r="DR60" s="381"/>
      <c r="DS60" s="388"/>
      <c r="DT60" s="388"/>
    </row>
    <row r="61" spans="1:127" ht="15">
      <c r="A61" s="380">
        <v>798</v>
      </c>
      <c r="B61" s="391">
        <v>9162091</v>
      </c>
      <c r="C61" s="68">
        <v>2091</v>
      </c>
      <c r="D61" s="120"/>
      <c r="E61" s="120" t="s">
        <v>203</v>
      </c>
      <c r="F61" s="120"/>
      <c r="G61" s="120"/>
      <c r="H61" s="68"/>
      <c r="I61" s="381">
        <v>-127760.80000000003</v>
      </c>
      <c r="J61" s="381">
        <v>-1933.58</v>
      </c>
      <c r="K61" s="381">
        <v>0</v>
      </c>
      <c r="L61" s="381">
        <v>15676.33</v>
      </c>
      <c r="M61" s="381">
        <v>0</v>
      </c>
      <c r="N61" s="381">
        <v>-33955.629999999983</v>
      </c>
      <c r="O61" s="381">
        <v>-147973.68000000002</v>
      </c>
      <c r="P61" s="389"/>
      <c r="Q61" s="381">
        <v>632731</v>
      </c>
      <c r="R61" s="381">
        <v>0</v>
      </c>
      <c r="S61" s="381">
        <v>60000</v>
      </c>
      <c r="T61" s="381">
        <v>0</v>
      </c>
      <c r="U61" s="381">
        <v>18180</v>
      </c>
      <c r="V61" s="381">
        <v>34215</v>
      </c>
      <c r="W61" s="381">
        <v>0</v>
      </c>
      <c r="X61" s="381">
        <v>2000</v>
      </c>
      <c r="Y61" s="381">
        <v>10000</v>
      </c>
      <c r="Z61" s="381">
        <v>0</v>
      </c>
      <c r="AA61" s="381">
        <v>0</v>
      </c>
      <c r="AB61" s="381">
        <v>0</v>
      </c>
      <c r="AC61" s="381">
        <v>10000</v>
      </c>
      <c r="AD61" s="381">
        <v>0</v>
      </c>
      <c r="AE61" s="381">
        <v>0</v>
      </c>
      <c r="AF61" s="381">
        <v>0</v>
      </c>
      <c r="AG61" s="381">
        <v>7000</v>
      </c>
      <c r="AH61" s="381">
        <v>0</v>
      </c>
      <c r="AI61" s="381">
        <v>0</v>
      </c>
      <c r="AJ61" s="381">
        <v>0</v>
      </c>
      <c r="AK61" s="381">
        <v>0</v>
      </c>
      <c r="AL61" s="381">
        <v>774126</v>
      </c>
      <c r="AM61" s="389"/>
      <c r="AN61" s="381">
        <v>402289</v>
      </c>
      <c r="AO61" s="381">
        <v>20601</v>
      </c>
      <c r="AP61" s="381">
        <v>136743</v>
      </c>
      <c r="AQ61" s="381">
        <v>26026</v>
      </c>
      <c r="AR61" s="381">
        <v>45782</v>
      </c>
      <c r="AS61" s="381">
        <v>0</v>
      </c>
      <c r="AT61" s="381">
        <v>26166</v>
      </c>
      <c r="AU61" s="381">
        <v>3121</v>
      </c>
      <c r="AV61" s="381">
        <v>2000</v>
      </c>
      <c r="AW61" s="381">
        <v>7055</v>
      </c>
      <c r="AX61" s="381">
        <v>0</v>
      </c>
      <c r="AY61" s="381">
        <v>12588</v>
      </c>
      <c r="AZ61" s="381">
        <v>6125</v>
      </c>
      <c r="BA61" s="381">
        <v>2704</v>
      </c>
      <c r="BB61" s="381">
        <v>3850</v>
      </c>
      <c r="BC61" s="381">
        <v>16776</v>
      </c>
      <c r="BD61" s="381">
        <v>23827</v>
      </c>
      <c r="BE61" s="381">
        <v>2812</v>
      </c>
      <c r="BF61" s="381">
        <v>28709</v>
      </c>
      <c r="BG61" s="381">
        <v>0</v>
      </c>
      <c r="BH61" s="381">
        <v>0</v>
      </c>
      <c r="BI61" s="381">
        <v>6000</v>
      </c>
      <c r="BJ61" s="381">
        <v>5697</v>
      </c>
      <c r="BK61" s="381">
        <v>0</v>
      </c>
      <c r="BL61" s="381">
        <v>0</v>
      </c>
      <c r="BM61" s="381">
        <v>0</v>
      </c>
      <c r="BN61" s="381">
        <v>0</v>
      </c>
      <c r="BO61" s="381">
        <v>5215</v>
      </c>
      <c r="BP61" s="381">
        <v>5182</v>
      </c>
      <c r="BQ61" s="381">
        <v>0</v>
      </c>
      <c r="BR61" s="381">
        <v>26114</v>
      </c>
      <c r="BS61" s="381">
        <v>0</v>
      </c>
      <c r="BT61" s="381">
        <v>19580</v>
      </c>
      <c r="BU61" s="381">
        <v>11615</v>
      </c>
      <c r="BV61" s="381">
        <v>0</v>
      </c>
      <c r="BW61" s="381">
        <v>0</v>
      </c>
      <c r="BX61" s="381">
        <v>0</v>
      </c>
      <c r="BY61" s="382">
        <v>0</v>
      </c>
      <c r="BZ61" s="382">
        <v>0</v>
      </c>
      <c r="CA61" s="382">
        <v>846577</v>
      </c>
      <c r="CB61" s="389"/>
      <c r="CC61" s="381">
        <v>5069</v>
      </c>
      <c r="CD61" s="381">
        <v>0</v>
      </c>
      <c r="CE61" s="381">
        <v>0</v>
      </c>
      <c r="CF61" s="381">
        <v>5069</v>
      </c>
      <c r="CG61" s="389"/>
      <c r="CH61" s="381">
        <v>0</v>
      </c>
      <c r="CI61" s="381">
        <v>20745</v>
      </c>
      <c r="CJ61" s="381">
        <v>0</v>
      </c>
      <c r="CK61" s="381">
        <v>0</v>
      </c>
      <c r="CL61" s="381">
        <v>0</v>
      </c>
      <c r="CM61" s="381">
        <v>0</v>
      </c>
      <c r="CN61" s="381">
        <v>0</v>
      </c>
      <c r="CO61" s="381">
        <v>0</v>
      </c>
      <c r="CP61" s="381">
        <v>20745</v>
      </c>
      <c r="CQ61" s="390"/>
      <c r="CR61" s="381">
        <v>-209145.38000000003</v>
      </c>
      <c r="CS61" s="381">
        <v>0</v>
      </c>
      <c r="CT61" s="381">
        <v>0</v>
      </c>
      <c r="CU61" s="381">
        <v>0.32999999999992724</v>
      </c>
      <c r="CV61" s="381">
        <v>0</v>
      </c>
      <c r="CW61" s="381">
        <v>-26955.629999999983</v>
      </c>
      <c r="CX61" s="381">
        <v>-236100.68000000002</v>
      </c>
      <c r="CY61" s="381"/>
      <c r="CZ61" s="117"/>
      <c r="DA61" s="384"/>
      <c r="DB61" s="117"/>
      <c r="DC61" s="384"/>
      <c r="DD61" s="385"/>
      <c r="DE61" s="117"/>
      <c r="DF61" s="117"/>
      <c r="DG61" s="381"/>
      <c r="DH61" s="386"/>
      <c r="DI61" s="387"/>
      <c r="DJ61" s="381"/>
      <c r="DK61" s="381">
        <v>-163650.01</v>
      </c>
      <c r="DL61" s="381">
        <v>15676.33</v>
      </c>
      <c r="DM61" s="381">
        <v>-147973.68000000002</v>
      </c>
      <c r="DN61" s="381">
        <v>-236101.01</v>
      </c>
      <c r="DO61" s="381">
        <v>0.32999999999992724</v>
      </c>
      <c r="DP61" s="381">
        <v>-236100.68000000002</v>
      </c>
      <c r="DQ61" s="383"/>
      <c r="DR61" s="381"/>
      <c r="DS61" s="388"/>
      <c r="DT61" s="388"/>
    </row>
    <row r="62" spans="1:127" ht="14.25">
      <c r="A62" s="380">
        <v>776</v>
      </c>
      <c r="B62" s="391">
        <v>9162084</v>
      </c>
      <c r="C62" s="68">
        <v>2084</v>
      </c>
      <c r="D62" s="120"/>
      <c r="E62" s="120" t="s">
        <v>750</v>
      </c>
      <c r="F62" s="120"/>
      <c r="G62" s="120"/>
      <c r="H62" s="68"/>
      <c r="I62" s="381">
        <v>11047.510000000017</v>
      </c>
      <c r="J62" s="381">
        <v>9323.2999999999993</v>
      </c>
      <c r="K62" s="381">
        <v>0</v>
      </c>
      <c r="L62" s="381">
        <v>12966.82</v>
      </c>
      <c r="M62" s="381">
        <v>0</v>
      </c>
      <c r="N62" s="381">
        <v>0</v>
      </c>
      <c r="O62" s="381">
        <v>33337.630000000019</v>
      </c>
      <c r="P62" s="381"/>
      <c r="Q62" s="381">
        <v>500190</v>
      </c>
      <c r="R62" s="381">
        <v>0</v>
      </c>
      <c r="S62" s="381">
        <v>45471</v>
      </c>
      <c r="T62" s="381">
        <v>0</v>
      </c>
      <c r="U62" s="381">
        <v>4545</v>
      </c>
      <c r="V62" s="381">
        <v>29825</v>
      </c>
      <c r="W62" s="381">
        <v>0</v>
      </c>
      <c r="X62" s="381">
        <v>0</v>
      </c>
      <c r="Y62" s="381">
        <v>34000</v>
      </c>
      <c r="Z62" s="381">
        <v>0</v>
      </c>
      <c r="AA62" s="381">
        <v>0</v>
      </c>
      <c r="AB62" s="381">
        <v>0</v>
      </c>
      <c r="AC62" s="381">
        <v>13500</v>
      </c>
      <c r="AD62" s="381">
        <v>9516</v>
      </c>
      <c r="AE62" s="381">
        <v>0</v>
      </c>
      <c r="AF62" s="381">
        <v>26500</v>
      </c>
      <c r="AG62" s="381">
        <v>6000</v>
      </c>
      <c r="AH62" s="381">
        <v>0</v>
      </c>
      <c r="AI62" s="381">
        <v>0</v>
      </c>
      <c r="AJ62" s="381">
        <v>0</v>
      </c>
      <c r="AK62" s="381">
        <v>0</v>
      </c>
      <c r="AL62" s="381">
        <v>669547</v>
      </c>
      <c r="AM62" s="381"/>
      <c r="AN62" s="381">
        <v>364344</v>
      </c>
      <c r="AO62" s="381">
        <v>12120</v>
      </c>
      <c r="AP62" s="381">
        <v>81985</v>
      </c>
      <c r="AQ62" s="381">
        <v>0</v>
      </c>
      <c r="AR62" s="381">
        <v>39272</v>
      </c>
      <c r="AS62" s="381">
        <v>0</v>
      </c>
      <c r="AT62" s="381">
        <v>3939</v>
      </c>
      <c r="AU62" s="381">
        <v>1750</v>
      </c>
      <c r="AV62" s="381">
        <v>1400</v>
      </c>
      <c r="AW62" s="381">
        <v>7210</v>
      </c>
      <c r="AX62" s="381">
        <v>0</v>
      </c>
      <c r="AY62" s="381">
        <v>5702</v>
      </c>
      <c r="AZ62" s="381">
        <v>0</v>
      </c>
      <c r="BA62" s="381">
        <v>10804</v>
      </c>
      <c r="BB62" s="381">
        <v>500</v>
      </c>
      <c r="BC62" s="381">
        <v>10625</v>
      </c>
      <c r="BD62" s="381">
        <v>3244</v>
      </c>
      <c r="BE62" s="381">
        <v>1250</v>
      </c>
      <c r="BF62" s="381">
        <v>45253</v>
      </c>
      <c r="BG62" s="381">
        <v>2580</v>
      </c>
      <c r="BH62" s="381">
        <v>0</v>
      </c>
      <c r="BI62" s="381">
        <v>2500</v>
      </c>
      <c r="BJ62" s="381">
        <v>700</v>
      </c>
      <c r="BK62" s="381">
        <v>0</v>
      </c>
      <c r="BL62" s="381">
        <v>0</v>
      </c>
      <c r="BM62" s="381">
        <v>1990</v>
      </c>
      <c r="BN62" s="381">
        <v>0</v>
      </c>
      <c r="BO62" s="381">
        <v>1410</v>
      </c>
      <c r="BP62" s="381">
        <v>3725</v>
      </c>
      <c r="BQ62" s="381">
        <v>0</v>
      </c>
      <c r="BR62" s="381">
        <v>19227</v>
      </c>
      <c r="BS62" s="381">
        <v>0</v>
      </c>
      <c r="BT62" s="381">
        <v>13699</v>
      </c>
      <c r="BU62" s="381">
        <v>13131</v>
      </c>
      <c r="BV62" s="381">
        <v>0</v>
      </c>
      <c r="BW62" s="381">
        <v>0</v>
      </c>
      <c r="BX62" s="381">
        <v>0</v>
      </c>
      <c r="BY62" s="382">
        <v>0</v>
      </c>
      <c r="BZ62" s="382">
        <v>32500</v>
      </c>
      <c r="CA62" s="382">
        <v>680860</v>
      </c>
      <c r="CB62" s="381"/>
      <c r="CC62" s="381">
        <v>4799</v>
      </c>
      <c r="CD62" s="381">
        <v>0</v>
      </c>
      <c r="CE62" s="381">
        <v>0</v>
      </c>
      <c r="CF62" s="381">
        <v>4799</v>
      </c>
      <c r="CG62" s="381"/>
      <c r="CH62" s="381">
        <v>0</v>
      </c>
      <c r="CI62" s="381">
        <v>17766</v>
      </c>
      <c r="CJ62" s="381">
        <v>0</v>
      </c>
      <c r="CK62" s="381">
        <v>0</v>
      </c>
      <c r="CL62" s="381">
        <v>0</v>
      </c>
      <c r="CM62" s="381">
        <v>0</v>
      </c>
      <c r="CN62" s="381">
        <v>0</v>
      </c>
      <c r="CO62" s="381">
        <v>0</v>
      </c>
      <c r="CP62" s="381">
        <v>17766</v>
      </c>
      <c r="CQ62" s="381"/>
      <c r="CR62" s="381">
        <v>9057.8100000000159</v>
      </c>
      <c r="CS62" s="381">
        <v>0</v>
      </c>
      <c r="CT62" s="381">
        <v>0</v>
      </c>
      <c r="CU62" s="381">
        <v>-0.18000000000029104</v>
      </c>
      <c r="CV62" s="381">
        <v>0</v>
      </c>
      <c r="CW62" s="381">
        <v>0</v>
      </c>
      <c r="CX62" s="381">
        <v>9057.6300000000156</v>
      </c>
      <c r="CY62" s="381"/>
      <c r="CZ62" s="117"/>
      <c r="DA62" s="384"/>
      <c r="DB62" s="117"/>
      <c r="DC62" s="384"/>
      <c r="DD62" s="385"/>
      <c r="DE62" s="117"/>
      <c r="DF62" s="117"/>
      <c r="DG62" s="381"/>
      <c r="DH62" s="386"/>
      <c r="DI62" s="387"/>
      <c r="DJ62" s="381"/>
      <c r="DK62" s="381">
        <v>20370.810000000016</v>
      </c>
      <c r="DL62" s="381">
        <v>12966.82</v>
      </c>
      <c r="DM62" s="381">
        <v>33337.630000000019</v>
      </c>
      <c r="DN62" s="381">
        <v>9057.8100000000159</v>
      </c>
      <c r="DO62" s="381">
        <v>-0.18000000000029104</v>
      </c>
      <c r="DP62" s="381">
        <v>9057.6300000000156</v>
      </c>
      <c r="DQ62" s="383"/>
      <c r="DR62" s="381"/>
      <c r="DS62" s="388"/>
      <c r="DT62" s="388"/>
    </row>
    <row r="63" spans="1:127" ht="14.25">
      <c r="A63" s="380">
        <v>884</v>
      </c>
      <c r="B63" s="391">
        <v>9162147</v>
      </c>
      <c r="C63" s="68">
        <v>2147</v>
      </c>
      <c r="D63" s="120"/>
      <c r="E63" s="120" t="s">
        <v>730</v>
      </c>
      <c r="F63" s="120"/>
      <c r="G63" s="120"/>
      <c r="H63" s="68"/>
      <c r="I63" s="381">
        <v>390287.39000000031</v>
      </c>
      <c r="J63" s="381">
        <v>14323.75</v>
      </c>
      <c r="K63" s="381">
        <v>0</v>
      </c>
      <c r="L63" s="381">
        <v>19452.59</v>
      </c>
      <c r="M63" s="381">
        <v>0</v>
      </c>
      <c r="N63" s="381">
        <v>145870.21000000002</v>
      </c>
      <c r="O63" s="381">
        <v>569933.94000000041</v>
      </c>
      <c r="P63" s="381"/>
      <c r="Q63" s="381">
        <v>2167923</v>
      </c>
      <c r="R63" s="381">
        <v>0</v>
      </c>
      <c r="S63" s="381">
        <v>152758</v>
      </c>
      <c r="T63" s="381">
        <v>0</v>
      </c>
      <c r="U63" s="381">
        <v>89170</v>
      </c>
      <c r="V63" s="381">
        <v>98710</v>
      </c>
      <c r="W63" s="381">
        <v>0</v>
      </c>
      <c r="X63" s="381">
        <v>4600</v>
      </c>
      <c r="Y63" s="381">
        <v>137889</v>
      </c>
      <c r="Z63" s="381">
        <v>0</v>
      </c>
      <c r="AA63" s="381">
        <v>0</v>
      </c>
      <c r="AB63" s="381">
        <v>0</v>
      </c>
      <c r="AC63" s="381">
        <v>0</v>
      </c>
      <c r="AD63" s="381">
        <v>10000</v>
      </c>
      <c r="AE63" s="381">
        <v>0</v>
      </c>
      <c r="AF63" s="381">
        <v>200000</v>
      </c>
      <c r="AG63" s="381">
        <v>25000</v>
      </c>
      <c r="AH63" s="381">
        <v>0</v>
      </c>
      <c r="AI63" s="381">
        <v>0</v>
      </c>
      <c r="AJ63" s="381">
        <v>0</v>
      </c>
      <c r="AK63" s="381">
        <v>0</v>
      </c>
      <c r="AL63" s="381">
        <v>2886050</v>
      </c>
      <c r="AM63" s="381"/>
      <c r="AN63" s="381">
        <v>1325219</v>
      </c>
      <c r="AO63" s="381">
        <v>0</v>
      </c>
      <c r="AP63" s="381">
        <v>580758</v>
      </c>
      <c r="AQ63" s="381">
        <v>114439</v>
      </c>
      <c r="AR63" s="381">
        <v>155704</v>
      </c>
      <c r="AS63" s="381">
        <v>0</v>
      </c>
      <c r="AT63" s="381">
        <v>114608</v>
      </c>
      <c r="AU63" s="381">
        <v>13267</v>
      </c>
      <c r="AV63" s="381">
        <v>5876</v>
      </c>
      <c r="AW63" s="381">
        <v>19269</v>
      </c>
      <c r="AX63" s="381">
        <v>0</v>
      </c>
      <c r="AY63" s="381">
        <v>11000</v>
      </c>
      <c r="AZ63" s="381">
        <v>13089</v>
      </c>
      <c r="BA63" s="381">
        <v>9500</v>
      </c>
      <c r="BB63" s="381">
        <v>8500</v>
      </c>
      <c r="BC63" s="381">
        <v>25000</v>
      </c>
      <c r="BD63" s="381">
        <v>43680</v>
      </c>
      <c r="BE63" s="381">
        <v>8600</v>
      </c>
      <c r="BF63" s="381">
        <v>226876</v>
      </c>
      <c r="BG63" s="381">
        <v>4820</v>
      </c>
      <c r="BH63" s="381">
        <v>0</v>
      </c>
      <c r="BI63" s="381">
        <v>0</v>
      </c>
      <c r="BJ63" s="381">
        <v>5104</v>
      </c>
      <c r="BK63" s="381">
        <v>0</v>
      </c>
      <c r="BL63" s="381">
        <v>0</v>
      </c>
      <c r="BM63" s="381">
        <v>0</v>
      </c>
      <c r="BN63" s="381">
        <v>0</v>
      </c>
      <c r="BO63" s="381">
        <v>8716</v>
      </c>
      <c r="BP63" s="381">
        <v>19065</v>
      </c>
      <c r="BQ63" s="381">
        <v>0</v>
      </c>
      <c r="BR63" s="381">
        <v>79167</v>
      </c>
      <c r="BS63" s="381">
        <v>22600</v>
      </c>
      <c r="BT63" s="381">
        <v>23750</v>
      </c>
      <c r="BU63" s="381">
        <v>28568</v>
      </c>
      <c r="BV63" s="381">
        <v>0</v>
      </c>
      <c r="BW63" s="381">
        <v>0</v>
      </c>
      <c r="BX63" s="381">
        <v>0</v>
      </c>
      <c r="BY63" s="382">
        <v>179424</v>
      </c>
      <c r="BZ63" s="382">
        <v>74164</v>
      </c>
      <c r="CA63" s="382">
        <v>3120763</v>
      </c>
      <c r="CB63" s="381"/>
      <c r="CC63" s="381">
        <v>8736</v>
      </c>
      <c r="CD63" s="381">
        <v>0</v>
      </c>
      <c r="CE63" s="381">
        <v>0</v>
      </c>
      <c r="CF63" s="381">
        <v>8736</v>
      </c>
      <c r="CG63" s="381"/>
      <c r="CH63" s="381">
        <v>0</v>
      </c>
      <c r="CI63" s="381">
        <v>28189</v>
      </c>
      <c r="CJ63" s="381">
        <v>0</v>
      </c>
      <c r="CK63" s="381">
        <v>0</v>
      </c>
      <c r="CL63" s="381">
        <v>0</v>
      </c>
      <c r="CM63" s="381">
        <v>0</v>
      </c>
      <c r="CN63" s="381">
        <v>0</v>
      </c>
      <c r="CO63" s="381">
        <v>0</v>
      </c>
      <c r="CP63" s="381">
        <v>28189</v>
      </c>
      <c r="CQ63" s="381"/>
      <c r="CR63" s="381">
        <v>198486.14000000031</v>
      </c>
      <c r="CS63" s="381">
        <v>0</v>
      </c>
      <c r="CT63" s="381">
        <v>0</v>
      </c>
      <c r="CU63" s="381">
        <v>-0.40999999999985448</v>
      </c>
      <c r="CV63" s="381">
        <v>0</v>
      </c>
      <c r="CW63" s="381">
        <v>117282.21000000002</v>
      </c>
      <c r="CX63" s="381">
        <v>315767.94000000029</v>
      </c>
      <c r="CY63" s="381"/>
      <c r="CZ63" s="117"/>
      <c r="DA63" s="384"/>
      <c r="DB63" s="117"/>
      <c r="DC63" s="384"/>
      <c r="DD63" s="385"/>
      <c r="DE63" s="117"/>
      <c r="DF63" s="117"/>
      <c r="DG63" s="381"/>
      <c r="DH63" s="386"/>
      <c r="DI63" s="387"/>
      <c r="DJ63" s="381"/>
      <c r="DK63" s="381">
        <v>550481.35000000033</v>
      </c>
      <c r="DL63" s="381">
        <v>19452.59</v>
      </c>
      <c r="DM63" s="381">
        <v>569933.94000000029</v>
      </c>
      <c r="DN63" s="381">
        <v>315768.35000000033</v>
      </c>
      <c r="DO63" s="381">
        <v>-0.40999999999985448</v>
      </c>
      <c r="DP63" s="381">
        <v>315767.94000000035</v>
      </c>
      <c r="DQ63" s="383"/>
      <c r="DR63" s="381"/>
      <c r="DS63" s="388"/>
      <c r="DT63" s="388"/>
    </row>
    <row r="64" spans="1:127" ht="14.25">
      <c r="A64" s="380">
        <v>346</v>
      </c>
      <c r="B64" s="391">
        <v>9165407</v>
      </c>
      <c r="C64" s="68">
        <v>5407</v>
      </c>
      <c r="D64" s="120"/>
      <c r="E64" s="120" t="s">
        <v>255</v>
      </c>
      <c r="F64" s="120"/>
      <c r="G64" s="120"/>
      <c r="H64" s="68"/>
      <c r="I64" s="381">
        <v>513583.04999999702</v>
      </c>
      <c r="J64" s="381">
        <v>0</v>
      </c>
      <c r="K64" s="381">
        <v>0</v>
      </c>
      <c r="L64" s="381">
        <v>0</v>
      </c>
      <c r="M64" s="381">
        <v>0</v>
      </c>
      <c r="N64" s="381">
        <v>0</v>
      </c>
      <c r="O64" s="381">
        <v>513583.04999999702</v>
      </c>
      <c r="P64" s="381"/>
      <c r="Q64" s="381">
        <v>7617150</v>
      </c>
      <c r="R64" s="381">
        <v>793540</v>
      </c>
      <c r="S64" s="381">
        <v>351186</v>
      </c>
      <c r="T64" s="381">
        <v>0</v>
      </c>
      <c r="U64" s="381">
        <v>253360</v>
      </c>
      <c r="V64" s="381">
        <v>7200</v>
      </c>
      <c r="W64" s="381">
        <v>8750</v>
      </c>
      <c r="X64" s="381">
        <v>98000</v>
      </c>
      <c r="Y64" s="381">
        <v>5000</v>
      </c>
      <c r="Z64" s="381">
        <v>0</v>
      </c>
      <c r="AA64" s="381">
        <v>0</v>
      </c>
      <c r="AB64" s="381">
        <v>0</v>
      </c>
      <c r="AC64" s="381">
        <v>315000</v>
      </c>
      <c r="AD64" s="381">
        <v>0</v>
      </c>
      <c r="AE64" s="381">
        <v>0</v>
      </c>
      <c r="AF64" s="381">
        <v>0</v>
      </c>
      <c r="AG64" s="381">
        <v>0</v>
      </c>
      <c r="AH64" s="381">
        <v>0</v>
      </c>
      <c r="AI64" s="381">
        <v>0</v>
      </c>
      <c r="AJ64" s="381">
        <v>0</v>
      </c>
      <c r="AK64" s="381">
        <v>0</v>
      </c>
      <c r="AL64" s="381">
        <v>9449186</v>
      </c>
      <c r="AM64" s="381"/>
      <c r="AN64" s="381">
        <v>5776315</v>
      </c>
      <c r="AO64" s="381">
        <v>25000</v>
      </c>
      <c r="AP64" s="381">
        <v>1339251</v>
      </c>
      <c r="AQ64" s="381">
        <v>174034</v>
      </c>
      <c r="AR64" s="381">
        <v>554904</v>
      </c>
      <c r="AS64" s="381">
        <v>0</v>
      </c>
      <c r="AT64" s="381">
        <v>83869</v>
      </c>
      <c r="AU64" s="381">
        <v>32836</v>
      </c>
      <c r="AV64" s="381">
        <v>21065</v>
      </c>
      <c r="AW64" s="381">
        <v>0</v>
      </c>
      <c r="AX64" s="381">
        <v>0</v>
      </c>
      <c r="AY64" s="381">
        <v>169451</v>
      </c>
      <c r="AZ64" s="381">
        <v>23625</v>
      </c>
      <c r="BA64" s="381">
        <v>208180</v>
      </c>
      <c r="BB64" s="381">
        <v>12000</v>
      </c>
      <c r="BC64" s="381">
        <v>236750</v>
      </c>
      <c r="BD64" s="381">
        <v>38211</v>
      </c>
      <c r="BE64" s="381">
        <v>21144</v>
      </c>
      <c r="BF64" s="381">
        <v>560404</v>
      </c>
      <c r="BG64" s="381">
        <v>2000</v>
      </c>
      <c r="BH64" s="381">
        <v>0</v>
      </c>
      <c r="BI64" s="381">
        <v>2200</v>
      </c>
      <c r="BJ64" s="381">
        <v>42000</v>
      </c>
      <c r="BK64" s="381">
        <v>13300</v>
      </c>
      <c r="BL64" s="381">
        <v>2500</v>
      </c>
      <c r="BM64" s="381">
        <v>2000</v>
      </c>
      <c r="BN64" s="381">
        <v>129800</v>
      </c>
      <c r="BO64" s="381">
        <v>50917</v>
      </c>
      <c r="BP64" s="381">
        <v>35478</v>
      </c>
      <c r="BQ64" s="381">
        <v>0</v>
      </c>
      <c r="BR64" s="381">
        <v>72604</v>
      </c>
      <c r="BS64" s="381">
        <v>25800</v>
      </c>
      <c r="BT64" s="381">
        <v>92716</v>
      </c>
      <c r="BU64" s="381">
        <v>52974</v>
      </c>
      <c r="BV64" s="381">
        <v>0</v>
      </c>
      <c r="BW64" s="381">
        <v>0</v>
      </c>
      <c r="BX64" s="381">
        <v>50000</v>
      </c>
      <c r="BY64" s="382">
        <v>0</v>
      </c>
      <c r="BZ64" s="382">
        <v>0</v>
      </c>
      <c r="CA64" s="382">
        <v>9851328</v>
      </c>
      <c r="CB64" s="381"/>
      <c r="CC64" s="381">
        <v>75600</v>
      </c>
      <c r="CD64" s="381">
        <v>0</v>
      </c>
      <c r="CE64" s="381">
        <v>50000</v>
      </c>
      <c r="CF64" s="381">
        <v>125600</v>
      </c>
      <c r="CG64" s="381"/>
      <c r="CH64" s="381">
        <v>0</v>
      </c>
      <c r="CI64" s="381">
        <v>100000</v>
      </c>
      <c r="CJ64" s="381">
        <v>0</v>
      </c>
      <c r="CK64" s="381">
        <v>0</v>
      </c>
      <c r="CL64" s="381">
        <v>10000</v>
      </c>
      <c r="CM64" s="381">
        <v>15600</v>
      </c>
      <c r="CN64" s="381">
        <v>0</v>
      </c>
      <c r="CO64" s="381">
        <v>0</v>
      </c>
      <c r="CP64" s="381">
        <v>125600</v>
      </c>
      <c r="CQ64" s="381"/>
      <c r="CR64" s="381">
        <v>111441.04999999702</v>
      </c>
      <c r="CS64" s="381">
        <v>0</v>
      </c>
      <c r="CT64" s="381">
        <v>0</v>
      </c>
      <c r="CU64" s="381">
        <v>0</v>
      </c>
      <c r="CV64" s="381">
        <v>0</v>
      </c>
      <c r="CW64" s="381">
        <v>0</v>
      </c>
      <c r="CX64" s="381">
        <v>111441.04999999702</v>
      </c>
      <c r="CY64" s="381"/>
      <c r="CZ64" s="117"/>
      <c r="DA64" s="384"/>
      <c r="DB64" s="117"/>
      <c r="DC64" s="384"/>
      <c r="DD64" s="385"/>
      <c r="DE64" s="117"/>
      <c r="DF64" s="117"/>
      <c r="DG64" s="381"/>
      <c r="DH64" s="386"/>
      <c r="DI64" s="387"/>
      <c r="DJ64" s="381"/>
      <c r="DK64" s="381">
        <v>513583.04999999702</v>
      </c>
      <c r="DL64" s="381">
        <v>0</v>
      </c>
      <c r="DM64" s="381">
        <v>513583.04999999702</v>
      </c>
      <c r="DN64" s="381">
        <v>111441.04999999702</v>
      </c>
      <c r="DO64" s="381">
        <v>0</v>
      </c>
      <c r="DP64" s="381">
        <v>111441.04999999702</v>
      </c>
      <c r="DQ64" s="383"/>
      <c r="DR64" s="381"/>
      <c r="DS64" s="388"/>
      <c r="DT64" s="388"/>
      <c r="DW64" s="90"/>
    </row>
    <row r="65" spans="1:124" ht="14.25">
      <c r="A65" s="380">
        <v>934</v>
      </c>
      <c r="B65" s="391">
        <v>9162026</v>
      </c>
      <c r="C65" s="68">
        <v>2026</v>
      </c>
      <c r="D65" s="120"/>
      <c r="E65" s="120" t="s">
        <v>733</v>
      </c>
      <c r="F65" s="120"/>
      <c r="G65" s="120"/>
      <c r="H65" s="68"/>
      <c r="I65" s="381">
        <v>547388.20999999926</v>
      </c>
      <c r="J65" s="381">
        <v>16229</v>
      </c>
      <c r="K65" s="381">
        <v>0</v>
      </c>
      <c r="L65" s="381">
        <v>0</v>
      </c>
      <c r="M65" s="381">
        <v>0</v>
      </c>
      <c r="N65" s="381">
        <v>0</v>
      </c>
      <c r="O65" s="381">
        <v>563617.20999999926</v>
      </c>
      <c r="P65" s="381"/>
      <c r="Q65" s="381">
        <v>1907280</v>
      </c>
      <c r="R65" s="381">
        <v>0</v>
      </c>
      <c r="S65" s="381">
        <v>25000</v>
      </c>
      <c r="T65" s="381">
        <v>0</v>
      </c>
      <c r="U65" s="381">
        <v>124765</v>
      </c>
      <c r="V65" s="381">
        <v>19000</v>
      </c>
      <c r="W65" s="381">
        <v>0</v>
      </c>
      <c r="X65" s="381">
        <v>3500</v>
      </c>
      <c r="Y65" s="381">
        <v>1270</v>
      </c>
      <c r="Z65" s="381">
        <v>38000</v>
      </c>
      <c r="AA65" s="381">
        <v>0</v>
      </c>
      <c r="AB65" s="381">
        <v>0</v>
      </c>
      <c r="AC65" s="381">
        <v>31500</v>
      </c>
      <c r="AD65" s="381">
        <v>0</v>
      </c>
      <c r="AE65" s="381">
        <v>0</v>
      </c>
      <c r="AF65" s="381">
        <v>0</v>
      </c>
      <c r="AG65" s="381">
        <v>0</v>
      </c>
      <c r="AH65" s="381">
        <v>0</v>
      </c>
      <c r="AI65" s="381">
        <v>0</v>
      </c>
      <c r="AJ65" s="381">
        <v>0</v>
      </c>
      <c r="AK65" s="381">
        <v>0</v>
      </c>
      <c r="AL65" s="381">
        <v>2150315</v>
      </c>
      <c r="AM65" s="381"/>
      <c r="AN65" s="381">
        <v>1141688</v>
      </c>
      <c r="AO65" s="381">
        <v>60000</v>
      </c>
      <c r="AP65" s="381">
        <v>479196</v>
      </c>
      <c r="AQ65" s="381">
        <v>75126</v>
      </c>
      <c r="AR65" s="381">
        <v>103357</v>
      </c>
      <c r="AS65" s="381">
        <v>0</v>
      </c>
      <c r="AT65" s="381">
        <v>75457</v>
      </c>
      <c r="AU65" s="381">
        <v>3500</v>
      </c>
      <c r="AV65" s="381">
        <v>7000</v>
      </c>
      <c r="AW65" s="381">
        <v>1098</v>
      </c>
      <c r="AX65" s="381">
        <v>0</v>
      </c>
      <c r="AY65" s="381">
        <v>7571</v>
      </c>
      <c r="AZ65" s="381">
        <v>10554</v>
      </c>
      <c r="BA65" s="381">
        <v>5000</v>
      </c>
      <c r="BB65" s="381">
        <v>5700</v>
      </c>
      <c r="BC65" s="381">
        <v>40800</v>
      </c>
      <c r="BD65" s="381">
        <v>25172</v>
      </c>
      <c r="BE65" s="381">
        <v>9270</v>
      </c>
      <c r="BF65" s="381">
        <v>123200</v>
      </c>
      <c r="BG65" s="381">
        <v>6000</v>
      </c>
      <c r="BH65" s="381">
        <v>0</v>
      </c>
      <c r="BI65" s="381">
        <v>5000</v>
      </c>
      <c r="BJ65" s="381">
        <v>6500</v>
      </c>
      <c r="BK65" s="381">
        <v>0</v>
      </c>
      <c r="BL65" s="381">
        <v>0</v>
      </c>
      <c r="BM65" s="381">
        <v>3780</v>
      </c>
      <c r="BN65" s="381">
        <v>0</v>
      </c>
      <c r="BO65" s="381">
        <v>9700</v>
      </c>
      <c r="BP65" s="381">
        <v>19433</v>
      </c>
      <c r="BQ65" s="381">
        <v>1000</v>
      </c>
      <c r="BR65" s="381">
        <v>39000</v>
      </c>
      <c r="BS65" s="381">
        <v>0</v>
      </c>
      <c r="BT65" s="381">
        <v>29631</v>
      </c>
      <c r="BU65" s="381">
        <v>29651</v>
      </c>
      <c r="BV65" s="381">
        <v>0</v>
      </c>
      <c r="BW65" s="381">
        <v>500</v>
      </c>
      <c r="BX65" s="381">
        <v>340000</v>
      </c>
      <c r="BY65" s="382">
        <v>0</v>
      </c>
      <c r="BZ65" s="382">
        <v>0</v>
      </c>
      <c r="CA65" s="382">
        <v>2663884</v>
      </c>
      <c r="CB65" s="381"/>
      <c r="CC65" s="381">
        <v>7960</v>
      </c>
      <c r="CD65" s="381">
        <v>0</v>
      </c>
      <c r="CE65" s="381">
        <v>340000</v>
      </c>
      <c r="CF65" s="381">
        <v>347960</v>
      </c>
      <c r="CG65" s="381"/>
      <c r="CH65" s="381">
        <v>0</v>
      </c>
      <c r="CI65" s="381">
        <v>347960</v>
      </c>
      <c r="CJ65" s="381">
        <v>0</v>
      </c>
      <c r="CK65" s="381">
        <v>0</v>
      </c>
      <c r="CL65" s="381">
        <v>0</v>
      </c>
      <c r="CM65" s="381">
        <v>0</v>
      </c>
      <c r="CN65" s="381">
        <v>0</v>
      </c>
      <c r="CO65" s="381">
        <v>0</v>
      </c>
      <c r="CP65" s="381">
        <v>347960</v>
      </c>
      <c r="CQ65" s="381"/>
      <c r="CR65" s="381">
        <v>50048.209999999264</v>
      </c>
      <c r="CS65" s="381">
        <v>0</v>
      </c>
      <c r="CT65" s="381">
        <v>0</v>
      </c>
      <c r="CU65" s="381">
        <v>0</v>
      </c>
      <c r="CV65" s="381">
        <v>0</v>
      </c>
      <c r="CW65" s="381">
        <v>0</v>
      </c>
      <c r="CX65" s="381">
        <v>50048.209999999264</v>
      </c>
      <c r="CY65" s="381"/>
      <c r="CZ65" s="117"/>
      <c r="DA65" s="384"/>
      <c r="DB65" s="117"/>
      <c r="DC65" s="384"/>
      <c r="DD65" s="385"/>
      <c r="DE65" s="117"/>
      <c r="DF65" s="117"/>
      <c r="DG65" s="381"/>
      <c r="DH65" s="386"/>
      <c r="DI65" s="387"/>
      <c r="DJ65" s="381"/>
      <c r="DK65" s="381">
        <v>563617.20999999926</v>
      </c>
      <c r="DL65" s="381">
        <v>0</v>
      </c>
      <c r="DM65" s="381">
        <v>563617.20999999926</v>
      </c>
      <c r="DN65" s="381">
        <v>50048.209999999264</v>
      </c>
      <c r="DO65" s="381">
        <v>0</v>
      </c>
      <c r="DP65" s="381">
        <v>50048.209999999264</v>
      </c>
      <c r="DQ65" s="383"/>
      <c r="DR65" s="381"/>
      <c r="DS65" s="388"/>
      <c r="DT65" s="388"/>
    </row>
    <row r="66" spans="1:124" ht="15">
      <c r="A66" s="380">
        <v>355</v>
      </c>
      <c r="B66" s="391">
        <v>9165421</v>
      </c>
      <c r="C66" s="68">
        <v>5421</v>
      </c>
      <c r="D66" s="120"/>
      <c r="E66" s="120" t="s">
        <v>231</v>
      </c>
      <c r="F66" s="120"/>
      <c r="G66" s="120"/>
      <c r="H66" s="68"/>
      <c r="I66" s="381">
        <v>756568.28999999631</v>
      </c>
      <c r="J66" s="381">
        <v>29407</v>
      </c>
      <c r="K66" s="381">
        <v>0</v>
      </c>
      <c r="L66" s="381">
        <v>670474.38</v>
      </c>
      <c r="M66" s="381">
        <v>0</v>
      </c>
      <c r="N66" s="381">
        <v>0</v>
      </c>
      <c r="O66" s="381">
        <v>1456449.6699999962</v>
      </c>
      <c r="P66" s="389"/>
      <c r="Q66" s="381">
        <v>6637051</v>
      </c>
      <c r="R66" s="381">
        <v>0</v>
      </c>
      <c r="S66" s="381">
        <v>500000</v>
      </c>
      <c r="T66" s="381">
        <v>0</v>
      </c>
      <c r="U66" s="381">
        <v>311000</v>
      </c>
      <c r="V66" s="381">
        <v>0</v>
      </c>
      <c r="W66" s="381">
        <v>15000</v>
      </c>
      <c r="X66" s="381">
        <v>0</v>
      </c>
      <c r="Y66" s="381">
        <v>50000</v>
      </c>
      <c r="Z66" s="381">
        <v>190000</v>
      </c>
      <c r="AA66" s="381">
        <v>0</v>
      </c>
      <c r="AB66" s="381">
        <v>0</v>
      </c>
      <c r="AC66" s="381">
        <v>0</v>
      </c>
      <c r="AD66" s="381">
        <v>50000</v>
      </c>
      <c r="AE66" s="381">
        <v>0</v>
      </c>
      <c r="AF66" s="381">
        <v>0</v>
      </c>
      <c r="AG66" s="381">
        <v>0</v>
      </c>
      <c r="AH66" s="381">
        <v>0</v>
      </c>
      <c r="AI66" s="381">
        <v>0</v>
      </c>
      <c r="AJ66" s="381">
        <v>0</v>
      </c>
      <c r="AK66" s="381">
        <v>0</v>
      </c>
      <c r="AL66" s="381">
        <v>7753051</v>
      </c>
      <c r="AM66" s="389"/>
      <c r="AN66" s="381">
        <v>4518255</v>
      </c>
      <c r="AO66" s="381">
        <v>30000</v>
      </c>
      <c r="AP66" s="381">
        <v>1096381</v>
      </c>
      <c r="AQ66" s="381">
        <v>307973</v>
      </c>
      <c r="AR66" s="381">
        <v>497004</v>
      </c>
      <c r="AS66" s="381">
        <v>134492</v>
      </c>
      <c r="AT66" s="381">
        <v>0</v>
      </c>
      <c r="AU66" s="381">
        <v>35000</v>
      </c>
      <c r="AV66" s="381">
        <v>10000</v>
      </c>
      <c r="AW66" s="381">
        <v>0</v>
      </c>
      <c r="AX66" s="381">
        <v>0</v>
      </c>
      <c r="AY66" s="381">
        <v>80000</v>
      </c>
      <c r="AZ66" s="381">
        <v>30000</v>
      </c>
      <c r="BA66" s="381">
        <v>10000</v>
      </c>
      <c r="BB66" s="381">
        <v>10000</v>
      </c>
      <c r="BC66" s="381">
        <v>131000</v>
      </c>
      <c r="BD66" s="381">
        <v>35289</v>
      </c>
      <c r="BE66" s="381">
        <v>25000</v>
      </c>
      <c r="BF66" s="381">
        <v>250000</v>
      </c>
      <c r="BG66" s="381">
        <v>0</v>
      </c>
      <c r="BH66" s="381">
        <v>0</v>
      </c>
      <c r="BI66" s="381">
        <v>0</v>
      </c>
      <c r="BJ66" s="381">
        <v>0</v>
      </c>
      <c r="BK66" s="381">
        <v>187400</v>
      </c>
      <c r="BL66" s="381">
        <v>0</v>
      </c>
      <c r="BM66" s="381">
        <v>0</v>
      </c>
      <c r="BN66" s="381">
        <v>90000</v>
      </c>
      <c r="BO66" s="381">
        <v>20000</v>
      </c>
      <c r="BP66" s="381">
        <v>37325</v>
      </c>
      <c r="BQ66" s="381">
        <v>0</v>
      </c>
      <c r="BR66" s="381">
        <v>140000</v>
      </c>
      <c r="BS66" s="381">
        <v>0</v>
      </c>
      <c r="BT66" s="381">
        <v>15000</v>
      </c>
      <c r="BU66" s="381">
        <v>60000</v>
      </c>
      <c r="BV66" s="381">
        <v>0</v>
      </c>
      <c r="BW66" s="381">
        <v>0</v>
      </c>
      <c r="BX66" s="381">
        <v>0</v>
      </c>
      <c r="BY66" s="382">
        <v>0</v>
      </c>
      <c r="BZ66" s="382">
        <v>0</v>
      </c>
      <c r="CA66" s="382">
        <v>7750119</v>
      </c>
      <c r="CB66" s="389"/>
      <c r="CC66" s="381">
        <v>19000</v>
      </c>
      <c r="CD66" s="381">
        <v>6322500</v>
      </c>
      <c r="CE66" s="381">
        <v>0</v>
      </c>
      <c r="CF66" s="381">
        <v>6341500</v>
      </c>
      <c r="CG66" s="389"/>
      <c r="CH66" s="381">
        <v>0</v>
      </c>
      <c r="CI66" s="381">
        <v>4105000</v>
      </c>
      <c r="CJ66" s="381">
        <v>19000</v>
      </c>
      <c r="CK66" s="381">
        <v>0</v>
      </c>
      <c r="CL66" s="381">
        <v>0</v>
      </c>
      <c r="CM66" s="381">
        <v>0</v>
      </c>
      <c r="CN66" s="381">
        <v>0</v>
      </c>
      <c r="CO66" s="381">
        <v>0</v>
      </c>
      <c r="CP66" s="381">
        <v>4124000</v>
      </c>
      <c r="CQ66" s="390"/>
      <c r="CR66" s="381">
        <v>788907.28999999631</v>
      </c>
      <c r="CS66" s="381">
        <v>0</v>
      </c>
      <c r="CT66" s="381">
        <v>0</v>
      </c>
      <c r="CU66" s="381">
        <v>2887974.38</v>
      </c>
      <c r="CV66" s="381">
        <v>0</v>
      </c>
      <c r="CW66" s="381">
        <v>0</v>
      </c>
      <c r="CX66" s="381">
        <v>3676881.6699999962</v>
      </c>
      <c r="CY66" s="381"/>
      <c r="CZ66" s="117"/>
      <c r="DA66" s="384"/>
      <c r="DB66" s="117"/>
      <c r="DC66" s="384"/>
      <c r="DD66" s="385"/>
      <c r="DE66" s="117"/>
      <c r="DF66" s="117"/>
      <c r="DG66" s="381"/>
      <c r="DH66" s="386"/>
      <c r="DI66" s="387"/>
      <c r="DJ66" s="381"/>
      <c r="DK66" s="381">
        <v>785975.28999999631</v>
      </c>
      <c r="DL66" s="381">
        <v>670474.38</v>
      </c>
      <c r="DM66" s="381">
        <v>1456449.6699999962</v>
      </c>
      <c r="DN66" s="381">
        <v>788907.28999999631</v>
      </c>
      <c r="DO66" s="381">
        <v>2887974.38</v>
      </c>
      <c r="DP66" s="381">
        <v>3676881.6699999962</v>
      </c>
      <c r="DQ66" s="383"/>
      <c r="DR66" s="381"/>
      <c r="DS66" s="388"/>
      <c r="DT66" s="388"/>
    </row>
    <row r="67" spans="1:124" ht="13.5" customHeight="1">
      <c r="A67" s="380">
        <v>942</v>
      </c>
      <c r="B67" s="391">
        <v>9162031</v>
      </c>
      <c r="C67" s="68">
        <v>2031</v>
      </c>
      <c r="D67" s="120"/>
      <c r="E67" s="120" t="s">
        <v>761</v>
      </c>
      <c r="F67" s="120"/>
      <c r="G67" s="120"/>
      <c r="H67" s="68"/>
      <c r="I67" s="381">
        <v>498424.77999999933</v>
      </c>
      <c r="J67" s="381">
        <v>16946</v>
      </c>
      <c r="K67" s="381">
        <v>0</v>
      </c>
      <c r="L67" s="381">
        <v>31574.070000000003</v>
      </c>
      <c r="M67" s="381">
        <v>0</v>
      </c>
      <c r="N67" s="381">
        <v>20738.310000000056</v>
      </c>
      <c r="O67" s="381">
        <v>567683.15999999933</v>
      </c>
      <c r="P67" s="381"/>
      <c r="Q67" s="381">
        <v>4201748</v>
      </c>
      <c r="R67" s="381">
        <v>0</v>
      </c>
      <c r="S67" s="381">
        <v>82582</v>
      </c>
      <c r="T67" s="381">
        <v>0</v>
      </c>
      <c r="U67" s="381">
        <v>160980</v>
      </c>
      <c r="V67" s="381">
        <v>177525</v>
      </c>
      <c r="W67" s="381">
        <v>0</v>
      </c>
      <c r="X67" s="381">
        <v>16000</v>
      </c>
      <c r="Y67" s="381">
        <v>209500</v>
      </c>
      <c r="Z67" s="381">
        <v>0</v>
      </c>
      <c r="AA67" s="381">
        <v>0</v>
      </c>
      <c r="AB67" s="381">
        <v>0</v>
      </c>
      <c r="AC67" s="381">
        <v>86000</v>
      </c>
      <c r="AD67" s="381">
        <v>0</v>
      </c>
      <c r="AE67" s="381">
        <v>0</v>
      </c>
      <c r="AF67" s="381">
        <v>151560</v>
      </c>
      <c r="AG67" s="381">
        <v>20000</v>
      </c>
      <c r="AH67" s="381">
        <v>0</v>
      </c>
      <c r="AI67" s="381">
        <v>0</v>
      </c>
      <c r="AJ67" s="381">
        <v>0</v>
      </c>
      <c r="AK67" s="381">
        <v>0</v>
      </c>
      <c r="AL67" s="381">
        <v>5105895</v>
      </c>
      <c r="AM67" s="381"/>
      <c r="AN67" s="381">
        <v>2567280</v>
      </c>
      <c r="AO67" s="381">
        <v>19000</v>
      </c>
      <c r="AP67" s="381">
        <v>862649</v>
      </c>
      <c r="AQ67" s="381">
        <v>146783</v>
      </c>
      <c r="AR67" s="381">
        <v>313182</v>
      </c>
      <c r="AS67" s="381">
        <v>0</v>
      </c>
      <c r="AT67" s="381">
        <v>292631</v>
      </c>
      <c r="AU67" s="381">
        <v>18700</v>
      </c>
      <c r="AV67" s="381">
        <v>15500</v>
      </c>
      <c r="AW67" s="381">
        <v>2477</v>
      </c>
      <c r="AX67" s="381">
        <v>0</v>
      </c>
      <c r="AY67" s="381">
        <v>56233</v>
      </c>
      <c r="AZ67" s="381">
        <v>7100</v>
      </c>
      <c r="BA67" s="381">
        <v>63050</v>
      </c>
      <c r="BB67" s="381">
        <v>10150</v>
      </c>
      <c r="BC67" s="381">
        <v>60359</v>
      </c>
      <c r="BD67" s="381">
        <v>108683</v>
      </c>
      <c r="BE67" s="381">
        <v>11000</v>
      </c>
      <c r="BF67" s="381">
        <v>165528</v>
      </c>
      <c r="BG67" s="381">
        <v>5000</v>
      </c>
      <c r="BH67" s="381">
        <v>1000</v>
      </c>
      <c r="BI67" s="381">
        <v>2500</v>
      </c>
      <c r="BJ67" s="381">
        <v>27080</v>
      </c>
      <c r="BK67" s="381">
        <v>5000</v>
      </c>
      <c r="BL67" s="381">
        <v>0</v>
      </c>
      <c r="BM67" s="381">
        <v>19413</v>
      </c>
      <c r="BN67" s="381">
        <v>0</v>
      </c>
      <c r="BO67" s="381">
        <v>21000</v>
      </c>
      <c r="BP67" s="381">
        <v>38719</v>
      </c>
      <c r="BQ67" s="381">
        <v>18600</v>
      </c>
      <c r="BR67" s="381">
        <v>185742</v>
      </c>
      <c r="BS67" s="381">
        <v>22000</v>
      </c>
      <c r="BT67" s="381">
        <v>75243</v>
      </c>
      <c r="BU67" s="381">
        <v>39476</v>
      </c>
      <c r="BV67" s="381">
        <v>0</v>
      </c>
      <c r="BW67" s="381">
        <v>0</v>
      </c>
      <c r="BX67" s="381">
        <v>23999</v>
      </c>
      <c r="BY67" s="382">
        <v>146660</v>
      </c>
      <c r="BZ67" s="382">
        <v>12600</v>
      </c>
      <c r="CA67" s="382">
        <v>5364337</v>
      </c>
      <c r="CB67" s="381"/>
      <c r="CC67" s="381">
        <v>17270</v>
      </c>
      <c r="CD67" s="381">
        <v>0</v>
      </c>
      <c r="CE67" s="381">
        <v>23999</v>
      </c>
      <c r="CF67" s="381">
        <v>41269</v>
      </c>
      <c r="CG67" s="381"/>
      <c r="CH67" s="381">
        <v>0</v>
      </c>
      <c r="CI67" s="381">
        <v>38821</v>
      </c>
      <c r="CJ67" s="381">
        <v>0</v>
      </c>
      <c r="CK67" s="381">
        <v>0</v>
      </c>
      <c r="CL67" s="381">
        <v>0</v>
      </c>
      <c r="CM67" s="381">
        <v>10500</v>
      </c>
      <c r="CN67" s="381">
        <v>18522</v>
      </c>
      <c r="CO67" s="381">
        <v>5000</v>
      </c>
      <c r="CP67" s="381">
        <v>72843</v>
      </c>
      <c r="CQ67" s="381"/>
      <c r="CR67" s="381">
        <v>244628.77999999933</v>
      </c>
      <c r="CS67" s="381">
        <v>0</v>
      </c>
      <c r="CT67" s="381">
        <v>0</v>
      </c>
      <c r="CU67" s="381">
        <v>7.0000000003346941E-2</v>
      </c>
      <c r="CV67" s="381">
        <v>0</v>
      </c>
      <c r="CW67" s="381">
        <v>33038.310000000056</v>
      </c>
      <c r="CX67" s="381">
        <v>277667.15999999939</v>
      </c>
      <c r="CY67" s="381"/>
      <c r="CZ67" s="117"/>
      <c r="DA67" s="384"/>
      <c r="DB67" s="117"/>
      <c r="DC67" s="384"/>
      <c r="DD67" s="385"/>
      <c r="DE67" s="117"/>
      <c r="DF67" s="117"/>
      <c r="DG67" s="381"/>
      <c r="DH67" s="386"/>
      <c r="DI67" s="387"/>
      <c r="DJ67" s="381"/>
      <c r="DK67" s="381">
        <v>536109.08999999939</v>
      </c>
      <c r="DL67" s="381">
        <v>31574.070000000003</v>
      </c>
      <c r="DM67" s="381">
        <v>567683.15999999933</v>
      </c>
      <c r="DN67" s="381">
        <v>277667.08999999939</v>
      </c>
      <c r="DO67" s="381">
        <v>7.0000000003346941E-2</v>
      </c>
      <c r="DP67" s="381">
        <v>277667.15999999939</v>
      </c>
      <c r="DQ67" s="383"/>
      <c r="DR67" s="381"/>
      <c r="DS67" s="388"/>
      <c r="DT67" s="388"/>
    </row>
    <row r="68" spans="1:124" ht="14.25">
      <c r="A68" s="380">
        <v>952</v>
      </c>
      <c r="B68" s="391">
        <v>9162002</v>
      </c>
      <c r="C68" s="68">
        <v>2002</v>
      </c>
      <c r="D68" s="120"/>
      <c r="E68" s="120" t="s">
        <v>269</v>
      </c>
      <c r="F68" s="120"/>
      <c r="G68" s="120"/>
      <c r="H68" s="68"/>
      <c r="I68" s="381">
        <v>352085.33000000019</v>
      </c>
      <c r="J68" s="381">
        <v>7945.31</v>
      </c>
      <c r="K68" s="381">
        <v>0</v>
      </c>
      <c r="L68" s="381">
        <v>-2575.25</v>
      </c>
      <c r="M68" s="381">
        <v>0</v>
      </c>
      <c r="N68" s="381">
        <v>0</v>
      </c>
      <c r="O68" s="381">
        <v>357455.39000000019</v>
      </c>
      <c r="P68" s="381"/>
      <c r="Q68" s="381">
        <v>1997402</v>
      </c>
      <c r="R68" s="381">
        <v>0</v>
      </c>
      <c r="S68" s="381">
        <v>104112</v>
      </c>
      <c r="T68" s="381">
        <v>0</v>
      </c>
      <c r="U68" s="381">
        <v>256040</v>
      </c>
      <c r="V68" s="381">
        <v>19111</v>
      </c>
      <c r="W68" s="381">
        <v>0</v>
      </c>
      <c r="X68" s="381">
        <v>0</v>
      </c>
      <c r="Y68" s="381">
        <v>14367</v>
      </c>
      <c r="Z68" s="381">
        <v>0</v>
      </c>
      <c r="AA68" s="381">
        <v>0</v>
      </c>
      <c r="AB68" s="381">
        <v>0</v>
      </c>
      <c r="AC68" s="381">
        <v>4500</v>
      </c>
      <c r="AD68" s="381">
        <v>0</v>
      </c>
      <c r="AE68" s="381">
        <v>0</v>
      </c>
      <c r="AF68" s="381">
        <v>0</v>
      </c>
      <c r="AG68" s="381">
        <v>0</v>
      </c>
      <c r="AH68" s="381">
        <v>0</v>
      </c>
      <c r="AI68" s="381">
        <v>0</v>
      </c>
      <c r="AJ68" s="381">
        <v>0</v>
      </c>
      <c r="AK68" s="381">
        <v>0</v>
      </c>
      <c r="AL68" s="381">
        <v>2395532</v>
      </c>
      <c r="AM68" s="381"/>
      <c r="AN68" s="381">
        <v>1332965</v>
      </c>
      <c r="AO68" s="381">
        <v>15000</v>
      </c>
      <c r="AP68" s="381">
        <v>469231</v>
      </c>
      <c r="AQ68" s="381">
        <v>51696</v>
      </c>
      <c r="AR68" s="381">
        <v>154114</v>
      </c>
      <c r="AS68" s="381">
        <v>0</v>
      </c>
      <c r="AT68" s="381">
        <v>31457</v>
      </c>
      <c r="AU68" s="381">
        <v>10132</v>
      </c>
      <c r="AV68" s="381">
        <v>2987</v>
      </c>
      <c r="AW68" s="381">
        <v>952</v>
      </c>
      <c r="AX68" s="381">
        <v>0</v>
      </c>
      <c r="AY68" s="381">
        <v>29043</v>
      </c>
      <c r="AZ68" s="381">
        <v>528</v>
      </c>
      <c r="BA68" s="381">
        <v>16789</v>
      </c>
      <c r="BB68" s="381">
        <v>7352</v>
      </c>
      <c r="BC68" s="381">
        <v>31500</v>
      </c>
      <c r="BD68" s="381">
        <v>22705</v>
      </c>
      <c r="BE68" s="381">
        <v>7356</v>
      </c>
      <c r="BF68" s="381">
        <v>83057</v>
      </c>
      <c r="BG68" s="381">
        <v>2837</v>
      </c>
      <c r="BH68" s="381">
        <v>7000</v>
      </c>
      <c r="BI68" s="381">
        <v>8570</v>
      </c>
      <c r="BJ68" s="381">
        <v>5412</v>
      </c>
      <c r="BK68" s="381">
        <v>28090</v>
      </c>
      <c r="BL68" s="381">
        <v>0</v>
      </c>
      <c r="BM68" s="381">
        <v>9381</v>
      </c>
      <c r="BN68" s="381">
        <v>0</v>
      </c>
      <c r="BO68" s="381">
        <v>4864</v>
      </c>
      <c r="BP68" s="381">
        <v>16842</v>
      </c>
      <c r="BQ68" s="381">
        <v>0</v>
      </c>
      <c r="BR68" s="381">
        <v>94901</v>
      </c>
      <c r="BS68" s="381">
        <v>10000</v>
      </c>
      <c r="BT68" s="381">
        <v>66064</v>
      </c>
      <c r="BU68" s="381">
        <v>18565</v>
      </c>
      <c r="BV68" s="381">
        <v>0</v>
      </c>
      <c r="BW68" s="381">
        <v>0</v>
      </c>
      <c r="BX68" s="381">
        <v>3000</v>
      </c>
      <c r="BY68" s="382">
        <v>0</v>
      </c>
      <c r="BZ68" s="382">
        <v>0</v>
      </c>
      <c r="CA68" s="382">
        <v>2542390</v>
      </c>
      <c r="CB68" s="381"/>
      <c r="CC68" s="381">
        <v>7453</v>
      </c>
      <c r="CD68" s="381">
        <v>0</v>
      </c>
      <c r="CE68" s="381">
        <v>3000</v>
      </c>
      <c r="CF68" s="381">
        <v>10453</v>
      </c>
      <c r="CG68" s="381"/>
      <c r="CH68" s="381">
        <v>0</v>
      </c>
      <c r="CI68" s="381">
        <v>7878</v>
      </c>
      <c r="CJ68" s="381">
        <v>0</v>
      </c>
      <c r="CK68" s="381">
        <v>0</v>
      </c>
      <c r="CL68" s="381">
        <v>0</v>
      </c>
      <c r="CM68" s="381">
        <v>0</v>
      </c>
      <c r="CN68" s="381">
        <v>0</v>
      </c>
      <c r="CO68" s="381">
        <v>0</v>
      </c>
      <c r="CP68" s="381">
        <v>7878</v>
      </c>
      <c r="CQ68" s="381"/>
      <c r="CR68" s="381">
        <v>213172.64000000019</v>
      </c>
      <c r="CS68" s="381">
        <v>0</v>
      </c>
      <c r="CT68" s="381">
        <v>0</v>
      </c>
      <c r="CU68" s="381">
        <v>-0.25</v>
      </c>
      <c r="CV68" s="381">
        <v>0</v>
      </c>
      <c r="CW68" s="381">
        <v>0</v>
      </c>
      <c r="CX68" s="381">
        <v>213172.39000000019</v>
      </c>
      <c r="CY68" s="381"/>
      <c r="CZ68" s="117"/>
      <c r="DA68" s="384"/>
      <c r="DB68" s="117"/>
      <c r="DC68" s="384"/>
      <c r="DD68" s="385"/>
      <c r="DE68" s="117"/>
      <c r="DF68" s="117"/>
      <c r="DG68" s="381"/>
      <c r="DH68" s="386"/>
      <c r="DI68" s="387"/>
      <c r="DJ68" s="381"/>
      <c r="DK68" s="381">
        <v>360030.64000000019</v>
      </c>
      <c r="DL68" s="381">
        <v>-2575.25</v>
      </c>
      <c r="DM68" s="381">
        <v>357455.39000000019</v>
      </c>
      <c r="DN68" s="381">
        <v>213172.64000000019</v>
      </c>
      <c r="DO68" s="381">
        <v>-0.25</v>
      </c>
      <c r="DP68" s="381">
        <v>213172.39000000019</v>
      </c>
      <c r="DQ68" s="383"/>
      <c r="DR68" s="381"/>
      <c r="DS68" s="388"/>
      <c r="DT68" s="388"/>
    </row>
    <row r="69" spans="1:124" ht="15">
      <c r="A69" s="380">
        <v>805</v>
      </c>
      <c r="B69" s="391">
        <v>9162097</v>
      </c>
      <c r="C69" s="68">
        <v>2097</v>
      </c>
      <c r="D69" s="120"/>
      <c r="E69" s="120" t="s">
        <v>282</v>
      </c>
      <c r="F69" s="120"/>
      <c r="G69" s="120"/>
      <c r="H69" s="68"/>
      <c r="I69" s="381">
        <v>44544.369999999937</v>
      </c>
      <c r="J69" s="381">
        <v>0</v>
      </c>
      <c r="K69" s="381">
        <v>0</v>
      </c>
      <c r="L69" s="381">
        <v>11060.739999999998</v>
      </c>
      <c r="M69" s="381">
        <v>11264.75</v>
      </c>
      <c r="N69" s="381">
        <v>45903.66</v>
      </c>
      <c r="O69" s="381">
        <v>112773.51999999993</v>
      </c>
      <c r="P69" s="389"/>
      <c r="Q69" s="381">
        <v>641489</v>
      </c>
      <c r="R69" s="381">
        <v>0</v>
      </c>
      <c r="S69" s="381">
        <v>74635</v>
      </c>
      <c r="T69" s="381">
        <v>0</v>
      </c>
      <c r="U69" s="381">
        <v>46745</v>
      </c>
      <c r="V69" s="381">
        <v>34565</v>
      </c>
      <c r="W69" s="381">
        <v>0</v>
      </c>
      <c r="X69" s="381">
        <v>0</v>
      </c>
      <c r="Y69" s="381">
        <v>15750</v>
      </c>
      <c r="Z69" s="381">
        <v>0</v>
      </c>
      <c r="AA69" s="381">
        <v>0</v>
      </c>
      <c r="AB69" s="381">
        <v>0</v>
      </c>
      <c r="AC69" s="381">
        <v>1500</v>
      </c>
      <c r="AD69" s="381">
        <v>5000</v>
      </c>
      <c r="AE69" s="381">
        <v>0</v>
      </c>
      <c r="AF69" s="381">
        <v>67479</v>
      </c>
      <c r="AG69" s="381">
        <v>2827</v>
      </c>
      <c r="AH69" s="381">
        <v>0</v>
      </c>
      <c r="AI69" s="381">
        <v>0</v>
      </c>
      <c r="AJ69" s="381">
        <v>0</v>
      </c>
      <c r="AK69" s="381">
        <v>0</v>
      </c>
      <c r="AL69" s="381">
        <v>889990</v>
      </c>
      <c r="AM69" s="389"/>
      <c r="AN69" s="381">
        <v>407696</v>
      </c>
      <c r="AO69" s="381">
        <v>2000</v>
      </c>
      <c r="AP69" s="381">
        <v>206576</v>
      </c>
      <c r="AQ69" s="381">
        <v>1834</v>
      </c>
      <c r="AR69" s="381">
        <v>58601</v>
      </c>
      <c r="AS69" s="381">
        <v>0</v>
      </c>
      <c r="AT69" s="381">
        <v>22942</v>
      </c>
      <c r="AU69" s="381">
        <v>4069</v>
      </c>
      <c r="AV69" s="381">
        <v>5350</v>
      </c>
      <c r="AW69" s="381">
        <v>5179</v>
      </c>
      <c r="AX69" s="381">
        <v>1619</v>
      </c>
      <c r="AY69" s="381">
        <v>15583</v>
      </c>
      <c r="AZ69" s="381">
        <v>1800</v>
      </c>
      <c r="BA69" s="381">
        <v>19330</v>
      </c>
      <c r="BB69" s="381">
        <v>3475</v>
      </c>
      <c r="BC69" s="381">
        <v>13900</v>
      </c>
      <c r="BD69" s="381">
        <v>12475</v>
      </c>
      <c r="BE69" s="381">
        <v>2100</v>
      </c>
      <c r="BF69" s="381">
        <v>52934</v>
      </c>
      <c r="BG69" s="381">
        <v>2600</v>
      </c>
      <c r="BH69" s="381">
        <v>0</v>
      </c>
      <c r="BI69" s="381">
        <v>2800</v>
      </c>
      <c r="BJ69" s="381">
        <v>0</v>
      </c>
      <c r="BK69" s="381">
        <v>0</v>
      </c>
      <c r="BL69" s="381">
        <v>0</v>
      </c>
      <c r="BM69" s="381">
        <v>2782</v>
      </c>
      <c r="BN69" s="381">
        <v>0</v>
      </c>
      <c r="BO69" s="381">
        <v>2150</v>
      </c>
      <c r="BP69" s="381">
        <v>5668</v>
      </c>
      <c r="BQ69" s="381">
        <v>0</v>
      </c>
      <c r="BR69" s="381">
        <v>34628</v>
      </c>
      <c r="BS69" s="381">
        <v>4000</v>
      </c>
      <c r="BT69" s="381">
        <v>14612</v>
      </c>
      <c r="BU69" s="381">
        <v>10293</v>
      </c>
      <c r="BV69" s="381">
        <v>0</v>
      </c>
      <c r="BW69" s="381">
        <v>0</v>
      </c>
      <c r="BX69" s="381">
        <v>0</v>
      </c>
      <c r="BY69" s="382">
        <v>70667</v>
      </c>
      <c r="BZ69" s="382">
        <v>13795</v>
      </c>
      <c r="CA69" s="382">
        <v>1001458</v>
      </c>
      <c r="CB69" s="389"/>
      <c r="CC69" s="381">
        <v>5170</v>
      </c>
      <c r="CD69" s="381">
        <v>0</v>
      </c>
      <c r="CE69" s="381">
        <v>0</v>
      </c>
      <c r="CF69" s="381">
        <v>5170</v>
      </c>
      <c r="CG69" s="389"/>
      <c r="CH69" s="381">
        <v>0</v>
      </c>
      <c r="CI69" s="381">
        <v>27495</v>
      </c>
      <c r="CJ69" s="381">
        <v>0</v>
      </c>
      <c r="CK69" s="381">
        <v>0</v>
      </c>
      <c r="CL69" s="381">
        <v>0</v>
      </c>
      <c r="CM69" s="381">
        <v>0</v>
      </c>
      <c r="CN69" s="381">
        <v>0</v>
      </c>
      <c r="CO69" s="381">
        <v>0</v>
      </c>
      <c r="CP69" s="381">
        <v>27495</v>
      </c>
      <c r="CQ69" s="390"/>
      <c r="CR69" s="381">
        <v>-52767.630000000063</v>
      </c>
      <c r="CS69" s="381">
        <v>0</v>
      </c>
      <c r="CT69" s="381">
        <v>0</v>
      </c>
      <c r="CU69" s="381">
        <v>0.48999999999796273</v>
      </c>
      <c r="CV69" s="381">
        <v>0</v>
      </c>
      <c r="CW69" s="381">
        <v>31747.660000000003</v>
      </c>
      <c r="CX69" s="381">
        <v>-21019.480000000061</v>
      </c>
      <c r="CY69" s="381"/>
      <c r="CZ69" s="117"/>
      <c r="DA69" s="384"/>
      <c r="DB69" s="117"/>
      <c r="DC69" s="384"/>
      <c r="DD69" s="385"/>
      <c r="DE69" s="117"/>
      <c r="DF69" s="117"/>
      <c r="DG69" s="381"/>
      <c r="DH69" s="386"/>
      <c r="DI69" s="387"/>
      <c r="DJ69" s="381"/>
      <c r="DK69" s="381">
        <v>90448.029999999941</v>
      </c>
      <c r="DL69" s="381">
        <v>22325.489999999998</v>
      </c>
      <c r="DM69" s="381">
        <v>112773.51999999993</v>
      </c>
      <c r="DN69" s="381">
        <v>-21019.970000000059</v>
      </c>
      <c r="DO69" s="381">
        <v>0.48999999999796273</v>
      </c>
      <c r="DP69" s="381">
        <v>-21019.480000000061</v>
      </c>
      <c r="DQ69" s="383"/>
      <c r="DR69" s="381"/>
      <c r="DS69" s="388"/>
      <c r="DT69" s="388"/>
    </row>
    <row r="70" spans="1:124" ht="14.25">
      <c r="A70" s="380">
        <v>726</v>
      </c>
      <c r="B70" s="391">
        <v>9165203</v>
      </c>
      <c r="C70" s="68">
        <v>5203</v>
      </c>
      <c r="D70" s="120"/>
      <c r="E70" s="120" t="s">
        <v>745</v>
      </c>
      <c r="F70" s="120"/>
      <c r="G70" s="120"/>
      <c r="H70" s="68"/>
      <c r="I70" s="381">
        <v>177167.75000000003</v>
      </c>
      <c r="J70" s="381">
        <v>27664.79</v>
      </c>
      <c r="K70" s="381">
        <v>0</v>
      </c>
      <c r="L70" s="381">
        <v>19908.510000000002</v>
      </c>
      <c r="M70" s="381">
        <v>0</v>
      </c>
      <c r="N70" s="381">
        <v>0</v>
      </c>
      <c r="O70" s="381">
        <v>224741.05000000005</v>
      </c>
      <c r="P70" s="381"/>
      <c r="Q70" s="381">
        <v>1813685</v>
      </c>
      <c r="R70" s="381">
        <v>0</v>
      </c>
      <c r="S70" s="381">
        <v>68234</v>
      </c>
      <c r="T70" s="381">
        <v>0</v>
      </c>
      <c r="U70" s="381">
        <v>138050</v>
      </c>
      <c r="V70" s="381">
        <v>72004</v>
      </c>
      <c r="W70" s="381">
        <v>0</v>
      </c>
      <c r="X70" s="381">
        <v>0</v>
      </c>
      <c r="Y70" s="381">
        <v>20258</v>
      </c>
      <c r="Z70" s="381">
        <v>18000</v>
      </c>
      <c r="AA70" s="381">
        <v>0</v>
      </c>
      <c r="AB70" s="381">
        <v>0</v>
      </c>
      <c r="AC70" s="381">
        <v>18000</v>
      </c>
      <c r="AD70" s="381">
        <v>0</v>
      </c>
      <c r="AE70" s="381">
        <v>0</v>
      </c>
      <c r="AF70" s="381">
        <v>0</v>
      </c>
      <c r="AG70" s="381">
        <v>0</v>
      </c>
      <c r="AH70" s="381">
        <v>0</v>
      </c>
      <c r="AI70" s="381">
        <v>0</v>
      </c>
      <c r="AJ70" s="381">
        <v>0</v>
      </c>
      <c r="AK70" s="381">
        <v>0</v>
      </c>
      <c r="AL70" s="381">
        <v>2148231</v>
      </c>
      <c r="AM70" s="381"/>
      <c r="AN70" s="381">
        <v>960693</v>
      </c>
      <c r="AO70" s="381">
        <v>7500</v>
      </c>
      <c r="AP70" s="381">
        <v>433654</v>
      </c>
      <c r="AQ70" s="381">
        <v>85202</v>
      </c>
      <c r="AR70" s="381">
        <v>86163</v>
      </c>
      <c r="AS70" s="381">
        <v>69449</v>
      </c>
      <c r="AT70" s="381">
        <v>51493</v>
      </c>
      <c r="AU70" s="381">
        <v>758</v>
      </c>
      <c r="AV70" s="381">
        <v>6000</v>
      </c>
      <c r="AW70" s="381">
        <v>14370</v>
      </c>
      <c r="AX70" s="381">
        <v>3358</v>
      </c>
      <c r="AY70" s="381">
        <v>22899</v>
      </c>
      <c r="AZ70" s="381">
        <v>7595</v>
      </c>
      <c r="BA70" s="381">
        <v>6164</v>
      </c>
      <c r="BB70" s="381">
        <v>5150</v>
      </c>
      <c r="BC70" s="381">
        <v>25160</v>
      </c>
      <c r="BD70" s="381">
        <v>9742</v>
      </c>
      <c r="BE70" s="381">
        <v>3925</v>
      </c>
      <c r="BF70" s="381">
        <v>105246</v>
      </c>
      <c r="BG70" s="381">
        <v>2575</v>
      </c>
      <c r="BH70" s="381">
        <v>0</v>
      </c>
      <c r="BI70" s="381">
        <v>0</v>
      </c>
      <c r="BJ70" s="381">
        <v>500</v>
      </c>
      <c r="BK70" s="381">
        <v>4360</v>
      </c>
      <c r="BL70" s="381">
        <v>2000</v>
      </c>
      <c r="BM70" s="381">
        <v>9234</v>
      </c>
      <c r="BN70" s="381">
        <v>0</v>
      </c>
      <c r="BO70" s="381">
        <v>3424</v>
      </c>
      <c r="BP70" s="381">
        <v>16626</v>
      </c>
      <c r="BQ70" s="381">
        <v>0</v>
      </c>
      <c r="BR70" s="381">
        <v>27660</v>
      </c>
      <c r="BS70" s="381">
        <v>45000</v>
      </c>
      <c r="BT70" s="381">
        <v>59315</v>
      </c>
      <c r="BU70" s="381">
        <v>28444</v>
      </c>
      <c r="BV70" s="381">
        <v>0</v>
      </c>
      <c r="BW70" s="381">
        <v>0</v>
      </c>
      <c r="BX70" s="381">
        <v>0</v>
      </c>
      <c r="BY70" s="382">
        <v>0</v>
      </c>
      <c r="BZ70" s="382">
        <v>0</v>
      </c>
      <c r="CA70" s="382">
        <v>2103659</v>
      </c>
      <c r="CB70" s="381"/>
      <c r="CC70" s="381">
        <v>11679</v>
      </c>
      <c r="CD70" s="381">
        <v>0</v>
      </c>
      <c r="CE70" s="381">
        <v>0</v>
      </c>
      <c r="CF70" s="381">
        <v>11679</v>
      </c>
      <c r="CG70" s="381"/>
      <c r="CH70" s="381">
        <v>0</v>
      </c>
      <c r="CI70" s="381">
        <v>31588</v>
      </c>
      <c r="CJ70" s="381">
        <v>0</v>
      </c>
      <c r="CK70" s="381">
        <v>0</v>
      </c>
      <c r="CL70" s="381">
        <v>0</v>
      </c>
      <c r="CM70" s="381">
        <v>0</v>
      </c>
      <c r="CN70" s="381">
        <v>0</v>
      </c>
      <c r="CO70" s="381">
        <v>0</v>
      </c>
      <c r="CP70" s="381">
        <v>31588</v>
      </c>
      <c r="CQ70" s="381"/>
      <c r="CR70" s="381">
        <v>249404.54000000004</v>
      </c>
      <c r="CS70" s="381">
        <v>0</v>
      </c>
      <c r="CT70" s="381">
        <v>0</v>
      </c>
      <c r="CU70" s="381">
        <v>-0.48999999999796273</v>
      </c>
      <c r="CV70" s="381">
        <v>0</v>
      </c>
      <c r="CW70" s="381">
        <v>0</v>
      </c>
      <c r="CX70" s="381">
        <v>249404.05000000005</v>
      </c>
      <c r="CY70" s="381"/>
      <c r="CZ70" s="117"/>
      <c r="DA70" s="384"/>
      <c r="DB70" s="117"/>
      <c r="DC70" s="384"/>
      <c r="DD70" s="385"/>
      <c r="DE70" s="117"/>
      <c r="DF70" s="117"/>
      <c r="DG70" s="381"/>
      <c r="DH70" s="386"/>
      <c r="DI70" s="387"/>
      <c r="DJ70" s="381"/>
      <c r="DK70" s="381">
        <v>204832.54000000004</v>
      </c>
      <c r="DL70" s="381">
        <v>19908.510000000002</v>
      </c>
      <c r="DM70" s="381">
        <v>224741.05000000005</v>
      </c>
      <c r="DN70" s="381">
        <v>249404.54000000004</v>
      </c>
      <c r="DO70" s="381">
        <v>-0.48999999999796273</v>
      </c>
      <c r="DP70" s="381">
        <v>249404.05000000005</v>
      </c>
      <c r="DQ70" s="383"/>
      <c r="DR70" s="381"/>
      <c r="DS70" s="388"/>
      <c r="DT70" s="388"/>
    </row>
    <row r="71" spans="1:124" ht="12.75" customHeight="1">
      <c r="A71" s="380">
        <v>906</v>
      </c>
      <c r="B71" s="391">
        <v>9163097</v>
      </c>
      <c r="C71" s="68">
        <v>3097</v>
      </c>
      <c r="D71" s="120"/>
      <c r="E71" s="120" t="s">
        <v>760</v>
      </c>
      <c r="F71" s="120"/>
      <c r="G71" s="120"/>
      <c r="H71" s="68"/>
      <c r="I71" s="381">
        <v>101994.6200000002</v>
      </c>
      <c r="J71" s="381">
        <v>11330.739999999998</v>
      </c>
      <c r="K71" s="381">
        <v>0</v>
      </c>
      <c r="L71" s="381">
        <v>3042.0499999999997</v>
      </c>
      <c r="M71" s="381">
        <v>0</v>
      </c>
      <c r="N71" s="381">
        <v>0</v>
      </c>
      <c r="O71" s="381">
        <v>116367.41000000019</v>
      </c>
      <c r="P71" s="381"/>
      <c r="Q71" s="381">
        <v>1149156</v>
      </c>
      <c r="R71" s="381">
        <v>0</v>
      </c>
      <c r="S71" s="381">
        <v>87981</v>
      </c>
      <c r="T71" s="381">
        <v>0</v>
      </c>
      <c r="U71" s="381">
        <v>58030</v>
      </c>
      <c r="V71" s="381">
        <v>45654</v>
      </c>
      <c r="W71" s="381">
        <v>0</v>
      </c>
      <c r="X71" s="381">
        <v>0</v>
      </c>
      <c r="Y71" s="381">
        <v>0</v>
      </c>
      <c r="Z71" s="381">
        <v>0</v>
      </c>
      <c r="AA71" s="381">
        <v>0</v>
      </c>
      <c r="AB71" s="381">
        <v>0</v>
      </c>
      <c r="AC71" s="381">
        <v>7500</v>
      </c>
      <c r="AD71" s="381">
        <v>5100</v>
      </c>
      <c r="AE71" s="381">
        <v>0</v>
      </c>
      <c r="AF71" s="381">
        <v>0</v>
      </c>
      <c r="AG71" s="381">
        <v>0</v>
      </c>
      <c r="AH71" s="381">
        <v>0</v>
      </c>
      <c r="AI71" s="381">
        <v>0</v>
      </c>
      <c r="AJ71" s="381">
        <v>0</v>
      </c>
      <c r="AK71" s="381">
        <v>0</v>
      </c>
      <c r="AL71" s="381">
        <v>1353421</v>
      </c>
      <c r="AM71" s="381"/>
      <c r="AN71" s="381">
        <v>760879</v>
      </c>
      <c r="AO71" s="381">
        <v>5000</v>
      </c>
      <c r="AP71" s="381">
        <v>289905</v>
      </c>
      <c r="AQ71" s="381">
        <v>40838</v>
      </c>
      <c r="AR71" s="381">
        <v>63335</v>
      </c>
      <c r="AS71" s="381">
        <v>0</v>
      </c>
      <c r="AT71" s="381">
        <v>3649</v>
      </c>
      <c r="AU71" s="381">
        <v>4700</v>
      </c>
      <c r="AV71" s="381">
        <v>12510</v>
      </c>
      <c r="AW71" s="381">
        <v>604</v>
      </c>
      <c r="AX71" s="381">
        <v>6500</v>
      </c>
      <c r="AY71" s="381">
        <v>7088</v>
      </c>
      <c r="AZ71" s="381">
        <v>362</v>
      </c>
      <c r="BA71" s="381">
        <v>2800</v>
      </c>
      <c r="BB71" s="381">
        <v>4500</v>
      </c>
      <c r="BC71" s="381">
        <v>15250</v>
      </c>
      <c r="BD71" s="381">
        <v>17340</v>
      </c>
      <c r="BE71" s="381">
        <v>1500</v>
      </c>
      <c r="BF71" s="381">
        <v>86821</v>
      </c>
      <c r="BG71" s="381">
        <v>5250</v>
      </c>
      <c r="BH71" s="381">
        <v>0</v>
      </c>
      <c r="BI71" s="381">
        <v>1000</v>
      </c>
      <c r="BJ71" s="381">
        <v>1900</v>
      </c>
      <c r="BK71" s="381">
        <v>3000</v>
      </c>
      <c r="BL71" s="381">
        <v>0</v>
      </c>
      <c r="BM71" s="381">
        <v>5579</v>
      </c>
      <c r="BN71" s="381">
        <v>0</v>
      </c>
      <c r="BO71" s="381">
        <v>3600</v>
      </c>
      <c r="BP71" s="381">
        <v>11588</v>
      </c>
      <c r="BQ71" s="381">
        <v>0</v>
      </c>
      <c r="BR71" s="381">
        <v>51932</v>
      </c>
      <c r="BS71" s="381">
        <v>5000</v>
      </c>
      <c r="BT71" s="381">
        <v>24183</v>
      </c>
      <c r="BU71" s="381">
        <v>15217</v>
      </c>
      <c r="BV71" s="381">
        <v>0</v>
      </c>
      <c r="BW71" s="381">
        <v>0</v>
      </c>
      <c r="BX71" s="381">
        <v>0</v>
      </c>
      <c r="BY71" s="382">
        <v>0</v>
      </c>
      <c r="BZ71" s="382">
        <v>0</v>
      </c>
      <c r="CA71" s="382">
        <v>1451830</v>
      </c>
      <c r="CB71" s="381"/>
      <c r="CC71" s="381">
        <v>6228</v>
      </c>
      <c r="CD71" s="381">
        <v>0</v>
      </c>
      <c r="CE71" s="381">
        <v>0</v>
      </c>
      <c r="CF71" s="381">
        <v>6228</v>
      </c>
      <c r="CG71" s="381"/>
      <c r="CH71" s="381">
        <v>0</v>
      </c>
      <c r="CI71" s="381">
        <v>6228</v>
      </c>
      <c r="CJ71" s="381">
        <v>0</v>
      </c>
      <c r="CK71" s="381">
        <v>0</v>
      </c>
      <c r="CL71" s="381">
        <v>0</v>
      </c>
      <c r="CM71" s="381">
        <v>0</v>
      </c>
      <c r="CN71" s="381">
        <v>3042</v>
      </c>
      <c r="CO71" s="381">
        <v>0</v>
      </c>
      <c r="CP71" s="381">
        <v>9270</v>
      </c>
      <c r="CQ71" s="381"/>
      <c r="CR71" s="381">
        <v>14916.36000000019</v>
      </c>
      <c r="CS71" s="381">
        <v>0</v>
      </c>
      <c r="CT71" s="381">
        <v>0</v>
      </c>
      <c r="CU71" s="381">
        <v>4.9999999999727152E-2</v>
      </c>
      <c r="CV71" s="381">
        <v>0</v>
      </c>
      <c r="CW71" s="381">
        <v>0</v>
      </c>
      <c r="CX71" s="381">
        <v>14916.410000000189</v>
      </c>
      <c r="CY71" s="381"/>
      <c r="CZ71" s="117"/>
      <c r="DA71" s="384"/>
      <c r="DB71" s="117"/>
      <c r="DC71" s="384"/>
      <c r="DD71" s="385"/>
      <c r="DE71" s="117"/>
      <c r="DF71" s="117"/>
      <c r="DG71" s="381"/>
      <c r="DH71" s="386"/>
      <c r="DI71" s="387"/>
      <c r="DJ71" s="381"/>
      <c r="DK71" s="381">
        <v>113325.36000000019</v>
      </c>
      <c r="DL71" s="381">
        <v>3042.0499999999997</v>
      </c>
      <c r="DM71" s="381">
        <v>116367.41000000019</v>
      </c>
      <c r="DN71" s="381">
        <v>14916.36000000019</v>
      </c>
      <c r="DO71" s="381">
        <v>4.9999999999727152E-2</v>
      </c>
      <c r="DP71" s="381">
        <v>14916.410000000189</v>
      </c>
      <c r="DQ71" s="383"/>
      <c r="DR71" s="381"/>
      <c r="DS71" s="388"/>
      <c r="DT71" s="388"/>
    </row>
    <row r="72" spans="1:124" ht="14.25">
      <c r="A72" s="380">
        <v>529</v>
      </c>
      <c r="B72" s="391">
        <v>9162172</v>
      </c>
      <c r="C72" s="68">
        <v>2172</v>
      </c>
      <c r="D72" s="120"/>
      <c r="E72" s="120" t="s">
        <v>213</v>
      </c>
      <c r="F72" s="120"/>
      <c r="G72" s="120"/>
      <c r="H72" s="68"/>
      <c r="I72" s="381">
        <v>76255.400000000169</v>
      </c>
      <c r="J72" s="381">
        <v>26165</v>
      </c>
      <c r="K72" s="381">
        <v>0</v>
      </c>
      <c r="L72" s="381">
        <v>2402.1699999999996</v>
      </c>
      <c r="M72" s="381">
        <v>0</v>
      </c>
      <c r="N72" s="381">
        <v>0</v>
      </c>
      <c r="O72" s="381">
        <v>104822.57000000017</v>
      </c>
      <c r="P72" s="381"/>
      <c r="Q72" s="381">
        <v>2170213</v>
      </c>
      <c r="R72" s="381">
        <v>0</v>
      </c>
      <c r="S72" s="381">
        <v>137177</v>
      </c>
      <c r="T72" s="381">
        <v>0</v>
      </c>
      <c r="U72" s="381">
        <v>85455</v>
      </c>
      <c r="V72" s="381">
        <v>83931</v>
      </c>
      <c r="W72" s="381">
        <v>0</v>
      </c>
      <c r="X72" s="381">
        <v>15000</v>
      </c>
      <c r="Y72" s="381">
        <v>17000</v>
      </c>
      <c r="Z72" s="381">
        <v>0</v>
      </c>
      <c r="AA72" s="381">
        <v>0</v>
      </c>
      <c r="AB72" s="381">
        <v>0</v>
      </c>
      <c r="AC72" s="381">
        <v>0</v>
      </c>
      <c r="AD72" s="381">
        <v>0</v>
      </c>
      <c r="AE72" s="381">
        <v>0</v>
      </c>
      <c r="AF72" s="381">
        <v>0</v>
      </c>
      <c r="AG72" s="381">
        <v>0</v>
      </c>
      <c r="AH72" s="381">
        <v>0</v>
      </c>
      <c r="AI72" s="381">
        <v>0</v>
      </c>
      <c r="AJ72" s="381">
        <v>0</v>
      </c>
      <c r="AK72" s="381">
        <v>0</v>
      </c>
      <c r="AL72" s="381">
        <v>2508776</v>
      </c>
      <c r="AM72" s="381"/>
      <c r="AN72" s="381">
        <v>1441368</v>
      </c>
      <c r="AO72" s="381">
        <v>21600</v>
      </c>
      <c r="AP72" s="381">
        <v>493354</v>
      </c>
      <c r="AQ72" s="381">
        <v>92001</v>
      </c>
      <c r="AR72" s="381">
        <v>153029</v>
      </c>
      <c r="AS72" s="381">
        <v>0</v>
      </c>
      <c r="AT72" s="381">
        <v>90442</v>
      </c>
      <c r="AU72" s="381">
        <v>11378</v>
      </c>
      <c r="AV72" s="381">
        <v>5100</v>
      </c>
      <c r="AW72" s="381">
        <v>3401</v>
      </c>
      <c r="AX72" s="381">
        <v>530</v>
      </c>
      <c r="AY72" s="381">
        <v>20359</v>
      </c>
      <c r="AZ72" s="381">
        <v>3500</v>
      </c>
      <c r="BA72" s="381">
        <v>8000</v>
      </c>
      <c r="BB72" s="381">
        <v>13553</v>
      </c>
      <c r="BC72" s="381">
        <v>46000</v>
      </c>
      <c r="BD72" s="381">
        <v>49721</v>
      </c>
      <c r="BE72" s="381">
        <v>7700</v>
      </c>
      <c r="BF72" s="381">
        <v>60083</v>
      </c>
      <c r="BG72" s="381">
        <v>5100</v>
      </c>
      <c r="BH72" s="381">
        <v>0</v>
      </c>
      <c r="BI72" s="381">
        <v>14500</v>
      </c>
      <c r="BJ72" s="381">
        <v>1846</v>
      </c>
      <c r="BK72" s="381">
        <v>0</v>
      </c>
      <c r="BL72" s="381">
        <v>0</v>
      </c>
      <c r="BM72" s="381">
        <v>3780</v>
      </c>
      <c r="BN72" s="381">
        <v>0</v>
      </c>
      <c r="BO72" s="381">
        <v>4075</v>
      </c>
      <c r="BP72" s="381">
        <v>19148</v>
      </c>
      <c r="BQ72" s="381">
        <v>0</v>
      </c>
      <c r="BR72" s="381">
        <v>83214</v>
      </c>
      <c r="BS72" s="381">
        <v>4400</v>
      </c>
      <c r="BT72" s="381">
        <v>21099</v>
      </c>
      <c r="BU72" s="381">
        <v>19887</v>
      </c>
      <c r="BV72" s="381">
        <v>0</v>
      </c>
      <c r="BW72" s="381">
        <v>0</v>
      </c>
      <c r="BX72" s="381">
        <v>0</v>
      </c>
      <c r="BY72" s="382">
        <v>0</v>
      </c>
      <c r="BZ72" s="382">
        <v>0</v>
      </c>
      <c r="CA72" s="382">
        <v>2698168</v>
      </c>
      <c r="CB72" s="381"/>
      <c r="CC72" s="381">
        <v>9051</v>
      </c>
      <c r="CD72" s="381">
        <v>0</v>
      </c>
      <c r="CE72" s="381">
        <v>0</v>
      </c>
      <c r="CF72" s="381">
        <v>9051</v>
      </c>
      <c r="CG72" s="381"/>
      <c r="CH72" s="381">
        <v>0</v>
      </c>
      <c r="CI72" s="381">
        <v>11453</v>
      </c>
      <c r="CJ72" s="381">
        <v>0</v>
      </c>
      <c r="CK72" s="381">
        <v>0</v>
      </c>
      <c r="CL72" s="381">
        <v>0</v>
      </c>
      <c r="CM72" s="381">
        <v>0</v>
      </c>
      <c r="CN72" s="381">
        <v>0</v>
      </c>
      <c r="CO72" s="381">
        <v>0</v>
      </c>
      <c r="CP72" s="381">
        <v>11453</v>
      </c>
      <c r="CQ72" s="381"/>
      <c r="CR72" s="381">
        <v>-86971.599999999831</v>
      </c>
      <c r="CS72" s="381">
        <v>0</v>
      </c>
      <c r="CT72" s="381">
        <v>0</v>
      </c>
      <c r="CU72" s="381">
        <v>0.16999999999961801</v>
      </c>
      <c r="CV72" s="381">
        <v>0</v>
      </c>
      <c r="CW72" s="381">
        <v>0</v>
      </c>
      <c r="CX72" s="381">
        <v>-86971.429999999833</v>
      </c>
      <c r="CY72" s="381"/>
      <c r="CZ72" s="117"/>
      <c r="DA72" s="384"/>
      <c r="DB72" s="117"/>
      <c r="DC72" s="384"/>
      <c r="DD72" s="385"/>
      <c r="DE72" s="117"/>
      <c r="DF72" s="117"/>
      <c r="DG72" s="381"/>
      <c r="DH72" s="386"/>
      <c r="DI72" s="387"/>
      <c r="DJ72" s="381"/>
      <c r="DK72" s="381">
        <v>102420.40000000017</v>
      </c>
      <c r="DL72" s="381">
        <v>2402.1699999999996</v>
      </c>
      <c r="DM72" s="381">
        <v>104822.57000000017</v>
      </c>
      <c r="DN72" s="381">
        <v>-86971.599999999831</v>
      </c>
      <c r="DO72" s="381">
        <v>0.16999999999961801</v>
      </c>
      <c r="DP72" s="381">
        <v>-86971.429999999833</v>
      </c>
      <c r="DQ72" s="383"/>
      <c r="DR72" s="381"/>
      <c r="DS72" s="388"/>
      <c r="DT72" s="388"/>
    </row>
    <row r="73" spans="1:124" ht="14.25">
      <c r="A73" s="380">
        <v>730</v>
      </c>
      <c r="B73" s="391">
        <v>9163056</v>
      </c>
      <c r="C73" s="68">
        <v>3056</v>
      </c>
      <c r="D73" s="120"/>
      <c r="E73" s="120" t="s">
        <v>277</v>
      </c>
      <c r="F73" s="120"/>
      <c r="G73" s="120"/>
      <c r="H73" s="68"/>
      <c r="I73" s="381">
        <v>-125912.35000000002</v>
      </c>
      <c r="J73" s="381">
        <v>13720.24</v>
      </c>
      <c r="K73" s="381">
        <v>0</v>
      </c>
      <c r="L73" s="381">
        <v>8001.58</v>
      </c>
      <c r="M73" s="381">
        <v>0</v>
      </c>
      <c r="N73" s="381">
        <v>0</v>
      </c>
      <c r="O73" s="381">
        <v>-104190.53000000001</v>
      </c>
      <c r="P73" s="381"/>
      <c r="Q73" s="381">
        <v>725158</v>
      </c>
      <c r="R73" s="381">
        <v>0</v>
      </c>
      <c r="S73" s="381">
        <v>12694</v>
      </c>
      <c r="T73" s="381">
        <v>0</v>
      </c>
      <c r="U73" s="381">
        <v>29600</v>
      </c>
      <c r="V73" s="381">
        <v>32441</v>
      </c>
      <c r="W73" s="381">
        <v>0</v>
      </c>
      <c r="X73" s="381">
        <v>0</v>
      </c>
      <c r="Y73" s="381">
        <v>20700</v>
      </c>
      <c r="Z73" s="381">
        <v>1500</v>
      </c>
      <c r="AA73" s="381">
        <v>0</v>
      </c>
      <c r="AB73" s="381">
        <v>0</v>
      </c>
      <c r="AC73" s="381">
        <v>7000</v>
      </c>
      <c r="AD73" s="381">
        <v>0</v>
      </c>
      <c r="AE73" s="381">
        <v>0</v>
      </c>
      <c r="AF73" s="381">
        <v>0</v>
      </c>
      <c r="AG73" s="381">
        <v>0</v>
      </c>
      <c r="AH73" s="381">
        <v>0</v>
      </c>
      <c r="AI73" s="381">
        <v>0</v>
      </c>
      <c r="AJ73" s="381">
        <v>0</v>
      </c>
      <c r="AK73" s="381">
        <v>0</v>
      </c>
      <c r="AL73" s="381">
        <v>829093</v>
      </c>
      <c r="AM73" s="381"/>
      <c r="AN73" s="381">
        <v>471518</v>
      </c>
      <c r="AO73" s="381">
        <v>5000</v>
      </c>
      <c r="AP73" s="381">
        <v>96492</v>
      </c>
      <c r="AQ73" s="381">
        <v>36085</v>
      </c>
      <c r="AR73" s="381">
        <v>50468</v>
      </c>
      <c r="AS73" s="381">
        <v>0</v>
      </c>
      <c r="AT73" s="381">
        <v>38687</v>
      </c>
      <c r="AU73" s="381">
        <v>3000</v>
      </c>
      <c r="AV73" s="381">
        <v>4900</v>
      </c>
      <c r="AW73" s="381">
        <v>3983</v>
      </c>
      <c r="AX73" s="381">
        <v>0</v>
      </c>
      <c r="AY73" s="381">
        <v>11360</v>
      </c>
      <c r="AZ73" s="381">
        <v>3428</v>
      </c>
      <c r="BA73" s="381">
        <v>4700</v>
      </c>
      <c r="BB73" s="381">
        <v>4000</v>
      </c>
      <c r="BC73" s="381">
        <v>25000</v>
      </c>
      <c r="BD73" s="381">
        <v>22206</v>
      </c>
      <c r="BE73" s="381">
        <v>300</v>
      </c>
      <c r="BF73" s="381">
        <v>30116</v>
      </c>
      <c r="BG73" s="381">
        <v>3000</v>
      </c>
      <c r="BH73" s="381">
        <v>0</v>
      </c>
      <c r="BI73" s="381">
        <v>5500</v>
      </c>
      <c r="BJ73" s="381">
        <v>7000</v>
      </c>
      <c r="BK73" s="381">
        <v>0</v>
      </c>
      <c r="BL73" s="381">
        <v>0</v>
      </c>
      <c r="BM73" s="381">
        <v>3707</v>
      </c>
      <c r="BN73" s="381">
        <v>0</v>
      </c>
      <c r="BO73" s="381">
        <v>5000</v>
      </c>
      <c r="BP73" s="381">
        <v>6208</v>
      </c>
      <c r="BQ73" s="381">
        <v>0</v>
      </c>
      <c r="BR73" s="381">
        <v>26473</v>
      </c>
      <c r="BS73" s="381">
        <v>5000</v>
      </c>
      <c r="BT73" s="381">
        <v>21284</v>
      </c>
      <c r="BU73" s="381">
        <v>11323</v>
      </c>
      <c r="BV73" s="381">
        <v>0</v>
      </c>
      <c r="BW73" s="381">
        <v>0</v>
      </c>
      <c r="BX73" s="381">
        <v>0</v>
      </c>
      <c r="BY73" s="382">
        <v>0</v>
      </c>
      <c r="BZ73" s="382">
        <v>0</v>
      </c>
      <c r="CA73" s="382">
        <v>905738</v>
      </c>
      <c r="CB73" s="381"/>
      <c r="CC73" s="381">
        <v>5350</v>
      </c>
      <c r="CD73" s="381">
        <v>0</v>
      </c>
      <c r="CE73" s="381">
        <v>0</v>
      </c>
      <c r="CF73" s="381">
        <v>5350</v>
      </c>
      <c r="CG73" s="381"/>
      <c r="CH73" s="381">
        <v>0</v>
      </c>
      <c r="CI73" s="381">
        <v>13352</v>
      </c>
      <c r="CJ73" s="381">
        <v>0</v>
      </c>
      <c r="CK73" s="381">
        <v>0</v>
      </c>
      <c r="CL73" s="381">
        <v>0</v>
      </c>
      <c r="CM73" s="381">
        <v>0</v>
      </c>
      <c r="CN73" s="381">
        <v>0</v>
      </c>
      <c r="CO73" s="381">
        <v>0</v>
      </c>
      <c r="CP73" s="381">
        <v>13352</v>
      </c>
      <c r="CQ73" s="381"/>
      <c r="CR73" s="381">
        <v>-188837.11000000002</v>
      </c>
      <c r="CS73" s="381">
        <v>0</v>
      </c>
      <c r="CT73" s="381">
        <v>0</v>
      </c>
      <c r="CU73" s="381">
        <v>-0.42000000000007276</v>
      </c>
      <c r="CV73" s="381">
        <v>0</v>
      </c>
      <c r="CW73" s="381">
        <v>0</v>
      </c>
      <c r="CX73" s="381">
        <v>-188837.53000000003</v>
      </c>
      <c r="CY73" s="381"/>
      <c r="CZ73" s="117"/>
      <c r="DA73" s="384"/>
      <c r="DB73" s="117"/>
      <c r="DC73" s="384"/>
      <c r="DD73" s="385"/>
      <c r="DE73" s="117"/>
      <c r="DF73" s="117"/>
      <c r="DG73" s="381"/>
      <c r="DH73" s="386"/>
      <c r="DI73" s="387"/>
      <c r="DJ73" s="381"/>
      <c r="DK73" s="381">
        <v>-112192.11000000002</v>
      </c>
      <c r="DL73" s="381">
        <v>8001.58</v>
      </c>
      <c r="DM73" s="381">
        <v>-104190.53000000001</v>
      </c>
      <c r="DN73" s="381">
        <v>-188837.11000000002</v>
      </c>
      <c r="DO73" s="381">
        <v>-0.42000000000007276</v>
      </c>
      <c r="DP73" s="381">
        <v>-188837.53000000003</v>
      </c>
      <c r="DQ73" s="383"/>
      <c r="DR73" s="381"/>
      <c r="DS73" s="388"/>
      <c r="DT73" s="388"/>
    </row>
    <row r="74" spans="1:124" ht="15">
      <c r="A74" s="380">
        <v>816</v>
      </c>
      <c r="B74" s="391">
        <v>9162179</v>
      </c>
      <c r="C74" s="68">
        <v>2179</v>
      </c>
      <c r="D74" s="120"/>
      <c r="E74" s="120" t="s">
        <v>189</v>
      </c>
      <c r="F74" s="120"/>
      <c r="G74" s="120"/>
      <c r="H74" s="68"/>
      <c r="I74" s="381">
        <v>-24141.739999999812</v>
      </c>
      <c r="J74" s="381">
        <v>11525.89</v>
      </c>
      <c r="K74" s="381">
        <v>0</v>
      </c>
      <c r="L74" s="381">
        <v>2455.1499999999996</v>
      </c>
      <c r="M74" s="381">
        <v>0</v>
      </c>
      <c r="N74" s="381">
        <v>0</v>
      </c>
      <c r="O74" s="381">
        <v>-10160.699999999813</v>
      </c>
      <c r="P74" s="389"/>
      <c r="Q74" s="381">
        <v>1134135</v>
      </c>
      <c r="R74" s="381">
        <v>0</v>
      </c>
      <c r="S74" s="381">
        <v>48963</v>
      </c>
      <c r="T74" s="381">
        <v>0</v>
      </c>
      <c r="U74" s="381">
        <v>38190</v>
      </c>
      <c r="V74" s="381">
        <v>50893</v>
      </c>
      <c r="W74" s="381">
        <v>0</v>
      </c>
      <c r="X74" s="381">
        <v>1950</v>
      </c>
      <c r="Y74" s="381">
        <v>-7750</v>
      </c>
      <c r="Z74" s="381">
        <v>0</v>
      </c>
      <c r="AA74" s="381">
        <v>0</v>
      </c>
      <c r="AB74" s="381">
        <v>0</v>
      </c>
      <c r="AC74" s="381">
        <v>0</v>
      </c>
      <c r="AD74" s="381">
        <v>0</v>
      </c>
      <c r="AE74" s="381">
        <v>0</v>
      </c>
      <c r="AF74" s="381">
        <v>0</v>
      </c>
      <c r="AG74" s="381">
        <v>0</v>
      </c>
      <c r="AH74" s="381">
        <v>0</v>
      </c>
      <c r="AI74" s="381">
        <v>0</v>
      </c>
      <c r="AJ74" s="381">
        <v>0</v>
      </c>
      <c r="AK74" s="381">
        <v>0</v>
      </c>
      <c r="AL74" s="381">
        <v>1266381</v>
      </c>
      <c r="AM74" s="389"/>
      <c r="AN74" s="381">
        <v>648913</v>
      </c>
      <c r="AO74" s="381">
        <v>19000</v>
      </c>
      <c r="AP74" s="381">
        <v>225844</v>
      </c>
      <c r="AQ74" s="381">
        <v>44652</v>
      </c>
      <c r="AR74" s="381">
        <v>50967</v>
      </c>
      <c r="AS74" s="381">
        <v>0</v>
      </c>
      <c r="AT74" s="381">
        <v>29908</v>
      </c>
      <c r="AU74" s="381">
        <v>5141</v>
      </c>
      <c r="AV74" s="381">
        <v>3200</v>
      </c>
      <c r="AW74" s="381">
        <v>3300</v>
      </c>
      <c r="AX74" s="381">
        <v>666</v>
      </c>
      <c r="AY74" s="381">
        <v>7448</v>
      </c>
      <c r="AZ74" s="381">
        <v>3000</v>
      </c>
      <c r="BA74" s="381">
        <v>3315</v>
      </c>
      <c r="BB74" s="381">
        <v>1925</v>
      </c>
      <c r="BC74" s="381">
        <v>18247</v>
      </c>
      <c r="BD74" s="381">
        <v>38185</v>
      </c>
      <c r="BE74" s="381">
        <v>3095</v>
      </c>
      <c r="BF74" s="381">
        <v>37362</v>
      </c>
      <c r="BG74" s="381">
        <v>2900</v>
      </c>
      <c r="BH74" s="381">
        <v>0</v>
      </c>
      <c r="BI74" s="381">
        <v>2500</v>
      </c>
      <c r="BJ74" s="381">
        <v>1089</v>
      </c>
      <c r="BK74" s="381">
        <v>0</v>
      </c>
      <c r="BL74" s="381">
        <v>1200</v>
      </c>
      <c r="BM74" s="381">
        <v>5500</v>
      </c>
      <c r="BN74" s="381">
        <v>0</v>
      </c>
      <c r="BO74" s="381">
        <v>4105</v>
      </c>
      <c r="BP74" s="381">
        <v>11282</v>
      </c>
      <c r="BQ74" s="381">
        <v>0</v>
      </c>
      <c r="BR74" s="381">
        <v>46303</v>
      </c>
      <c r="BS74" s="381">
        <v>1000</v>
      </c>
      <c r="BT74" s="381">
        <v>24095</v>
      </c>
      <c r="BU74" s="381">
        <v>26714</v>
      </c>
      <c r="BV74" s="381">
        <v>0</v>
      </c>
      <c r="BW74" s="381">
        <v>0</v>
      </c>
      <c r="BX74" s="381">
        <v>0</v>
      </c>
      <c r="BY74" s="382">
        <v>0</v>
      </c>
      <c r="BZ74" s="382">
        <v>0</v>
      </c>
      <c r="CA74" s="382">
        <v>1270856</v>
      </c>
      <c r="CB74" s="389"/>
      <c r="CC74" s="381">
        <v>6363</v>
      </c>
      <c r="CD74" s="381">
        <v>0</v>
      </c>
      <c r="CE74" s="381">
        <v>0</v>
      </c>
      <c r="CF74" s="381">
        <v>6363</v>
      </c>
      <c r="CG74" s="389"/>
      <c r="CH74" s="381">
        <v>0</v>
      </c>
      <c r="CI74" s="381">
        <v>6363</v>
      </c>
      <c r="CJ74" s="381">
        <v>0</v>
      </c>
      <c r="CK74" s="381">
        <v>0</v>
      </c>
      <c r="CL74" s="381">
        <v>0</v>
      </c>
      <c r="CM74" s="381">
        <v>0</v>
      </c>
      <c r="CN74" s="381">
        <v>2455</v>
      </c>
      <c r="CO74" s="381">
        <v>0</v>
      </c>
      <c r="CP74" s="381">
        <v>8818</v>
      </c>
      <c r="CQ74" s="390"/>
      <c r="CR74" s="381">
        <v>-17090.849999999813</v>
      </c>
      <c r="CS74" s="381">
        <v>0</v>
      </c>
      <c r="CT74" s="381">
        <v>0</v>
      </c>
      <c r="CU74" s="381">
        <v>0.1499999999996362</v>
      </c>
      <c r="CV74" s="381">
        <v>0</v>
      </c>
      <c r="CW74" s="381">
        <v>0</v>
      </c>
      <c r="CX74" s="381">
        <v>-17090.699999999815</v>
      </c>
      <c r="CY74" s="381"/>
      <c r="CZ74" s="117"/>
      <c r="DA74" s="384"/>
      <c r="DB74" s="117"/>
      <c r="DC74" s="384"/>
      <c r="DD74" s="385"/>
      <c r="DE74" s="117"/>
      <c r="DF74" s="117"/>
      <c r="DG74" s="381"/>
      <c r="DH74" s="386"/>
      <c r="DI74" s="387"/>
      <c r="DJ74" s="381"/>
      <c r="DK74" s="381">
        <v>-12615.849999999813</v>
      </c>
      <c r="DL74" s="381">
        <v>2455.1499999999996</v>
      </c>
      <c r="DM74" s="381">
        <v>-10160.699999999813</v>
      </c>
      <c r="DN74" s="381">
        <v>-17090.849999999813</v>
      </c>
      <c r="DO74" s="381">
        <v>0.1499999999996362</v>
      </c>
      <c r="DP74" s="381">
        <v>-17090.699999999815</v>
      </c>
      <c r="DQ74" s="383"/>
      <c r="DR74" s="381"/>
      <c r="DS74" s="388"/>
      <c r="DT74" s="388"/>
    </row>
    <row r="75" spans="1:124" ht="14.25">
      <c r="A75" s="380">
        <v>769</v>
      </c>
      <c r="B75" s="391">
        <v>9163344</v>
      </c>
      <c r="C75" s="68">
        <v>3344</v>
      </c>
      <c r="D75" s="120"/>
      <c r="E75" s="120" t="s">
        <v>752</v>
      </c>
      <c r="F75" s="120"/>
      <c r="G75" s="120"/>
      <c r="H75" s="68"/>
      <c r="I75" s="381">
        <v>125593.75000000012</v>
      </c>
      <c r="J75" s="381">
        <v>13250.739999999998</v>
      </c>
      <c r="K75" s="381">
        <v>0</v>
      </c>
      <c r="L75" s="381">
        <v>550.65999999999985</v>
      </c>
      <c r="M75" s="381">
        <v>0</v>
      </c>
      <c r="N75" s="381">
        <v>25289.000000000015</v>
      </c>
      <c r="O75" s="381">
        <v>164684.15000000014</v>
      </c>
      <c r="P75" s="381"/>
      <c r="Q75" s="381">
        <v>1085996</v>
      </c>
      <c r="R75" s="381">
        <v>0</v>
      </c>
      <c r="S75" s="381">
        <v>33934</v>
      </c>
      <c r="T75" s="381">
        <v>0</v>
      </c>
      <c r="U75" s="381">
        <v>29850</v>
      </c>
      <c r="V75" s="381">
        <v>60665</v>
      </c>
      <c r="W75" s="381">
        <v>0</v>
      </c>
      <c r="X75" s="381">
        <v>0</v>
      </c>
      <c r="Y75" s="381">
        <v>20400</v>
      </c>
      <c r="Z75" s="381">
        <v>13000</v>
      </c>
      <c r="AA75" s="381">
        <v>0</v>
      </c>
      <c r="AB75" s="381">
        <v>0</v>
      </c>
      <c r="AC75" s="381">
        <v>10000</v>
      </c>
      <c r="AD75" s="381">
        <v>0</v>
      </c>
      <c r="AE75" s="381">
        <v>0</v>
      </c>
      <c r="AF75" s="381">
        <v>60000</v>
      </c>
      <c r="AG75" s="381">
        <v>15000</v>
      </c>
      <c r="AH75" s="381">
        <v>0</v>
      </c>
      <c r="AI75" s="381">
        <v>0</v>
      </c>
      <c r="AJ75" s="381">
        <v>0</v>
      </c>
      <c r="AK75" s="381">
        <v>0</v>
      </c>
      <c r="AL75" s="381">
        <v>1328845</v>
      </c>
      <c r="AM75" s="381"/>
      <c r="AN75" s="381">
        <v>643853</v>
      </c>
      <c r="AO75" s="381">
        <v>15000</v>
      </c>
      <c r="AP75" s="381">
        <v>229152</v>
      </c>
      <c r="AQ75" s="381">
        <v>30463</v>
      </c>
      <c r="AR75" s="381">
        <v>79605</v>
      </c>
      <c r="AS75" s="381">
        <v>37864</v>
      </c>
      <c r="AT75" s="381">
        <v>41316</v>
      </c>
      <c r="AU75" s="381">
        <v>1250</v>
      </c>
      <c r="AV75" s="381">
        <v>5200</v>
      </c>
      <c r="AW75" s="381">
        <v>485</v>
      </c>
      <c r="AX75" s="381">
        <v>0</v>
      </c>
      <c r="AY75" s="381">
        <v>23858</v>
      </c>
      <c r="AZ75" s="381">
        <v>3222</v>
      </c>
      <c r="BA75" s="381">
        <v>11050</v>
      </c>
      <c r="BB75" s="381">
        <v>4027</v>
      </c>
      <c r="BC75" s="381">
        <v>25000</v>
      </c>
      <c r="BD75" s="381">
        <v>5190</v>
      </c>
      <c r="BE75" s="381">
        <v>5875</v>
      </c>
      <c r="BF75" s="381">
        <v>48676</v>
      </c>
      <c r="BG75" s="381">
        <v>5000</v>
      </c>
      <c r="BH75" s="381">
        <v>0</v>
      </c>
      <c r="BI75" s="381">
        <v>0</v>
      </c>
      <c r="BJ75" s="381">
        <v>1500</v>
      </c>
      <c r="BK75" s="381">
        <v>14180</v>
      </c>
      <c r="BL75" s="381">
        <v>0</v>
      </c>
      <c r="BM75" s="381">
        <v>13343</v>
      </c>
      <c r="BN75" s="381">
        <v>0</v>
      </c>
      <c r="BO75" s="381">
        <v>9805</v>
      </c>
      <c r="BP75" s="381">
        <v>8583</v>
      </c>
      <c r="BQ75" s="381">
        <v>0</v>
      </c>
      <c r="BR75" s="381">
        <v>36914</v>
      </c>
      <c r="BS75" s="381">
        <v>0</v>
      </c>
      <c r="BT75" s="381">
        <v>30135</v>
      </c>
      <c r="BU75" s="381">
        <v>16156</v>
      </c>
      <c r="BV75" s="381">
        <v>0</v>
      </c>
      <c r="BW75" s="381">
        <v>0</v>
      </c>
      <c r="BX75" s="381">
        <v>2840</v>
      </c>
      <c r="BY75" s="382">
        <v>95011</v>
      </c>
      <c r="BZ75" s="382">
        <v>5231</v>
      </c>
      <c r="CA75" s="382">
        <v>1449784</v>
      </c>
      <c r="CB75" s="381"/>
      <c r="CC75" s="381">
        <v>4371</v>
      </c>
      <c r="CD75" s="381">
        <v>0</v>
      </c>
      <c r="CE75" s="381">
        <v>0</v>
      </c>
      <c r="CF75" s="381">
        <v>4371</v>
      </c>
      <c r="CG75" s="381"/>
      <c r="CH75" s="381">
        <v>0</v>
      </c>
      <c r="CI75" s="381">
        <v>4922</v>
      </c>
      <c r="CJ75" s="381">
        <v>0</v>
      </c>
      <c r="CK75" s="381">
        <v>0</v>
      </c>
      <c r="CL75" s="381">
        <v>0</v>
      </c>
      <c r="CM75" s="381">
        <v>0</v>
      </c>
      <c r="CN75" s="381">
        <v>0</v>
      </c>
      <c r="CO75" s="381">
        <v>0</v>
      </c>
      <c r="CP75" s="381">
        <v>4922</v>
      </c>
      <c r="CQ75" s="381"/>
      <c r="CR75" s="381">
        <v>43147.490000000093</v>
      </c>
      <c r="CS75" s="381">
        <v>0</v>
      </c>
      <c r="CT75" s="381">
        <v>0</v>
      </c>
      <c r="CU75" s="381">
        <v>-0.34000000000014552</v>
      </c>
      <c r="CV75" s="381">
        <v>0</v>
      </c>
      <c r="CW75" s="381">
        <v>47.000000000014552</v>
      </c>
      <c r="CX75" s="381">
        <v>43194.150000000111</v>
      </c>
      <c r="CY75" s="381"/>
      <c r="CZ75" s="117"/>
      <c r="DA75" s="384"/>
      <c r="DB75" s="117"/>
      <c r="DC75" s="384"/>
      <c r="DD75" s="385"/>
      <c r="DE75" s="117"/>
      <c r="DF75" s="117"/>
      <c r="DG75" s="381"/>
      <c r="DH75" s="386"/>
      <c r="DI75" s="387"/>
      <c r="DJ75" s="381"/>
      <c r="DK75" s="381">
        <v>164133.49000000011</v>
      </c>
      <c r="DL75" s="381">
        <v>550.65999999999985</v>
      </c>
      <c r="DM75" s="381">
        <v>164684.15000000011</v>
      </c>
      <c r="DN75" s="381">
        <v>43194.490000000107</v>
      </c>
      <c r="DO75" s="381">
        <v>-0.34000000000014552</v>
      </c>
      <c r="DP75" s="381">
        <v>43194.150000000111</v>
      </c>
      <c r="DQ75" s="383"/>
      <c r="DR75" s="381"/>
      <c r="DS75" s="388"/>
      <c r="DT75" s="388"/>
    </row>
    <row r="76" spans="1:124" ht="14.25">
      <c r="A76" s="380">
        <v>532</v>
      </c>
      <c r="B76" s="391">
        <v>9165205</v>
      </c>
      <c r="C76" s="68">
        <v>5205</v>
      </c>
      <c r="D76" s="120"/>
      <c r="E76" s="120" t="s">
        <v>718</v>
      </c>
      <c r="F76" s="120"/>
      <c r="G76" s="120"/>
      <c r="H76" s="68"/>
      <c r="I76" s="381">
        <v>-16717.650000000023</v>
      </c>
      <c r="J76" s="381">
        <v>0</v>
      </c>
      <c r="K76" s="381">
        <v>0</v>
      </c>
      <c r="L76" s="381">
        <v>1.8189894035458565E-12</v>
      </c>
      <c r="M76" s="381">
        <v>0</v>
      </c>
      <c r="N76" s="381">
        <v>0</v>
      </c>
      <c r="O76" s="381">
        <v>-16717.650000000023</v>
      </c>
      <c r="P76" s="381"/>
      <c r="Q76" s="381">
        <v>521210</v>
      </c>
      <c r="R76" s="381">
        <v>0</v>
      </c>
      <c r="S76" s="381">
        <v>9563</v>
      </c>
      <c r="T76" s="381">
        <v>0</v>
      </c>
      <c r="U76" s="381">
        <v>19645</v>
      </c>
      <c r="V76" s="381">
        <v>29115</v>
      </c>
      <c r="W76" s="381">
        <v>0</v>
      </c>
      <c r="X76" s="381">
        <v>0</v>
      </c>
      <c r="Y76" s="381">
        <v>39517</v>
      </c>
      <c r="Z76" s="381">
        <v>0</v>
      </c>
      <c r="AA76" s="381">
        <v>0</v>
      </c>
      <c r="AB76" s="381">
        <v>0</v>
      </c>
      <c r="AC76" s="381">
        <v>0</v>
      </c>
      <c r="AD76" s="381">
        <v>250</v>
      </c>
      <c r="AE76" s="381">
        <v>0</v>
      </c>
      <c r="AF76" s="381">
        <v>14500</v>
      </c>
      <c r="AG76" s="381">
        <v>8610</v>
      </c>
      <c r="AH76" s="381">
        <v>0</v>
      </c>
      <c r="AI76" s="381">
        <v>0</v>
      </c>
      <c r="AJ76" s="381">
        <v>0</v>
      </c>
      <c r="AK76" s="381">
        <v>0</v>
      </c>
      <c r="AL76" s="381">
        <v>642410</v>
      </c>
      <c r="AM76" s="381"/>
      <c r="AN76" s="381">
        <v>331274</v>
      </c>
      <c r="AO76" s="381">
        <v>0</v>
      </c>
      <c r="AP76" s="381">
        <v>91190</v>
      </c>
      <c r="AQ76" s="381">
        <v>0</v>
      </c>
      <c r="AR76" s="381">
        <v>37623</v>
      </c>
      <c r="AS76" s="381">
        <v>0</v>
      </c>
      <c r="AT76" s="381">
        <v>18497</v>
      </c>
      <c r="AU76" s="381">
        <v>100</v>
      </c>
      <c r="AV76" s="381">
        <v>2125</v>
      </c>
      <c r="AW76" s="381">
        <v>3963</v>
      </c>
      <c r="AX76" s="381">
        <v>0</v>
      </c>
      <c r="AY76" s="381">
        <v>8514</v>
      </c>
      <c r="AZ76" s="381">
        <v>4688</v>
      </c>
      <c r="BA76" s="381">
        <v>23480</v>
      </c>
      <c r="BB76" s="381">
        <v>1700</v>
      </c>
      <c r="BC76" s="381">
        <v>15750</v>
      </c>
      <c r="BD76" s="381">
        <v>1896</v>
      </c>
      <c r="BE76" s="381">
        <v>2750</v>
      </c>
      <c r="BF76" s="381">
        <v>35959</v>
      </c>
      <c r="BG76" s="392">
        <v>3100</v>
      </c>
      <c r="BH76" s="392">
        <v>0</v>
      </c>
      <c r="BI76" s="392">
        <v>0</v>
      </c>
      <c r="BJ76" s="392">
        <v>0</v>
      </c>
      <c r="BK76" s="392">
        <v>0</v>
      </c>
      <c r="BL76" s="392">
        <v>0</v>
      </c>
      <c r="BM76" s="381">
        <v>8402</v>
      </c>
      <c r="BN76" s="381">
        <v>0</v>
      </c>
      <c r="BO76" s="381">
        <v>3950</v>
      </c>
      <c r="BP76" s="381">
        <v>2212</v>
      </c>
      <c r="BQ76" s="381">
        <v>0</v>
      </c>
      <c r="BR76" s="381">
        <v>21793</v>
      </c>
      <c r="BS76" s="381">
        <v>8000</v>
      </c>
      <c r="BT76" s="381">
        <v>17811</v>
      </c>
      <c r="BU76" s="381">
        <v>29606</v>
      </c>
      <c r="BV76" s="381">
        <v>0</v>
      </c>
      <c r="BW76" s="381">
        <v>0</v>
      </c>
      <c r="BX76" s="381">
        <v>0</v>
      </c>
      <c r="BY76" s="382">
        <v>19875</v>
      </c>
      <c r="BZ76" s="382">
        <v>3235</v>
      </c>
      <c r="CA76" s="382">
        <v>697493</v>
      </c>
      <c r="CB76" s="381"/>
      <c r="CC76" s="381">
        <v>4821</v>
      </c>
      <c r="CD76" s="381">
        <v>0</v>
      </c>
      <c r="CE76" s="381">
        <v>0</v>
      </c>
      <c r="CF76" s="381">
        <v>4821</v>
      </c>
      <c r="CG76" s="381"/>
      <c r="CH76" s="381">
        <v>0</v>
      </c>
      <c r="CI76" s="381">
        <v>4821</v>
      </c>
      <c r="CJ76" s="381">
        <v>0</v>
      </c>
      <c r="CK76" s="381">
        <v>0</v>
      </c>
      <c r="CL76" s="381">
        <v>0</v>
      </c>
      <c r="CM76" s="381">
        <v>0</v>
      </c>
      <c r="CN76" s="381">
        <v>0</v>
      </c>
      <c r="CO76" s="381">
        <v>0</v>
      </c>
      <c r="CP76" s="381">
        <v>4821</v>
      </c>
      <c r="CQ76" s="381"/>
      <c r="CR76" s="381">
        <v>-71800.650000000023</v>
      </c>
      <c r="CS76" s="381">
        <v>0</v>
      </c>
      <c r="CT76" s="381">
        <v>0</v>
      </c>
      <c r="CU76" s="381">
        <v>1.8189894035458565E-12</v>
      </c>
      <c r="CV76" s="381">
        <v>0</v>
      </c>
      <c r="CW76" s="381">
        <v>0</v>
      </c>
      <c r="CX76" s="381">
        <v>-71800.650000000023</v>
      </c>
      <c r="CY76" s="381"/>
      <c r="CZ76" s="117"/>
      <c r="DA76" s="384"/>
      <c r="DB76" s="117"/>
      <c r="DC76" s="384"/>
      <c r="DD76" s="385"/>
      <c r="DE76" s="117"/>
      <c r="DF76" s="117"/>
      <c r="DG76" s="381"/>
      <c r="DH76" s="386"/>
      <c r="DI76" s="387"/>
      <c r="DJ76" s="381"/>
      <c r="DK76" s="381">
        <v>-16717.650000000023</v>
      </c>
      <c r="DL76" s="381">
        <v>1.8189894035458565E-12</v>
      </c>
      <c r="DM76" s="381">
        <v>-16717.650000000023</v>
      </c>
      <c r="DN76" s="381">
        <v>-71800.650000000023</v>
      </c>
      <c r="DO76" s="381">
        <v>1.8189894035458565E-12</v>
      </c>
      <c r="DP76" s="381">
        <v>-71800.650000000023</v>
      </c>
      <c r="DQ76" s="383"/>
      <c r="DR76" s="381"/>
      <c r="DS76" s="388"/>
      <c r="DT76" s="388"/>
    </row>
    <row r="77" spans="1:124" ht="15">
      <c r="A77" s="380">
        <v>853</v>
      </c>
      <c r="B77" s="391">
        <v>9163353</v>
      </c>
      <c r="C77" s="68">
        <v>3353</v>
      </c>
      <c r="D77" s="120"/>
      <c r="E77" s="120" t="s">
        <v>743</v>
      </c>
      <c r="F77" s="120"/>
      <c r="G77" s="120"/>
      <c r="H77" s="68"/>
      <c r="I77" s="381">
        <v>76061.65000000014</v>
      </c>
      <c r="J77" s="381">
        <v>13130.98</v>
      </c>
      <c r="K77" s="381">
        <v>0</v>
      </c>
      <c r="L77" s="381">
        <v>0</v>
      </c>
      <c r="M77" s="381">
        <v>0</v>
      </c>
      <c r="N77" s="381">
        <v>0</v>
      </c>
      <c r="O77" s="381">
        <v>89192.630000000136</v>
      </c>
      <c r="P77" s="389"/>
      <c r="Q77" s="381">
        <v>741737</v>
      </c>
      <c r="R77" s="381">
        <v>0</v>
      </c>
      <c r="S77" s="381">
        <v>7846</v>
      </c>
      <c r="T77" s="381">
        <v>0</v>
      </c>
      <c r="U77" s="381">
        <v>13575</v>
      </c>
      <c r="V77" s="381">
        <v>39450</v>
      </c>
      <c r="W77" s="381">
        <v>0</v>
      </c>
      <c r="X77" s="381">
        <v>500</v>
      </c>
      <c r="Y77" s="381">
        <v>0</v>
      </c>
      <c r="Z77" s="381">
        <v>0</v>
      </c>
      <c r="AA77" s="381">
        <v>0</v>
      </c>
      <c r="AB77" s="381">
        <v>0</v>
      </c>
      <c r="AC77" s="381">
        <v>8500</v>
      </c>
      <c r="AD77" s="381">
        <v>0</v>
      </c>
      <c r="AE77" s="381">
        <v>0</v>
      </c>
      <c r="AF77" s="381">
        <v>0</v>
      </c>
      <c r="AG77" s="381">
        <v>0</v>
      </c>
      <c r="AH77" s="381">
        <v>0</v>
      </c>
      <c r="AI77" s="381">
        <v>0</v>
      </c>
      <c r="AJ77" s="381">
        <v>0</v>
      </c>
      <c r="AK77" s="381">
        <v>0</v>
      </c>
      <c r="AL77" s="381">
        <v>811608</v>
      </c>
      <c r="AM77" s="389"/>
      <c r="AN77" s="381">
        <v>425506</v>
      </c>
      <c r="AO77" s="381">
        <v>9800</v>
      </c>
      <c r="AP77" s="381">
        <v>144095</v>
      </c>
      <c r="AQ77" s="381">
        <v>500</v>
      </c>
      <c r="AR77" s="381">
        <v>48608</v>
      </c>
      <c r="AS77" s="381">
        <v>0</v>
      </c>
      <c r="AT77" s="381">
        <v>22694</v>
      </c>
      <c r="AU77" s="381">
        <v>0</v>
      </c>
      <c r="AV77" s="381">
        <v>3715</v>
      </c>
      <c r="AW77" s="381">
        <v>6715</v>
      </c>
      <c r="AX77" s="381">
        <v>1327</v>
      </c>
      <c r="AY77" s="381">
        <v>5395</v>
      </c>
      <c r="AZ77" s="381">
        <v>3562</v>
      </c>
      <c r="BA77" s="381">
        <v>15800</v>
      </c>
      <c r="BB77" s="381">
        <v>2000</v>
      </c>
      <c r="BC77" s="381">
        <v>10000</v>
      </c>
      <c r="BD77" s="381">
        <v>2620</v>
      </c>
      <c r="BE77" s="381">
        <v>2200</v>
      </c>
      <c r="BF77" s="381">
        <v>48757</v>
      </c>
      <c r="BG77" s="381">
        <v>0</v>
      </c>
      <c r="BH77" s="381">
        <v>0</v>
      </c>
      <c r="BI77" s="381">
        <v>1500</v>
      </c>
      <c r="BJ77" s="381">
        <v>0</v>
      </c>
      <c r="BK77" s="381">
        <v>1625</v>
      </c>
      <c r="BL77" s="381">
        <v>0</v>
      </c>
      <c r="BM77" s="381">
        <v>0</v>
      </c>
      <c r="BN77" s="381">
        <v>0</v>
      </c>
      <c r="BO77" s="381">
        <v>4928</v>
      </c>
      <c r="BP77" s="381">
        <v>2250</v>
      </c>
      <c r="BQ77" s="381">
        <v>7341</v>
      </c>
      <c r="BR77" s="381">
        <v>0</v>
      </c>
      <c r="BS77" s="381">
        <v>22996</v>
      </c>
      <c r="BT77" s="381">
        <v>18033</v>
      </c>
      <c r="BU77" s="381">
        <v>17265</v>
      </c>
      <c r="BV77" s="381">
        <v>0</v>
      </c>
      <c r="BW77" s="381">
        <v>0</v>
      </c>
      <c r="BX77" s="381">
        <v>3779</v>
      </c>
      <c r="BY77" s="382">
        <v>0</v>
      </c>
      <c r="BZ77" s="382">
        <v>0</v>
      </c>
      <c r="CA77" s="382">
        <v>833011</v>
      </c>
      <c r="CB77" s="389"/>
      <c r="CC77" s="381">
        <v>0</v>
      </c>
      <c r="CD77" s="381">
        <v>0</v>
      </c>
      <c r="CE77" s="381">
        <v>3779</v>
      </c>
      <c r="CF77" s="381">
        <v>3779</v>
      </c>
      <c r="CG77" s="389"/>
      <c r="CH77" s="381">
        <v>0</v>
      </c>
      <c r="CI77" s="381">
        <v>3779</v>
      </c>
      <c r="CJ77" s="381">
        <v>0</v>
      </c>
      <c r="CK77" s="381">
        <v>0</v>
      </c>
      <c r="CL77" s="381">
        <v>0</v>
      </c>
      <c r="CM77" s="381">
        <v>0</v>
      </c>
      <c r="CN77" s="381">
        <v>0</v>
      </c>
      <c r="CO77" s="381">
        <v>0</v>
      </c>
      <c r="CP77" s="381">
        <v>3779</v>
      </c>
      <c r="CQ77" s="390"/>
      <c r="CR77" s="381">
        <v>67789.630000000136</v>
      </c>
      <c r="CS77" s="381">
        <v>0</v>
      </c>
      <c r="CT77" s="381">
        <v>0</v>
      </c>
      <c r="CU77" s="381">
        <v>0</v>
      </c>
      <c r="CV77" s="381">
        <v>0</v>
      </c>
      <c r="CW77" s="381">
        <v>0</v>
      </c>
      <c r="CX77" s="381">
        <v>67789.630000000136</v>
      </c>
      <c r="CY77" s="381"/>
      <c r="CZ77" s="117"/>
      <c r="DA77" s="384"/>
      <c r="DB77" s="117"/>
      <c r="DC77" s="384"/>
      <c r="DD77" s="385"/>
      <c r="DE77" s="117"/>
      <c r="DF77" s="117"/>
      <c r="DG77" s="381"/>
      <c r="DH77" s="386"/>
      <c r="DI77" s="387"/>
      <c r="DJ77" s="381"/>
      <c r="DK77" s="381">
        <v>89192.630000000136</v>
      </c>
      <c r="DL77" s="381">
        <v>0</v>
      </c>
      <c r="DM77" s="381">
        <v>89192.630000000136</v>
      </c>
      <c r="DN77" s="381">
        <v>67789.630000000136</v>
      </c>
      <c r="DO77" s="381">
        <v>0</v>
      </c>
      <c r="DP77" s="381">
        <v>67789.630000000136</v>
      </c>
      <c r="DQ77" s="383"/>
      <c r="DR77" s="381"/>
      <c r="DS77" s="388"/>
      <c r="DT77" s="388"/>
    </row>
    <row r="78" spans="1:124" ht="14.25">
      <c r="A78" s="380">
        <v>787</v>
      </c>
      <c r="B78" s="391">
        <v>9163070</v>
      </c>
      <c r="C78" s="68">
        <v>3070</v>
      </c>
      <c r="D78" s="120"/>
      <c r="E78" s="120" t="s">
        <v>275</v>
      </c>
      <c r="F78" s="120"/>
      <c r="G78" s="120"/>
      <c r="H78" s="68"/>
      <c r="I78" s="381">
        <v>-14098.179999999973</v>
      </c>
      <c r="J78" s="381">
        <v>10314.24</v>
      </c>
      <c r="K78" s="381">
        <v>0</v>
      </c>
      <c r="L78" s="381">
        <v>8655.75</v>
      </c>
      <c r="M78" s="381">
        <v>0</v>
      </c>
      <c r="N78" s="381">
        <v>0</v>
      </c>
      <c r="O78" s="381">
        <v>4871.8100000000268</v>
      </c>
      <c r="P78" s="381"/>
      <c r="Q78" s="381">
        <v>379564</v>
      </c>
      <c r="R78" s="381">
        <v>0</v>
      </c>
      <c r="S78" s="381">
        <v>35294</v>
      </c>
      <c r="T78" s="381">
        <v>0</v>
      </c>
      <c r="U78" s="381">
        <v>17270</v>
      </c>
      <c r="V78" s="381">
        <v>21248</v>
      </c>
      <c r="W78" s="381">
        <v>0</v>
      </c>
      <c r="X78" s="381">
        <v>0</v>
      </c>
      <c r="Y78" s="381">
        <v>7500</v>
      </c>
      <c r="Z78" s="381">
        <v>0</v>
      </c>
      <c r="AA78" s="381">
        <v>0</v>
      </c>
      <c r="AB78" s="381">
        <v>0</v>
      </c>
      <c r="AC78" s="381">
        <v>12000</v>
      </c>
      <c r="AD78" s="381">
        <v>2000</v>
      </c>
      <c r="AE78" s="381">
        <v>0</v>
      </c>
      <c r="AF78" s="381">
        <v>0</v>
      </c>
      <c r="AG78" s="381">
        <v>0</v>
      </c>
      <c r="AH78" s="381">
        <v>0</v>
      </c>
      <c r="AI78" s="381">
        <v>0</v>
      </c>
      <c r="AJ78" s="381">
        <v>0</v>
      </c>
      <c r="AK78" s="381">
        <v>0</v>
      </c>
      <c r="AL78" s="381">
        <v>474876</v>
      </c>
      <c r="AM78" s="381"/>
      <c r="AN78" s="381">
        <v>284913</v>
      </c>
      <c r="AO78" s="381">
        <v>6000</v>
      </c>
      <c r="AP78" s="381">
        <v>69106</v>
      </c>
      <c r="AQ78" s="381">
        <v>0</v>
      </c>
      <c r="AR78" s="381">
        <v>21209</v>
      </c>
      <c r="AS78" s="381">
        <v>0</v>
      </c>
      <c r="AT78" s="381">
        <v>19070</v>
      </c>
      <c r="AU78" s="381">
        <v>2643</v>
      </c>
      <c r="AV78" s="381">
        <v>2500</v>
      </c>
      <c r="AW78" s="381">
        <v>113</v>
      </c>
      <c r="AX78" s="381">
        <v>0</v>
      </c>
      <c r="AY78" s="381">
        <v>4901</v>
      </c>
      <c r="AZ78" s="381">
        <v>1100</v>
      </c>
      <c r="BA78" s="381">
        <v>8961</v>
      </c>
      <c r="BB78" s="381">
        <v>484</v>
      </c>
      <c r="BC78" s="381">
        <v>3885</v>
      </c>
      <c r="BD78" s="381">
        <v>2844</v>
      </c>
      <c r="BE78" s="381">
        <v>3536</v>
      </c>
      <c r="BF78" s="381">
        <v>27147</v>
      </c>
      <c r="BG78" s="381">
        <v>0</v>
      </c>
      <c r="BH78" s="381">
        <v>0</v>
      </c>
      <c r="BI78" s="381">
        <v>583</v>
      </c>
      <c r="BJ78" s="381">
        <v>2500</v>
      </c>
      <c r="BK78" s="381">
        <v>1545</v>
      </c>
      <c r="BL78" s="381">
        <v>0</v>
      </c>
      <c r="BM78" s="381">
        <v>0</v>
      </c>
      <c r="BN78" s="381">
        <v>0</v>
      </c>
      <c r="BO78" s="381">
        <v>11551</v>
      </c>
      <c r="BP78" s="381">
        <v>1052</v>
      </c>
      <c r="BQ78" s="381">
        <v>1997</v>
      </c>
      <c r="BR78" s="381">
        <v>0</v>
      </c>
      <c r="BS78" s="381">
        <v>8844</v>
      </c>
      <c r="BT78" s="381">
        <v>7680</v>
      </c>
      <c r="BU78" s="381">
        <v>15541</v>
      </c>
      <c r="BV78" s="381">
        <v>0</v>
      </c>
      <c r="BW78" s="381">
        <v>0</v>
      </c>
      <c r="BX78" s="381">
        <v>0</v>
      </c>
      <c r="BY78" s="382">
        <v>0</v>
      </c>
      <c r="BZ78" s="382">
        <v>0</v>
      </c>
      <c r="CA78" s="382">
        <v>509705</v>
      </c>
      <c r="CB78" s="381"/>
      <c r="CC78" s="381">
        <v>4416</v>
      </c>
      <c r="CD78" s="381">
        <v>0</v>
      </c>
      <c r="CE78" s="381">
        <v>0</v>
      </c>
      <c r="CF78" s="381">
        <v>4416</v>
      </c>
      <c r="CG78" s="381"/>
      <c r="CH78" s="381">
        <v>0</v>
      </c>
      <c r="CI78" s="381">
        <v>13072</v>
      </c>
      <c r="CJ78" s="381">
        <v>0</v>
      </c>
      <c r="CK78" s="381">
        <v>0</v>
      </c>
      <c r="CL78" s="381">
        <v>0</v>
      </c>
      <c r="CM78" s="381">
        <v>0</v>
      </c>
      <c r="CN78" s="381">
        <v>0</v>
      </c>
      <c r="CO78" s="381">
        <v>0</v>
      </c>
      <c r="CP78" s="381">
        <v>13072</v>
      </c>
      <c r="CQ78" s="381"/>
      <c r="CR78" s="381">
        <v>-38612.939999999973</v>
      </c>
      <c r="CS78" s="381">
        <v>0</v>
      </c>
      <c r="CT78" s="381">
        <v>0</v>
      </c>
      <c r="CU78" s="381">
        <v>-0.25</v>
      </c>
      <c r="CV78" s="381">
        <v>0</v>
      </c>
      <c r="CW78" s="381">
        <v>0</v>
      </c>
      <c r="CX78" s="381">
        <v>-38613.189999999973</v>
      </c>
      <c r="CY78" s="381"/>
      <c r="CZ78" s="117"/>
      <c r="DA78" s="384"/>
      <c r="DB78" s="117"/>
      <c r="DC78" s="384"/>
      <c r="DD78" s="385"/>
      <c r="DE78" s="117"/>
      <c r="DF78" s="117"/>
      <c r="DG78" s="381"/>
      <c r="DH78" s="386"/>
      <c r="DI78" s="387"/>
      <c r="DJ78" s="381"/>
      <c r="DK78" s="381">
        <v>-3783.9399999999732</v>
      </c>
      <c r="DL78" s="381">
        <v>8655.75</v>
      </c>
      <c r="DM78" s="381">
        <v>4871.8100000000268</v>
      </c>
      <c r="DN78" s="381">
        <v>-38612.939999999973</v>
      </c>
      <c r="DO78" s="381">
        <v>-0.25</v>
      </c>
      <c r="DP78" s="381">
        <v>-38613.189999999973</v>
      </c>
      <c r="DQ78" s="383"/>
      <c r="DR78" s="381"/>
      <c r="DS78" s="388"/>
      <c r="DT78" s="388"/>
    </row>
    <row r="79" spans="1:124" ht="14.25">
      <c r="A79" s="380">
        <v>682</v>
      </c>
      <c r="B79" s="391">
        <v>9163042</v>
      </c>
      <c r="C79" s="68">
        <v>3042</v>
      </c>
      <c r="D79" s="120"/>
      <c r="E79" s="120" t="s">
        <v>271</v>
      </c>
      <c r="F79" s="120"/>
      <c r="G79" s="120"/>
      <c r="H79" s="68"/>
      <c r="I79" s="381">
        <v>98684.150000000052</v>
      </c>
      <c r="J79" s="381">
        <v>15269.6</v>
      </c>
      <c r="K79" s="381">
        <v>0</v>
      </c>
      <c r="L79" s="381">
        <v>13339.529999999999</v>
      </c>
      <c r="M79" s="381">
        <v>0</v>
      </c>
      <c r="N79" s="381">
        <v>24927.5</v>
      </c>
      <c r="O79" s="381">
        <v>152220.78000000006</v>
      </c>
      <c r="P79" s="381"/>
      <c r="Q79" s="381">
        <v>558167</v>
      </c>
      <c r="R79" s="381">
        <v>0</v>
      </c>
      <c r="S79" s="381">
        <v>22600</v>
      </c>
      <c r="T79" s="381">
        <v>0</v>
      </c>
      <c r="U79" s="381">
        <v>20645</v>
      </c>
      <c r="V79" s="381">
        <v>24348</v>
      </c>
      <c r="W79" s="381">
        <v>0</v>
      </c>
      <c r="X79" s="381">
        <v>0</v>
      </c>
      <c r="Y79" s="381">
        <v>36267</v>
      </c>
      <c r="Z79" s="381">
        <v>-55</v>
      </c>
      <c r="AA79" s="381">
        <v>0</v>
      </c>
      <c r="AB79" s="381">
        <v>0</v>
      </c>
      <c r="AC79" s="381">
        <v>0</v>
      </c>
      <c r="AD79" s="381">
        <v>0</v>
      </c>
      <c r="AE79" s="381">
        <v>0</v>
      </c>
      <c r="AF79" s="381">
        <v>18000</v>
      </c>
      <c r="AG79" s="381">
        <v>4000</v>
      </c>
      <c r="AH79" s="381">
        <v>0</v>
      </c>
      <c r="AI79" s="381">
        <v>0</v>
      </c>
      <c r="AJ79" s="381">
        <v>0</v>
      </c>
      <c r="AK79" s="381">
        <v>0</v>
      </c>
      <c r="AL79" s="381">
        <v>683972</v>
      </c>
      <c r="AM79" s="381"/>
      <c r="AN79" s="381">
        <v>328409</v>
      </c>
      <c r="AO79" s="381">
        <v>0</v>
      </c>
      <c r="AP79" s="381">
        <v>149651</v>
      </c>
      <c r="AQ79" s="381">
        <v>6056</v>
      </c>
      <c r="AR79" s="381">
        <v>34497</v>
      </c>
      <c r="AS79" s="381">
        <v>0</v>
      </c>
      <c r="AT79" s="381">
        <v>19361</v>
      </c>
      <c r="AU79" s="381">
        <v>2300</v>
      </c>
      <c r="AV79" s="381">
        <v>6000</v>
      </c>
      <c r="AW79" s="381">
        <v>1220</v>
      </c>
      <c r="AX79" s="381">
        <v>0</v>
      </c>
      <c r="AY79" s="381">
        <v>10797</v>
      </c>
      <c r="AZ79" s="381">
        <v>1000</v>
      </c>
      <c r="BA79" s="381">
        <v>15564</v>
      </c>
      <c r="BB79" s="381">
        <v>2000</v>
      </c>
      <c r="BC79" s="381">
        <v>16500</v>
      </c>
      <c r="BD79" s="381">
        <v>16342</v>
      </c>
      <c r="BE79" s="381">
        <v>5575</v>
      </c>
      <c r="BF79" s="381">
        <v>21172</v>
      </c>
      <c r="BG79" s="381">
        <v>0</v>
      </c>
      <c r="BH79" s="381">
        <v>0</v>
      </c>
      <c r="BI79" s="381">
        <v>2000</v>
      </c>
      <c r="BJ79" s="381">
        <v>0</v>
      </c>
      <c r="BK79" s="381">
        <v>0</v>
      </c>
      <c r="BL79" s="381">
        <v>1500</v>
      </c>
      <c r="BM79" s="381">
        <v>0</v>
      </c>
      <c r="BN79" s="381">
        <v>0</v>
      </c>
      <c r="BO79" s="381">
        <v>6290</v>
      </c>
      <c r="BP79" s="381">
        <v>4600</v>
      </c>
      <c r="BQ79" s="381">
        <v>3886</v>
      </c>
      <c r="BR79" s="381">
        <v>0</v>
      </c>
      <c r="BS79" s="381">
        <v>13175</v>
      </c>
      <c r="BT79" s="381">
        <v>3000</v>
      </c>
      <c r="BU79" s="381">
        <v>16902</v>
      </c>
      <c r="BV79" s="381">
        <v>0</v>
      </c>
      <c r="BW79" s="381">
        <v>0</v>
      </c>
      <c r="BX79" s="381">
        <v>0</v>
      </c>
      <c r="BY79" s="382">
        <v>0</v>
      </c>
      <c r="BZ79" s="382">
        <v>25000</v>
      </c>
      <c r="CA79" s="382">
        <v>712797</v>
      </c>
      <c r="CB79" s="381"/>
      <c r="CC79" s="381">
        <v>4884</v>
      </c>
      <c r="CD79" s="381">
        <v>0</v>
      </c>
      <c r="CE79" s="381">
        <v>0</v>
      </c>
      <c r="CF79" s="381">
        <v>4884</v>
      </c>
      <c r="CG79" s="381"/>
      <c r="CH79" s="381">
        <v>0</v>
      </c>
      <c r="CI79" s="381">
        <v>18224</v>
      </c>
      <c r="CJ79" s="381">
        <v>0</v>
      </c>
      <c r="CK79" s="381">
        <v>0</v>
      </c>
      <c r="CL79" s="381">
        <v>0</v>
      </c>
      <c r="CM79" s="381">
        <v>0</v>
      </c>
      <c r="CN79" s="381">
        <v>0</v>
      </c>
      <c r="CO79" s="381">
        <v>0</v>
      </c>
      <c r="CP79" s="381">
        <v>18224</v>
      </c>
      <c r="CQ79" s="381"/>
      <c r="CR79" s="381">
        <v>88128.750000000058</v>
      </c>
      <c r="CS79" s="381">
        <v>0</v>
      </c>
      <c r="CT79" s="381">
        <v>0</v>
      </c>
      <c r="CU79" s="381">
        <v>-0.47000000000116415</v>
      </c>
      <c r="CV79" s="381">
        <v>0</v>
      </c>
      <c r="CW79" s="381">
        <v>21927.5</v>
      </c>
      <c r="CX79" s="381">
        <v>110055.78000000006</v>
      </c>
      <c r="CY79" s="381"/>
      <c r="CZ79" s="117"/>
      <c r="DA79" s="384"/>
      <c r="DB79" s="117"/>
      <c r="DC79" s="384"/>
      <c r="DD79" s="385"/>
      <c r="DE79" s="117"/>
      <c r="DF79" s="117"/>
      <c r="DG79" s="381"/>
      <c r="DH79" s="386"/>
      <c r="DI79" s="387"/>
      <c r="DJ79" s="381"/>
      <c r="DK79" s="381">
        <v>138881.25000000006</v>
      </c>
      <c r="DL79" s="381">
        <v>13339.529999999999</v>
      </c>
      <c r="DM79" s="381">
        <v>152220.78000000006</v>
      </c>
      <c r="DN79" s="381">
        <v>110056.25000000006</v>
      </c>
      <c r="DO79" s="381">
        <v>-0.47000000000116415</v>
      </c>
      <c r="DP79" s="381">
        <v>110055.78000000006</v>
      </c>
      <c r="DQ79" s="383"/>
      <c r="DR79" s="381"/>
      <c r="DS79" s="388"/>
      <c r="DT79" s="388"/>
    </row>
    <row r="80" spans="1:124" ht="14.25">
      <c r="A80" s="380">
        <v>598</v>
      </c>
      <c r="B80" s="391">
        <v>9162051</v>
      </c>
      <c r="C80" s="68">
        <v>2051</v>
      </c>
      <c r="D80" s="120"/>
      <c r="E80" s="120" t="s">
        <v>227</v>
      </c>
      <c r="F80" s="120"/>
      <c r="G80" s="120"/>
      <c r="H80" s="68"/>
      <c r="I80" s="381">
        <v>317554.07000000007</v>
      </c>
      <c r="J80" s="381">
        <v>18974.77</v>
      </c>
      <c r="K80" s="381">
        <v>0</v>
      </c>
      <c r="L80" s="381">
        <v>5598.83</v>
      </c>
      <c r="M80" s="381">
        <v>0</v>
      </c>
      <c r="N80" s="381">
        <v>0</v>
      </c>
      <c r="O80" s="381">
        <v>342127.6700000001</v>
      </c>
      <c r="P80" s="381"/>
      <c r="Q80" s="381">
        <v>439643</v>
      </c>
      <c r="R80" s="381">
        <v>0</v>
      </c>
      <c r="S80" s="381">
        <v>15437</v>
      </c>
      <c r="T80" s="381">
        <v>0</v>
      </c>
      <c r="U80" s="381">
        <v>18180</v>
      </c>
      <c r="V80" s="381">
        <v>23048</v>
      </c>
      <c r="W80" s="381">
        <v>0</v>
      </c>
      <c r="X80" s="381">
        <v>0</v>
      </c>
      <c r="Y80" s="381">
        <v>6000</v>
      </c>
      <c r="Z80" s="381">
        <v>0</v>
      </c>
      <c r="AA80" s="381">
        <v>0</v>
      </c>
      <c r="AB80" s="381">
        <v>0</v>
      </c>
      <c r="AC80" s="381">
        <v>500</v>
      </c>
      <c r="AD80" s="381">
        <v>0</v>
      </c>
      <c r="AE80" s="381">
        <v>0</v>
      </c>
      <c r="AF80" s="381">
        <v>0</v>
      </c>
      <c r="AG80" s="381">
        <v>0</v>
      </c>
      <c r="AH80" s="381">
        <v>0</v>
      </c>
      <c r="AI80" s="381">
        <v>0</v>
      </c>
      <c r="AJ80" s="381">
        <v>0</v>
      </c>
      <c r="AK80" s="381">
        <v>0</v>
      </c>
      <c r="AL80" s="381">
        <v>502808</v>
      </c>
      <c r="AM80" s="381"/>
      <c r="AN80" s="381">
        <v>229544</v>
      </c>
      <c r="AO80" s="381">
        <v>10000</v>
      </c>
      <c r="AP80" s="381">
        <v>91639</v>
      </c>
      <c r="AQ80" s="381">
        <v>0</v>
      </c>
      <c r="AR80" s="381">
        <v>36378</v>
      </c>
      <c r="AS80" s="381">
        <v>0</v>
      </c>
      <c r="AT80" s="381">
        <v>8994</v>
      </c>
      <c r="AU80" s="381">
        <v>1750</v>
      </c>
      <c r="AV80" s="381">
        <v>3360</v>
      </c>
      <c r="AW80" s="381">
        <v>3108</v>
      </c>
      <c r="AX80" s="381">
        <v>743</v>
      </c>
      <c r="AY80" s="381">
        <v>9141</v>
      </c>
      <c r="AZ80" s="381">
        <v>3362</v>
      </c>
      <c r="BA80" s="381">
        <v>15752</v>
      </c>
      <c r="BB80" s="381">
        <v>1200</v>
      </c>
      <c r="BC80" s="381">
        <v>10000</v>
      </c>
      <c r="BD80" s="381">
        <v>3923</v>
      </c>
      <c r="BE80" s="381">
        <v>11031</v>
      </c>
      <c r="BF80" s="381">
        <v>43649</v>
      </c>
      <c r="BG80" s="381">
        <v>2500</v>
      </c>
      <c r="BH80" s="381">
        <v>0</v>
      </c>
      <c r="BI80" s="381">
        <v>900</v>
      </c>
      <c r="BJ80" s="381">
        <v>253</v>
      </c>
      <c r="BK80" s="381">
        <v>0</v>
      </c>
      <c r="BL80" s="381">
        <v>0</v>
      </c>
      <c r="BM80" s="381">
        <v>3490</v>
      </c>
      <c r="BN80" s="381">
        <v>0</v>
      </c>
      <c r="BO80" s="381">
        <v>1940</v>
      </c>
      <c r="BP80" s="381">
        <v>2430</v>
      </c>
      <c r="BQ80" s="381">
        <v>0</v>
      </c>
      <c r="BR80" s="381">
        <v>13072</v>
      </c>
      <c r="BS80" s="381">
        <v>2000</v>
      </c>
      <c r="BT80" s="381">
        <v>8465</v>
      </c>
      <c r="BU80" s="381">
        <v>12545</v>
      </c>
      <c r="BV80" s="381">
        <v>0</v>
      </c>
      <c r="BW80" s="381">
        <v>0</v>
      </c>
      <c r="BX80" s="381">
        <v>0</v>
      </c>
      <c r="BY80" s="382">
        <v>0</v>
      </c>
      <c r="BZ80" s="382">
        <v>0</v>
      </c>
      <c r="CA80" s="382">
        <v>531169</v>
      </c>
      <c r="CB80" s="381"/>
      <c r="CC80" s="381">
        <v>4562</v>
      </c>
      <c r="CD80" s="381">
        <v>0</v>
      </c>
      <c r="CE80" s="381">
        <v>0</v>
      </c>
      <c r="CF80" s="381">
        <v>4562</v>
      </c>
      <c r="CG80" s="381"/>
      <c r="CH80" s="381">
        <v>0</v>
      </c>
      <c r="CI80" s="381">
        <v>10161</v>
      </c>
      <c r="CJ80" s="381">
        <v>0</v>
      </c>
      <c r="CK80" s="381">
        <v>0</v>
      </c>
      <c r="CL80" s="381">
        <v>0</v>
      </c>
      <c r="CM80" s="381">
        <v>0</v>
      </c>
      <c r="CN80" s="381">
        <v>0</v>
      </c>
      <c r="CO80" s="381">
        <v>0</v>
      </c>
      <c r="CP80" s="381">
        <v>10161</v>
      </c>
      <c r="CQ80" s="381"/>
      <c r="CR80" s="381">
        <v>308167.84000000008</v>
      </c>
      <c r="CS80" s="381">
        <v>0</v>
      </c>
      <c r="CT80" s="381">
        <v>0</v>
      </c>
      <c r="CU80" s="381">
        <v>-0.17000000000007276</v>
      </c>
      <c r="CV80" s="381">
        <v>0</v>
      </c>
      <c r="CW80" s="381">
        <v>0</v>
      </c>
      <c r="CX80" s="381">
        <v>308167.6700000001</v>
      </c>
      <c r="CY80" s="381"/>
      <c r="CZ80" s="117"/>
      <c r="DA80" s="384"/>
      <c r="DB80" s="117"/>
      <c r="DC80" s="384"/>
      <c r="DD80" s="385"/>
      <c r="DE80" s="117"/>
      <c r="DF80" s="117"/>
      <c r="DG80" s="381"/>
      <c r="DH80" s="386"/>
      <c r="DI80" s="387"/>
      <c r="DJ80" s="381"/>
      <c r="DK80" s="381">
        <v>336528.84000000008</v>
      </c>
      <c r="DL80" s="381">
        <v>5598.83</v>
      </c>
      <c r="DM80" s="381">
        <v>342127.6700000001</v>
      </c>
      <c r="DN80" s="381">
        <v>308167.84000000008</v>
      </c>
      <c r="DO80" s="381">
        <v>-0.17000000000007276</v>
      </c>
      <c r="DP80" s="381">
        <v>308167.6700000001</v>
      </c>
      <c r="DQ80" s="383"/>
      <c r="DR80" s="381"/>
      <c r="DS80" s="388"/>
      <c r="DT80" s="388"/>
    </row>
    <row r="81" spans="1:124" ht="14.25">
      <c r="A81" s="380">
        <v>749</v>
      </c>
      <c r="B81" s="391">
        <v>9163060</v>
      </c>
      <c r="C81" s="68">
        <v>3060</v>
      </c>
      <c r="D81" s="120"/>
      <c r="E81" s="120" t="s">
        <v>184</v>
      </c>
      <c r="F81" s="120"/>
      <c r="G81" s="120"/>
      <c r="H81" s="68"/>
      <c r="I81" s="381">
        <v>203868.63999999993</v>
      </c>
      <c r="J81" s="381">
        <v>7807.1</v>
      </c>
      <c r="K81" s="381">
        <v>0</v>
      </c>
      <c r="L81" s="381">
        <v>4322.130000000001</v>
      </c>
      <c r="M81" s="381">
        <v>0</v>
      </c>
      <c r="N81" s="381">
        <v>0.36000000000001364</v>
      </c>
      <c r="O81" s="381">
        <v>215998.22999999992</v>
      </c>
      <c r="P81" s="381"/>
      <c r="Q81" s="381">
        <v>344352</v>
      </c>
      <c r="R81" s="381">
        <v>0</v>
      </c>
      <c r="S81" s="381">
        <v>10481</v>
      </c>
      <c r="T81" s="381">
        <v>0</v>
      </c>
      <c r="U81" s="381">
        <v>7575</v>
      </c>
      <c r="V81" s="381">
        <v>20725</v>
      </c>
      <c r="W81" s="381">
        <v>0</v>
      </c>
      <c r="X81" s="381">
        <v>0</v>
      </c>
      <c r="Y81" s="381">
        <v>9953</v>
      </c>
      <c r="Z81" s="381">
        <v>0</v>
      </c>
      <c r="AA81" s="381">
        <v>0</v>
      </c>
      <c r="AB81" s="381">
        <v>0</v>
      </c>
      <c r="AC81" s="381">
        <v>0</v>
      </c>
      <c r="AD81" s="381">
        <v>0</v>
      </c>
      <c r="AE81" s="381">
        <v>0</v>
      </c>
      <c r="AF81" s="381">
        <v>0</v>
      </c>
      <c r="AG81" s="381">
        <v>0</v>
      </c>
      <c r="AH81" s="381">
        <v>0</v>
      </c>
      <c r="AI81" s="381">
        <v>0</v>
      </c>
      <c r="AJ81" s="381">
        <v>0</v>
      </c>
      <c r="AK81" s="381">
        <v>0</v>
      </c>
      <c r="AL81" s="381">
        <v>393086</v>
      </c>
      <c r="AM81" s="381"/>
      <c r="AN81" s="381">
        <v>179925</v>
      </c>
      <c r="AO81" s="381">
        <v>0</v>
      </c>
      <c r="AP81" s="381">
        <v>51352</v>
      </c>
      <c r="AQ81" s="381">
        <v>13673</v>
      </c>
      <c r="AR81" s="381">
        <v>32242</v>
      </c>
      <c r="AS81" s="381">
        <v>11415</v>
      </c>
      <c r="AT81" s="381">
        <v>3847</v>
      </c>
      <c r="AU81" s="381">
        <v>1435</v>
      </c>
      <c r="AV81" s="381">
        <v>2060</v>
      </c>
      <c r="AW81" s="381">
        <v>1318</v>
      </c>
      <c r="AX81" s="381">
        <v>0</v>
      </c>
      <c r="AY81" s="381">
        <v>5149</v>
      </c>
      <c r="AZ81" s="381">
        <v>2976</v>
      </c>
      <c r="BA81" s="381">
        <v>1501</v>
      </c>
      <c r="BB81" s="381">
        <v>350</v>
      </c>
      <c r="BC81" s="381">
        <v>11620</v>
      </c>
      <c r="BD81" s="381">
        <v>7353</v>
      </c>
      <c r="BE81" s="381">
        <v>463</v>
      </c>
      <c r="BF81" s="381">
        <v>37691</v>
      </c>
      <c r="BG81" s="381">
        <v>5150</v>
      </c>
      <c r="BH81" s="381">
        <v>0</v>
      </c>
      <c r="BI81" s="381">
        <v>0</v>
      </c>
      <c r="BJ81" s="381">
        <v>0</v>
      </c>
      <c r="BK81" s="381">
        <v>0</v>
      </c>
      <c r="BL81" s="381">
        <v>0</v>
      </c>
      <c r="BM81" s="381">
        <v>2790</v>
      </c>
      <c r="BN81" s="381">
        <v>0</v>
      </c>
      <c r="BO81" s="381">
        <v>2130</v>
      </c>
      <c r="BP81" s="381">
        <v>577</v>
      </c>
      <c r="BQ81" s="381">
        <v>0</v>
      </c>
      <c r="BR81" s="381">
        <v>710</v>
      </c>
      <c r="BS81" s="381">
        <v>15000</v>
      </c>
      <c r="BT81" s="381">
        <v>2190</v>
      </c>
      <c r="BU81" s="381">
        <v>19971</v>
      </c>
      <c r="BV81" s="381">
        <v>0</v>
      </c>
      <c r="BW81" s="381">
        <v>0</v>
      </c>
      <c r="BX81" s="381">
        <v>0</v>
      </c>
      <c r="BY81" s="382">
        <v>0</v>
      </c>
      <c r="BZ81" s="382">
        <v>0</v>
      </c>
      <c r="CA81" s="382">
        <v>412888</v>
      </c>
      <c r="CB81" s="381"/>
      <c r="CC81" s="381">
        <v>4349</v>
      </c>
      <c r="CD81" s="381">
        <v>0</v>
      </c>
      <c r="CE81" s="381">
        <v>0</v>
      </c>
      <c r="CF81" s="393">
        <v>4349</v>
      </c>
      <c r="CG81" s="381"/>
      <c r="CH81" s="381">
        <v>0</v>
      </c>
      <c r="CI81" s="381">
        <v>8671</v>
      </c>
      <c r="CJ81" s="381">
        <v>0</v>
      </c>
      <c r="CK81" s="381">
        <v>0</v>
      </c>
      <c r="CL81" s="381">
        <v>0</v>
      </c>
      <c r="CM81" s="381">
        <v>0</v>
      </c>
      <c r="CN81" s="381">
        <v>0</v>
      </c>
      <c r="CO81" s="381">
        <v>0</v>
      </c>
      <c r="CP81" s="381">
        <v>8671</v>
      </c>
      <c r="CQ81" s="381"/>
      <c r="CR81" s="381">
        <v>191873.73999999993</v>
      </c>
      <c r="CS81" s="381">
        <v>0</v>
      </c>
      <c r="CT81" s="381">
        <v>0</v>
      </c>
      <c r="CU81" s="381">
        <v>0.13000000000101863</v>
      </c>
      <c r="CV81" s="381">
        <v>0</v>
      </c>
      <c r="CW81" s="381">
        <v>0.36000000000001364</v>
      </c>
      <c r="CX81" s="381">
        <v>191874.22999999992</v>
      </c>
      <c r="CY81" s="381"/>
      <c r="CZ81" s="117"/>
      <c r="DA81" s="384"/>
      <c r="DB81" s="117"/>
      <c r="DC81" s="384"/>
      <c r="DD81" s="385"/>
      <c r="DE81" s="117"/>
      <c r="DF81" s="117"/>
      <c r="DG81" s="381"/>
      <c r="DH81" s="386"/>
      <c r="DI81" s="387"/>
      <c r="DJ81" s="381"/>
      <c r="DK81" s="381">
        <v>211676.09999999992</v>
      </c>
      <c r="DL81" s="381">
        <v>4322.130000000001</v>
      </c>
      <c r="DM81" s="381">
        <v>215998.22999999992</v>
      </c>
      <c r="DN81" s="381">
        <v>191874.09999999992</v>
      </c>
      <c r="DO81" s="381">
        <v>0.13000000000101863</v>
      </c>
      <c r="DP81" s="381">
        <v>191874.22999999992</v>
      </c>
      <c r="DQ81" s="383"/>
      <c r="DR81" s="381"/>
      <c r="DS81" s="388"/>
      <c r="DT81" s="388"/>
    </row>
    <row r="82" spans="1:124" ht="15">
      <c r="A82" s="380">
        <v>763</v>
      </c>
      <c r="B82" s="391">
        <v>9162123</v>
      </c>
      <c r="C82" s="68">
        <v>2123</v>
      </c>
      <c r="D82" s="120"/>
      <c r="E82" s="120" t="s">
        <v>261</v>
      </c>
      <c r="F82" s="120"/>
      <c r="G82" s="120"/>
      <c r="H82" s="68"/>
      <c r="I82" s="381">
        <v>45300.869999999915</v>
      </c>
      <c r="J82" s="381">
        <v>-2556</v>
      </c>
      <c r="K82" s="381">
        <v>0</v>
      </c>
      <c r="L82" s="381">
        <v>7420.77</v>
      </c>
      <c r="M82" s="381">
        <v>0</v>
      </c>
      <c r="N82" s="381">
        <v>0</v>
      </c>
      <c r="O82" s="381">
        <v>50165.639999999912</v>
      </c>
      <c r="P82" s="389"/>
      <c r="Q82" s="381">
        <v>933059</v>
      </c>
      <c r="R82" s="381">
        <v>0</v>
      </c>
      <c r="S82" s="381">
        <v>59620</v>
      </c>
      <c r="T82" s="381">
        <v>0</v>
      </c>
      <c r="U82" s="381">
        <v>26005</v>
      </c>
      <c r="V82" s="381">
        <v>48999</v>
      </c>
      <c r="W82" s="381">
        <v>0</v>
      </c>
      <c r="X82" s="381">
        <v>0</v>
      </c>
      <c r="Y82" s="381">
        <v>10900</v>
      </c>
      <c r="Z82" s="381">
        <v>1800</v>
      </c>
      <c r="AA82" s="381">
        <v>0</v>
      </c>
      <c r="AB82" s="381">
        <v>0</v>
      </c>
      <c r="AC82" s="381">
        <v>0</v>
      </c>
      <c r="AD82" s="381">
        <v>31850</v>
      </c>
      <c r="AE82" s="381">
        <v>0</v>
      </c>
      <c r="AF82" s="381">
        <v>0</v>
      </c>
      <c r="AG82" s="381">
        <v>0</v>
      </c>
      <c r="AH82" s="381">
        <v>0</v>
      </c>
      <c r="AI82" s="381">
        <v>0</v>
      </c>
      <c r="AJ82" s="381">
        <v>0</v>
      </c>
      <c r="AK82" s="381">
        <v>0</v>
      </c>
      <c r="AL82" s="381">
        <v>1112233</v>
      </c>
      <c r="AM82" s="389"/>
      <c r="AN82" s="381">
        <v>639900</v>
      </c>
      <c r="AO82" s="381">
        <v>32880</v>
      </c>
      <c r="AP82" s="381">
        <v>194573</v>
      </c>
      <c r="AQ82" s="381">
        <v>24700</v>
      </c>
      <c r="AR82" s="381">
        <v>73200</v>
      </c>
      <c r="AS82" s="381">
        <v>0</v>
      </c>
      <c r="AT82" s="381">
        <v>35200</v>
      </c>
      <c r="AU82" s="381">
        <v>3842</v>
      </c>
      <c r="AV82" s="381">
        <v>4325</v>
      </c>
      <c r="AW82" s="381">
        <v>3649</v>
      </c>
      <c r="AX82" s="381">
        <v>500</v>
      </c>
      <c r="AY82" s="381">
        <v>13547</v>
      </c>
      <c r="AZ82" s="381">
        <v>15295</v>
      </c>
      <c r="BA82" s="381">
        <v>3507</v>
      </c>
      <c r="BB82" s="381">
        <v>3726</v>
      </c>
      <c r="BC82" s="381">
        <v>20600</v>
      </c>
      <c r="BD82" s="381">
        <v>11352</v>
      </c>
      <c r="BE82" s="381">
        <v>9602</v>
      </c>
      <c r="BF82" s="381">
        <v>37277</v>
      </c>
      <c r="BG82" s="381">
        <v>2740</v>
      </c>
      <c r="BH82" s="381">
        <v>0</v>
      </c>
      <c r="BI82" s="381">
        <v>11192</v>
      </c>
      <c r="BJ82" s="381">
        <v>7270</v>
      </c>
      <c r="BK82" s="381">
        <v>25000</v>
      </c>
      <c r="BL82" s="381">
        <v>500</v>
      </c>
      <c r="BM82" s="381">
        <v>5880</v>
      </c>
      <c r="BN82" s="381">
        <v>0</v>
      </c>
      <c r="BO82" s="381">
        <v>3231</v>
      </c>
      <c r="BP82" s="381">
        <v>9716</v>
      </c>
      <c r="BQ82" s="381">
        <v>0</v>
      </c>
      <c r="BR82" s="381">
        <v>37804</v>
      </c>
      <c r="BS82" s="381">
        <v>3200</v>
      </c>
      <c r="BT82" s="381">
        <v>35104</v>
      </c>
      <c r="BU82" s="381">
        <v>12718</v>
      </c>
      <c r="BV82" s="381">
        <v>0</v>
      </c>
      <c r="BW82" s="381">
        <v>0</v>
      </c>
      <c r="BX82" s="381">
        <v>0</v>
      </c>
      <c r="BY82" s="382">
        <v>0</v>
      </c>
      <c r="BZ82" s="382">
        <v>0</v>
      </c>
      <c r="CA82" s="382">
        <v>1282030</v>
      </c>
      <c r="CB82" s="389"/>
      <c r="CC82" s="381">
        <v>6025</v>
      </c>
      <c r="CD82" s="381">
        <v>0</v>
      </c>
      <c r="CE82" s="381">
        <v>0</v>
      </c>
      <c r="CF82" s="381">
        <v>6025</v>
      </c>
      <c r="CG82" s="389"/>
      <c r="CH82" s="381">
        <v>0</v>
      </c>
      <c r="CI82" s="381">
        <v>13446</v>
      </c>
      <c r="CJ82" s="381">
        <v>0</v>
      </c>
      <c r="CK82" s="381">
        <v>0</v>
      </c>
      <c r="CL82" s="381">
        <v>0</v>
      </c>
      <c r="CM82" s="381">
        <v>0</v>
      </c>
      <c r="CN82" s="381">
        <v>0</v>
      </c>
      <c r="CO82" s="381">
        <v>0</v>
      </c>
      <c r="CP82" s="381">
        <v>13446</v>
      </c>
      <c r="CQ82" s="390"/>
      <c r="CR82" s="381">
        <v>-127052.13000000009</v>
      </c>
      <c r="CS82" s="381">
        <v>0</v>
      </c>
      <c r="CT82" s="381">
        <v>0</v>
      </c>
      <c r="CU82" s="381">
        <v>-0.22999999999956344</v>
      </c>
      <c r="CV82" s="381">
        <v>0</v>
      </c>
      <c r="CW82" s="381">
        <v>0</v>
      </c>
      <c r="CX82" s="381">
        <v>-127052.36000000009</v>
      </c>
      <c r="CY82" s="381"/>
      <c r="CZ82" s="117"/>
      <c r="DA82" s="384"/>
      <c r="DB82" s="117"/>
      <c r="DC82" s="384"/>
      <c r="DD82" s="385"/>
      <c r="DE82" s="117"/>
      <c r="DF82" s="117"/>
      <c r="DG82" s="381"/>
      <c r="DH82" s="386"/>
      <c r="DI82" s="387"/>
      <c r="DJ82" s="381"/>
      <c r="DK82" s="381">
        <v>42744.869999999915</v>
      </c>
      <c r="DL82" s="381">
        <v>7420.77</v>
      </c>
      <c r="DM82" s="381">
        <v>50165.639999999912</v>
      </c>
      <c r="DN82" s="381">
        <v>-127052.13000000009</v>
      </c>
      <c r="DO82" s="381">
        <v>-0.22999999999956344</v>
      </c>
      <c r="DP82" s="381">
        <v>-127052.36000000009</v>
      </c>
      <c r="DQ82" s="383"/>
      <c r="DR82" s="381"/>
      <c r="DS82" s="388"/>
      <c r="DT82" s="388"/>
    </row>
    <row r="83" spans="1:124" ht="14.25">
      <c r="A83" s="380">
        <v>855</v>
      </c>
      <c r="B83" s="391">
        <v>9165204</v>
      </c>
      <c r="C83" s="68">
        <v>5204</v>
      </c>
      <c r="D83" s="120"/>
      <c r="E83" s="120" t="s">
        <v>762</v>
      </c>
      <c r="F83" s="120"/>
      <c r="G83" s="120"/>
      <c r="H83" s="68"/>
      <c r="I83" s="381">
        <v>190534.04999999958</v>
      </c>
      <c r="J83" s="381">
        <v>0</v>
      </c>
      <c r="K83" s="381">
        <v>0</v>
      </c>
      <c r="L83" s="381">
        <v>0</v>
      </c>
      <c r="M83" s="381">
        <v>0</v>
      </c>
      <c r="N83" s="381">
        <v>0</v>
      </c>
      <c r="O83" s="381">
        <v>190534.04999999958</v>
      </c>
      <c r="P83" s="381"/>
      <c r="Q83" s="381">
        <v>1561125.2</v>
      </c>
      <c r="R83" s="381">
        <v>0</v>
      </c>
      <c r="S83" s="381">
        <v>73002</v>
      </c>
      <c r="T83" s="381">
        <v>0</v>
      </c>
      <c r="U83" s="381">
        <v>54283.68</v>
      </c>
      <c r="V83" s="381">
        <v>108042.78</v>
      </c>
      <c r="W83" s="381">
        <v>17175</v>
      </c>
      <c r="X83" s="381">
        <v>11498</v>
      </c>
      <c r="Y83" s="381">
        <v>3936</v>
      </c>
      <c r="Z83" s="381">
        <v>0</v>
      </c>
      <c r="AA83" s="381">
        <v>0</v>
      </c>
      <c r="AB83" s="381">
        <v>0</v>
      </c>
      <c r="AC83" s="381">
        <v>0</v>
      </c>
      <c r="AD83" s="381">
        <v>6000</v>
      </c>
      <c r="AE83" s="381">
        <v>0</v>
      </c>
      <c r="AF83" s="381">
        <v>0</v>
      </c>
      <c r="AG83" s="381">
        <v>0</v>
      </c>
      <c r="AH83" s="381">
        <v>0</v>
      </c>
      <c r="AI83" s="381">
        <v>0</v>
      </c>
      <c r="AJ83" s="381">
        <v>0</v>
      </c>
      <c r="AK83" s="381">
        <v>0</v>
      </c>
      <c r="AL83" s="381">
        <v>1835062.66</v>
      </c>
      <c r="AM83" s="381"/>
      <c r="AN83" s="381">
        <v>1011519.5599999999</v>
      </c>
      <c r="AO83" s="381">
        <v>10905</v>
      </c>
      <c r="AP83" s="381">
        <v>287759.01</v>
      </c>
      <c r="AQ83" s="381">
        <v>86209.86</v>
      </c>
      <c r="AR83" s="381">
        <v>124512.97</v>
      </c>
      <c r="AS83" s="381">
        <v>0</v>
      </c>
      <c r="AT83" s="381">
        <v>49684.38</v>
      </c>
      <c r="AU83" s="381">
        <v>1202</v>
      </c>
      <c r="AV83" s="381">
        <v>0</v>
      </c>
      <c r="AW83" s="381">
        <v>7454.65</v>
      </c>
      <c r="AX83" s="381">
        <v>8202</v>
      </c>
      <c r="AY83" s="381">
        <v>13950</v>
      </c>
      <c r="AZ83" s="381">
        <v>5920</v>
      </c>
      <c r="BA83" s="381">
        <v>6000</v>
      </c>
      <c r="BB83" s="381">
        <v>5680</v>
      </c>
      <c r="BC83" s="381">
        <v>12610</v>
      </c>
      <c r="BD83" s="381">
        <v>10210</v>
      </c>
      <c r="BE83" s="381">
        <v>6143.8</v>
      </c>
      <c r="BF83" s="381">
        <v>27829</v>
      </c>
      <c r="BG83" s="381">
        <v>5800</v>
      </c>
      <c r="BH83" s="381">
        <v>1250</v>
      </c>
      <c r="BI83" s="381">
        <v>3598</v>
      </c>
      <c r="BJ83" s="381">
        <v>6489.31</v>
      </c>
      <c r="BK83" s="381">
        <v>7300</v>
      </c>
      <c r="BL83" s="381">
        <v>350</v>
      </c>
      <c r="BM83" s="381">
        <v>4811</v>
      </c>
      <c r="BN83" s="381">
        <v>0</v>
      </c>
      <c r="BO83" s="381">
        <v>6125</v>
      </c>
      <c r="BP83" s="381">
        <v>15049</v>
      </c>
      <c r="BQ83" s="381">
        <v>0</v>
      </c>
      <c r="BR83" s="381">
        <v>70849</v>
      </c>
      <c r="BS83" s="381">
        <v>4000</v>
      </c>
      <c r="BT83" s="381">
        <v>9660</v>
      </c>
      <c r="BU83" s="381">
        <v>21243</v>
      </c>
      <c r="BV83" s="381">
        <v>0</v>
      </c>
      <c r="BW83" s="381">
        <v>0</v>
      </c>
      <c r="BX83" s="381">
        <v>0</v>
      </c>
      <c r="BY83" s="382">
        <v>0</v>
      </c>
      <c r="BZ83" s="382">
        <v>0</v>
      </c>
      <c r="CA83" s="382">
        <v>1832316.5399999998</v>
      </c>
      <c r="CB83" s="381"/>
      <c r="CC83" s="381">
        <v>0</v>
      </c>
      <c r="CD83" s="381">
        <v>0</v>
      </c>
      <c r="CE83" s="381">
        <v>0</v>
      </c>
      <c r="CF83" s="381">
        <v>0</v>
      </c>
      <c r="CG83" s="381"/>
      <c r="CH83" s="381">
        <v>0</v>
      </c>
      <c r="CI83" s="381">
        <v>0</v>
      </c>
      <c r="CJ83" s="381">
        <v>0</v>
      </c>
      <c r="CK83" s="381">
        <v>0</v>
      </c>
      <c r="CL83" s="381">
        <v>0</v>
      </c>
      <c r="CM83" s="381">
        <v>0</v>
      </c>
      <c r="CN83" s="381">
        <v>0</v>
      </c>
      <c r="CO83" s="381">
        <v>0</v>
      </c>
      <c r="CP83" s="381">
        <v>0</v>
      </c>
      <c r="CQ83" s="381"/>
      <c r="CR83" s="381">
        <v>193280.16999999946</v>
      </c>
      <c r="CS83" s="381">
        <v>0</v>
      </c>
      <c r="CT83" s="381">
        <v>0</v>
      </c>
      <c r="CU83" s="381">
        <v>0</v>
      </c>
      <c r="CV83" s="381">
        <v>0</v>
      </c>
      <c r="CW83" s="381">
        <v>0</v>
      </c>
      <c r="CX83" s="381">
        <v>193280.16999999946</v>
      </c>
      <c r="CY83" s="381"/>
      <c r="CZ83" s="117"/>
      <c r="DA83" s="384"/>
      <c r="DB83" s="117"/>
      <c r="DC83" s="384"/>
      <c r="DD83" s="385"/>
      <c r="DE83" s="117"/>
      <c r="DF83" s="117"/>
      <c r="DG83" s="381"/>
      <c r="DH83" s="386"/>
      <c r="DI83" s="387"/>
      <c r="DJ83" s="381"/>
      <c r="DK83" s="381">
        <v>190534.04999999958</v>
      </c>
      <c r="DL83" s="381">
        <v>0</v>
      </c>
      <c r="DM83" s="381">
        <v>190534.04999999958</v>
      </c>
      <c r="DN83" s="381">
        <v>193280.16999999946</v>
      </c>
      <c r="DO83" s="381">
        <v>0</v>
      </c>
      <c r="DP83" s="381">
        <v>193280.16999999946</v>
      </c>
      <c r="DQ83" s="383"/>
      <c r="DR83" s="381"/>
      <c r="DS83" s="388"/>
      <c r="DT83" s="388"/>
    </row>
    <row r="84" spans="1:124" ht="14.25">
      <c r="A84" s="380">
        <v>891</v>
      </c>
      <c r="B84" s="391">
        <v>9162151</v>
      </c>
      <c r="C84" s="68">
        <v>2151</v>
      </c>
      <c r="D84" s="120"/>
      <c r="E84" s="120" t="s">
        <v>214</v>
      </c>
      <c r="F84" s="120"/>
      <c r="G84" s="120"/>
      <c r="H84" s="68"/>
      <c r="I84" s="381">
        <v>43472.329999999922</v>
      </c>
      <c r="J84" s="381">
        <v>13444.18</v>
      </c>
      <c r="K84" s="381">
        <v>0</v>
      </c>
      <c r="L84" s="381">
        <v>2864.26</v>
      </c>
      <c r="M84" s="381">
        <v>0</v>
      </c>
      <c r="N84" s="381">
        <v>0</v>
      </c>
      <c r="O84" s="381">
        <v>59780.769999999924</v>
      </c>
      <c r="P84" s="381"/>
      <c r="Q84" s="381">
        <v>1025365</v>
      </c>
      <c r="R84" s="381">
        <v>0</v>
      </c>
      <c r="S84" s="381">
        <v>86005</v>
      </c>
      <c r="T84" s="381">
        <v>0</v>
      </c>
      <c r="U84" s="381">
        <v>73700</v>
      </c>
      <c r="V84" s="381">
        <v>48413</v>
      </c>
      <c r="W84" s="381">
        <v>0</v>
      </c>
      <c r="X84" s="381">
        <v>6000</v>
      </c>
      <c r="Y84" s="381">
        <v>6000</v>
      </c>
      <c r="Z84" s="381">
        <v>0</v>
      </c>
      <c r="AA84" s="381">
        <v>0</v>
      </c>
      <c r="AB84" s="381">
        <v>0</v>
      </c>
      <c r="AC84" s="381">
        <v>0</v>
      </c>
      <c r="AD84" s="381">
        <v>0</v>
      </c>
      <c r="AE84" s="381">
        <v>0</v>
      </c>
      <c r="AF84" s="381">
        <v>0</v>
      </c>
      <c r="AG84" s="381">
        <v>0</v>
      </c>
      <c r="AH84" s="381">
        <v>0</v>
      </c>
      <c r="AI84" s="381">
        <v>0</v>
      </c>
      <c r="AJ84" s="381">
        <v>0</v>
      </c>
      <c r="AK84" s="381">
        <v>0</v>
      </c>
      <c r="AL84" s="381">
        <v>1245483</v>
      </c>
      <c r="AM84" s="381"/>
      <c r="AN84" s="381">
        <v>687951</v>
      </c>
      <c r="AO84" s="381">
        <v>25000</v>
      </c>
      <c r="AP84" s="381">
        <v>256473</v>
      </c>
      <c r="AQ84" s="381">
        <v>6328</v>
      </c>
      <c r="AR84" s="381">
        <v>84565</v>
      </c>
      <c r="AS84" s="381">
        <v>0</v>
      </c>
      <c r="AT84" s="381">
        <v>28551</v>
      </c>
      <c r="AU84" s="381">
        <v>5555</v>
      </c>
      <c r="AV84" s="381">
        <v>2300</v>
      </c>
      <c r="AW84" s="381">
        <v>570</v>
      </c>
      <c r="AX84" s="381">
        <v>0</v>
      </c>
      <c r="AY84" s="381">
        <v>17179</v>
      </c>
      <c r="AZ84" s="381">
        <v>5285</v>
      </c>
      <c r="BA84" s="381">
        <v>26359</v>
      </c>
      <c r="BB84" s="381">
        <v>5990</v>
      </c>
      <c r="BC84" s="381">
        <v>16905</v>
      </c>
      <c r="BD84" s="381">
        <v>24825</v>
      </c>
      <c r="BE84" s="381">
        <v>1950</v>
      </c>
      <c r="BF84" s="381">
        <v>52451</v>
      </c>
      <c r="BG84" s="381">
        <v>2900</v>
      </c>
      <c r="BH84" s="381">
        <v>0</v>
      </c>
      <c r="BI84" s="381">
        <v>0</v>
      </c>
      <c r="BJ84" s="381">
        <v>400</v>
      </c>
      <c r="BK84" s="381">
        <v>600</v>
      </c>
      <c r="BL84" s="381">
        <v>0</v>
      </c>
      <c r="BM84" s="381">
        <v>3800</v>
      </c>
      <c r="BN84" s="381">
        <v>0</v>
      </c>
      <c r="BO84" s="381">
        <v>5506</v>
      </c>
      <c r="BP84" s="381">
        <v>10094</v>
      </c>
      <c r="BQ84" s="381">
        <v>0</v>
      </c>
      <c r="BR84" s="381">
        <v>47912</v>
      </c>
      <c r="BS84" s="381">
        <v>5000</v>
      </c>
      <c r="BT84" s="381">
        <v>19764</v>
      </c>
      <c r="BU84" s="381">
        <v>15980</v>
      </c>
      <c r="BV84" s="381">
        <v>0</v>
      </c>
      <c r="BW84" s="381">
        <v>0</v>
      </c>
      <c r="BX84" s="381">
        <v>0</v>
      </c>
      <c r="BY84" s="382">
        <v>0</v>
      </c>
      <c r="BZ84" s="382">
        <v>0</v>
      </c>
      <c r="CA84" s="382">
        <v>1360193</v>
      </c>
      <c r="CB84" s="381"/>
      <c r="CC84" s="381">
        <v>6565</v>
      </c>
      <c r="CD84" s="381">
        <v>0</v>
      </c>
      <c r="CE84" s="381">
        <v>0</v>
      </c>
      <c r="CF84" s="381">
        <v>6565</v>
      </c>
      <c r="CG84" s="381"/>
      <c r="CH84" s="381">
        <v>0</v>
      </c>
      <c r="CI84" s="381">
        <v>9429</v>
      </c>
      <c r="CJ84" s="381">
        <v>0</v>
      </c>
      <c r="CK84" s="381">
        <v>0</v>
      </c>
      <c r="CL84" s="381">
        <v>0</v>
      </c>
      <c r="CM84" s="381">
        <v>0</v>
      </c>
      <c r="CN84" s="381">
        <v>0</v>
      </c>
      <c r="CO84" s="381">
        <v>0</v>
      </c>
      <c r="CP84" s="381">
        <v>9429</v>
      </c>
      <c r="CQ84" s="381"/>
      <c r="CR84" s="381">
        <v>-57793.490000000078</v>
      </c>
      <c r="CS84" s="381">
        <v>0</v>
      </c>
      <c r="CT84" s="381">
        <v>0</v>
      </c>
      <c r="CU84" s="381">
        <v>0.26000000000021828</v>
      </c>
      <c r="CV84" s="381">
        <v>0</v>
      </c>
      <c r="CW84" s="381">
        <v>0</v>
      </c>
      <c r="CX84" s="381">
        <v>-57793.230000000076</v>
      </c>
      <c r="CY84" s="381"/>
      <c r="CZ84" s="117"/>
      <c r="DA84" s="384"/>
      <c r="DB84" s="117"/>
      <c r="DC84" s="384"/>
      <c r="DD84" s="385"/>
      <c r="DE84" s="117"/>
      <c r="DF84" s="117"/>
      <c r="DG84" s="381"/>
      <c r="DH84" s="386"/>
      <c r="DI84" s="387"/>
      <c r="DJ84" s="381"/>
      <c r="DK84" s="381">
        <v>56916.509999999922</v>
      </c>
      <c r="DL84" s="381">
        <v>2864.26</v>
      </c>
      <c r="DM84" s="381">
        <v>59780.769999999924</v>
      </c>
      <c r="DN84" s="381">
        <v>-57793.490000000078</v>
      </c>
      <c r="DO84" s="381">
        <v>0.26000000000021828</v>
      </c>
      <c r="DP84" s="381">
        <v>-57793.230000000076</v>
      </c>
      <c r="DQ84" s="383"/>
      <c r="DR84" s="381"/>
      <c r="DS84" s="388"/>
      <c r="DT84" s="388"/>
    </row>
    <row r="85" spans="1:124" ht="15">
      <c r="A85" s="380">
        <v>645</v>
      </c>
      <c r="B85" s="391">
        <v>9163035</v>
      </c>
      <c r="C85" s="68">
        <v>3035</v>
      </c>
      <c r="D85" s="120"/>
      <c r="E85" s="120" t="s">
        <v>723</v>
      </c>
      <c r="F85" s="120"/>
      <c r="G85" s="120"/>
      <c r="H85" s="68"/>
      <c r="I85" s="381">
        <v>107386.96999999987</v>
      </c>
      <c r="J85" s="381">
        <v>4375.8899999999994</v>
      </c>
      <c r="K85" s="381">
        <v>0</v>
      </c>
      <c r="L85" s="381">
        <v>17081.309999999994</v>
      </c>
      <c r="M85" s="381">
        <v>0</v>
      </c>
      <c r="N85" s="381">
        <v>0</v>
      </c>
      <c r="O85" s="381">
        <v>128844.16999999987</v>
      </c>
      <c r="P85" s="389"/>
      <c r="Q85" s="381">
        <v>1659979</v>
      </c>
      <c r="R85" s="381">
        <v>0</v>
      </c>
      <c r="S85" s="381">
        <v>65301</v>
      </c>
      <c r="T85" s="381">
        <v>0</v>
      </c>
      <c r="U85" s="381">
        <v>75080</v>
      </c>
      <c r="V85" s="381">
        <v>103704</v>
      </c>
      <c r="W85" s="381">
        <v>33519</v>
      </c>
      <c r="X85" s="381">
        <v>3500</v>
      </c>
      <c r="Y85" s="381">
        <v>80212</v>
      </c>
      <c r="Z85" s="381">
        <v>0</v>
      </c>
      <c r="AA85" s="381">
        <v>5940</v>
      </c>
      <c r="AB85" s="381">
        <v>0</v>
      </c>
      <c r="AC85" s="381">
        <v>42000</v>
      </c>
      <c r="AD85" s="381">
        <v>0</v>
      </c>
      <c r="AE85" s="381">
        <v>0</v>
      </c>
      <c r="AF85" s="381">
        <v>215000</v>
      </c>
      <c r="AG85" s="381">
        <v>36717</v>
      </c>
      <c r="AH85" s="381">
        <v>0</v>
      </c>
      <c r="AI85" s="381">
        <v>0</v>
      </c>
      <c r="AJ85" s="381">
        <v>0</v>
      </c>
      <c r="AK85" s="381">
        <v>0</v>
      </c>
      <c r="AL85" s="381">
        <v>2320952</v>
      </c>
      <c r="AM85" s="389"/>
      <c r="AN85" s="381">
        <v>993394</v>
      </c>
      <c r="AO85" s="381">
        <v>1500</v>
      </c>
      <c r="AP85" s="381">
        <v>462661</v>
      </c>
      <c r="AQ85" s="381">
        <v>12261</v>
      </c>
      <c r="AR85" s="381">
        <v>104644</v>
      </c>
      <c r="AS85" s="381">
        <v>0</v>
      </c>
      <c r="AT85" s="381">
        <v>99596</v>
      </c>
      <c r="AU85" s="381">
        <v>10225</v>
      </c>
      <c r="AV85" s="381">
        <v>4250</v>
      </c>
      <c r="AW85" s="381">
        <v>9760</v>
      </c>
      <c r="AX85" s="381">
        <v>0</v>
      </c>
      <c r="AY85" s="381">
        <v>27811</v>
      </c>
      <c r="AZ85" s="381">
        <v>4876</v>
      </c>
      <c r="BA85" s="381">
        <v>51177</v>
      </c>
      <c r="BB85" s="381">
        <v>8000</v>
      </c>
      <c r="BC85" s="381">
        <v>33000</v>
      </c>
      <c r="BD85" s="381">
        <v>53585</v>
      </c>
      <c r="BE85" s="381">
        <v>7325</v>
      </c>
      <c r="BF85" s="381">
        <v>78005</v>
      </c>
      <c r="BG85" s="381">
        <v>5328</v>
      </c>
      <c r="BH85" s="381">
        <v>0</v>
      </c>
      <c r="BI85" s="381">
        <v>7718</v>
      </c>
      <c r="BJ85" s="381">
        <v>11335</v>
      </c>
      <c r="BK85" s="381">
        <v>2000</v>
      </c>
      <c r="BL85" s="381">
        <v>0</v>
      </c>
      <c r="BM85" s="381">
        <v>21297</v>
      </c>
      <c r="BN85" s="381">
        <v>0</v>
      </c>
      <c r="BO85" s="381">
        <v>5286</v>
      </c>
      <c r="BP85" s="381">
        <v>17166</v>
      </c>
      <c r="BQ85" s="381">
        <v>29052</v>
      </c>
      <c r="BR85" s="381">
        <v>70650</v>
      </c>
      <c r="BS85" s="381">
        <v>1500</v>
      </c>
      <c r="BT85" s="381">
        <v>35258</v>
      </c>
      <c r="BU85" s="381">
        <v>27065</v>
      </c>
      <c r="BV85" s="381">
        <v>0</v>
      </c>
      <c r="BW85" s="381">
        <v>0</v>
      </c>
      <c r="BX85" s="381">
        <v>0</v>
      </c>
      <c r="BY85" s="382">
        <v>212670</v>
      </c>
      <c r="BZ85" s="382">
        <v>39047</v>
      </c>
      <c r="CA85" s="382">
        <v>2447442</v>
      </c>
      <c r="CB85" s="389"/>
      <c r="CC85" s="381">
        <v>10078</v>
      </c>
      <c r="CD85" s="381">
        <v>0</v>
      </c>
      <c r="CE85" s="381">
        <v>0</v>
      </c>
      <c r="CF85" s="381">
        <v>10078</v>
      </c>
      <c r="CG85" s="389"/>
      <c r="CH85" s="381">
        <v>0</v>
      </c>
      <c r="CI85" s="381">
        <v>27159</v>
      </c>
      <c r="CJ85" s="381">
        <v>0</v>
      </c>
      <c r="CK85" s="381">
        <v>0</v>
      </c>
      <c r="CL85" s="381">
        <v>0</v>
      </c>
      <c r="CM85" s="381">
        <v>0</v>
      </c>
      <c r="CN85" s="381">
        <v>0</v>
      </c>
      <c r="CO85" s="381">
        <v>0</v>
      </c>
      <c r="CP85" s="381">
        <v>27159</v>
      </c>
      <c r="CQ85" s="390"/>
      <c r="CR85" s="381">
        <v>-14727.14000000013</v>
      </c>
      <c r="CS85" s="381">
        <v>0</v>
      </c>
      <c r="CT85" s="381">
        <v>0</v>
      </c>
      <c r="CU85" s="381">
        <v>0.30999999999403371</v>
      </c>
      <c r="CV85" s="381">
        <v>0</v>
      </c>
      <c r="CW85" s="381">
        <v>0</v>
      </c>
      <c r="CX85" s="381">
        <v>-14726.830000000136</v>
      </c>
      <c r="CY85" s="381"/>
      <c r="CZ85" s="117"/>
      <c r="DA85" s="384"/>
      <c r="DB85" s="117"/>
      <c r="DC85" s="384"/>
      <c r="DD85" s="385"/>
      <c r="DE85" s="117"/>
      <c r="DF85" s="117"/>
      <c r="DG85" s="381"/>
      <c r="DH85" s="386"/>
      <c r="DI85" s="387"/>
      <c r="DJ85" s="381"/>
      <c r="DK85" s="381">
        <v>111762.85999999987</v>
      </c>
      <c r="DL85" s="381">
        <v>17081.309999999994</v>
      </c>
      <c r="DM85" s="381">
        <v>128844.16999999987</v>
      </c>
      <c r="DN85" s="381">
        <v>-14727.14000000013</v>
      </c>
      <c r="DO85" s="381">
        <v>0.30999999999403371</v>
      </c>
      <c r="DP85" s="381">
        <v>-14726.830000000136</v>
      </c>
      <c r="DQ85" s="383"/>
      <c r="DR85" s="381"/>
      <c r="DS85" s="388"/>
      <c r="DT85" s="388"/>
    </row>
    <row r="86" spans="1:124" ht="14.25">
      <c r="A86" s="380">
        <v>717</v>
      </c>
      <c r="B86" s="391">
        <v>9162081</v>
      </c>
      <c r="C86" s="68">
        <v>2081</v>
      </c>
      <c r="D86" s="120"/>
      <c r="E86" s="120" t="s">
        <v>190</v>
      </c>
      <c r="F86" s="120"/>
      <c r="G86" s="120"/>
      <c r="H86" s="68"/>
      <c r="I86" s="381">
        <v>127814.63000000012</v>
      </c>
      <c r="J86" s="381">
        <v>16387.189999999999</v>
      </c>
      <c r="K86" s="381">
        <v>0</v>
      </c>
      <c r="L86" s="381">
        <v>2723.09</v>
      </c>
      <c r="M86" s="381">
        <v>0</v>
      </c>
      <c r="N86" s="381">
        <v>0</v>
      </c>
      <c r="O86" s="381">
        <v>146924.91000000012</v>
      </c>
      <c r="P86" s="381"/>
      <c r="Q86" s="381">
        <v>1091708</v>
      </c>
      <c r="R86" s="381">
        <v>0</v>
      </c>
      <c r="S86" s="381">
        <v>67606</v>
      </c>
      <c r="T86" s="381">
        <v>0</v>
      </c>
      <c r="U86" s="381">
        <v>62815</v>
      </c>
      <c r="V86" s="381">
        <v>46142</v>
      </c>
      <c r="W86" s="381">
        <v>0</v>
      </c>
      <c r="X86" s="381">
        <v>0</v>
      </c>
      <c r="Y86" s="381">
        <v>34000</v>
      </c>
      <c r="Z86" s="381">
        <v>0</v>
      </c>
      <c r="AA86" s="381">
        <v>0</v>
      </c>
      <c r="AB86" s="381">
        <v>0</v>
      </c>
      <c r="AC86" s="381">
        <v>7000</v>
      </c>
      <c r="AD86" s="381">
        <v>500</v>
      </c>
      <c r="AE86" s="381">
        <v>0</v>
      </c>
      <c r="AF86" s="381">
        <v>0</v>
      </c>
      <c r="AG86" s="381">
        <v>0</v>
      </c>
      <c r="AH86" s="381">
        <v>0</v>
      </c>
      <c r="AI86" s="381">
        <v>0</v>
      </c>
      <c r="AJ86" s="381">
        <v>0</v>
      </c>
      <c r="AK86" s="381">
        <v>0</v>
      </c>
      <c r="AL86" s="381">
        <v>1309771</v>
      </c>
      <c r="AM86" s="381"/>
      <c r="AN86" s="381">
        <v>705285</v>
      </c>
      <c r="AO86" s="381">
        <v>11000</v>
      </c>
      <c r="AP86" s="381">
        <v>284499</v>
      </c>
      <c r="AQ86" s="381">
        <v>29999</v>
      </c>
      <c r="AR86" s="381">
        <v>39345</v>
      </c>
      <c r="AS86" s="381">
        <v>0</v>
      </c>
      <c r="AT86" s="381">
        <v>0</v>
      </c>
      <c r="AU86" s="381">
        <v>5801</v>
      </c>
      <c r="AV86" s="381">
        <v>8785</v>
      </c>
      <c r="AW86" s="381">
        <v>4595</v>
      </c>
      <c r="AX86" s="381">
        <v>0</v>
      </c>
      <c r="AY86" s="381">
        <v>19582</v>
      </c>
      <c r="AZ86" s="381">
        <v>9667</v>
      </c>
      <c r="BA86" s="381">
        <v>3000</v>
      </c>
      <c r="BB86" s="381">
        <v>5000</v>
      </c>
      <c r="BC86" s="381">
        <v>17500</v>
      </c>
      <c r="BD86" s="381">
        <v>28938</v>
      </c>
      <c r="BE86" s="381">
        <v>3600</v>
      </c>
      <c r="BF86" s="381">
        <v>61912</v>
      </c>
      <c r="BG86" s="381">
        <v>3300</v>
      </c>
      <c r="BH86" s="381">
        <v>0</v>
      </c>
      <c r="BI86" s="381">
        <v>6000</v>
      </c>
      <c r="BJ86" s="381">
        <v>2550</v>
      </c>
      <c r="BK86" s="381">
        <v>2000</v>
      </c>
      <c r="BL86" s="381">
        <v>0</v>
      </c>
      <c r="BM86" s="381">
        <v>5363</v>
      </c>
      <c r="BN86" s="381">
        <v>0</v>
      </c>
      <c r="BO86" s="381">
        <v>1850</v>
      </c>
      <c r="BP86" s="381">
        <v>10526</v>
      </c>
      <c r="BQ86" s="381">
        <v>0</v>
      </c>
      <c r="BR86" s="381">
        <v>51749</v>
      </c>
      <c r="BS86" s="381">
        <v>500</v>
      </c>
      <c r="BT86" s="381">
        <v>42074</v>
      </c>
      <c r="BU86" s="381">
        <v>25101</v>
      </c>
      <c r="BV86" s="381">
        <v>0</v>
      </c>
      <c r="BW86" s="381">
        <v>0</v>
      </c>
      <c r="BX86" s="381">
        <v>0</v>
      </c>
      <c r="BY86" s="382">
        <v>0</v>
      </c>
      <c r="BZ86" s="382">
        <v>0</v>
      </c>
      <c r="CA86" s="382">
        <v>1389521</v>
      </c>
      <c r="CB86" s="381"/>
      <c r="CC86" s="381">
        <v>6222</v>
      </c>
      <c r="CD86" s="381">
        <v>0</v>
      </c>
      <c r="CE86" s="381">
        <v>0</v>
      </c>
      <c r="CF86" s="381">
        <v>6222</v>
      </c>
      <c r="CG86" s="381"/>
      <c r="CH86" s="381">
        <v>0</v>
      </c>
      <c r="CI86" s="381">
        <v>6222</v>
      </c>
      <c r="CJ86" s="381">
        <v>0</v>
      </c>
      <c r="CK86" s="381">
        <v>0</v>
      </c>
      <c r="CL86" s="381">
        <v>0</v>
      </c>
      <c r="CM86" s="381">
        <v>0</v>
      </c>
      <c r="CN86" s="381">
        <v>0</v>
      </c>
      <c r="CO86" s="381">
        <v>2723</v>
      </c>
      <c r="CP86" s="381">
        <v>8945</v>
      </c>
      <c r="CQ86" s="381"/>
      <c r="CR86" s="381">
        <v>64451.820000000123</v>
      </c>
      <c r="CS86" s="381">
        <v>0</v>
      </c>
      <c r="CT86" s="381">
        <v>0</v>
      </c>
      <c r="CU86" s="381">
        <v>9.0000000000145519E-2</v>
      </c>
      <c r="CV86" s="381">
        <v>0</v>
      </c>
      <c r="CW86" s="381">
        <v>0</v>
      </c>
      <c r="CX86" s="381">
        <v>64451.91000000012</v>
      </c>
      <c r="CY86" s="381"/>
      <c r="CZ86" s="117"/>
      <c r="DA86" s="384"/>
      <c r="DB86" s="117"/>
      <c r="DC86" s="384"/>
      <c r="DD86" s="385"/>
      <c r="DE86" s="117"/>
      <c r="DF86" s="117"/>
      <c r="DG86" s="381"/>
      <c r="DH86" s="386"/>
      <c r="DI86" s="387"/>
      <c r="DJ86" s="381"/>
      <c r="DK86" s="381">
        <v>144201.82000000012</v>
      </c>
      <c r="DL86" s="381">
        <v>2723.09</v>
      </c>
      <c r="DM86" s="381">
        <v>146924.91000000012</v>
      </c>
      <c r="DN86" s="381">
        <v>64451.820000000123</v>
      </c>
      <c r="DO86" s="381">
        <v>9.0000000000145519E-2</v>
      </c>
      <c r="DP86" s="381">
        <v>64451.91000000012</v>
      </c>
      <c r="DQ86" s="383"/>
      <c r="DR86" s="381"/>
      <c r="DS86" s="388"/>
      <c r="DT86" s="388"/>
    </row>
    <row r="87" spans="1:124" ht="14.25">
      <c r="A87" s="380">
        <v>667</v>
      </c>
      <c r="B87" s="391">
        <v>9163041</v>
      </c>
      <c r="C87" s="68">
        <v>3041</v>
      </c>
      <c r="D87" s="120"/>
      <c r="E87" s="120" t="s">
        <v>266</v>
      </c>
      <c r="F87" s="120"/>
      <c r="G87" s="120"/>
      <c r="H87" s="68"/>
      <c r="I87" s="381">
        <v>86482.250000000087</v>
      </c>
      <c r="J87" s="381">
        <v>3084</v>
      </c>
      <c r="K87" s="381">
        <v>0</v>
      </c>
      <c r="L87" s="381">
        <v>13944.87</v>
      </c>
      <c r="M87" s="381">
        <v>0</v>
      </c>
      <c r="N87" s="381">
        <v>0</v>
      </c>
      <c r="O87" s="381">
        <v>103511.12000000008</v>
      </c>
      <c r="P87" s="381"/>
      <c r="Q87" s="381">
        <v>568155</v>
      </c>
      <c r="R87" s="381">
        <v>0</v>
      </c>
      <c r="S87" s="381">
        <v>9563</v>
      </c>
      <c r="T87" s="381">
        <v>0</v>
      </c>
      <c r="U87" s="381">
        <v>12820</v>
      </c>
      <c r="V87" s="381">
        <v>31911</v>
      </c>
      <c r="W87" s="381">
        <v>0</v>
      </c>
      <c r="X87" s="381">
        <v>0</v>
      </c>
      <c r="Y87" s="381">
        <v>19000</v>
      </c>
      <c r="Z87" s="381">
        <v>0</v>
      </c>
      <c r="AA87" s="381">
        <v>0</v>
      </c>
      <c r="AB87" s="381">
        <v>0</v>
      </c>
      <c r="AC87" s="381">
        <v>6000</v>
      </c>
      <c r="AD87" s="381">
        <v>0</v>
      </c>
      <c r="AE87" s="381">
        <v>0</v>
      </c>
      <c r="AF87" s="381">
        <v>0</v>
      </c>
      <c r="AG87" s="381">
        <v>0</v>
      </c>
      <c r="AH87" s="381">
        <v>0</v>
      </c>
      <c r="AI87" s="381">
        <v>0</v>
      </c>
      <c r="AJ87" s="381">
        <v>0</v>
      </c>
      <c r="AK87" s="381">
        <v>0</v>
      </c>
      <c r="AL87" s="381">
        <v>647449</v>
      </c>
      <c r="AM87" s="381"/>
      <c r="AN87" s="381">
        <v>326289</v>
      </c>
      <c r="AO87" s="381">
        <v>11980</v>
      </c>
      <c r="AP87" s="381">
        <v>94724</v>
      </c>
      <c r="AQ87" s="381">
        <v>9305</v>
      </c>
      <c r="AR87" s="381">
        <v>39740</v>
      </c>
      <c r="AS87" s="381">
        <v>0</v>
      </c>
      <c r="AT87" s="381">
        <v>23151</v>
      </c>
      <c r="AU87" s="381">
        <v>2000</v>
      </c>
      <c r="AV87" s="381">
        <v>5600</v>
      </c>
      <c r="AW87" s="381">
        <v>1529</v>
      </c>
      <c r="AX87" s="381">
        <v>317</v>
      </c>
      <c r="AY87" s="381">
        <v>11247</v>
      </c>
      <c r="AZ87" s="381">
        <v>3944</v>
      </c>
      <c r="BA87" s="381">
        <v>21764</v>
      </c>
      <c r="BB87" s="381">
        <v>1400</v>
      </c>
      <c r="BC87" s="381">
        <v>15000</v>
      </c>
      <c r="BD87" s="381">
        <v>8234</v>
      </c>
      <c r="BE87" s="381">
        <v>4000</v>
      </c>
      <c r="BF87" s="381">
        <v>22481</v>
      </c>
      <c r="BG87" s="381">
        <v>2800</v>
      </c>
      <c r="BH87" s="381">
        <v>0</v>
      </c>
      <c r="BI87" s="381">
        <v>7900</v>
      </c>
      <c r="BJ87" s="381">
        <v>0</v>
      </c>
      <c r="BK87" s="381">
        <v>0</v>
      </c>
      <c r="BL87" s="381">
        <v>0</v>
      </c>
      <c r="BM87" s="381">
        <v>5147</v>
      </c>
      <c r="BN87" s="381">
        <v>0</v>
      </c>
      <c r="BO87" s="381">
        <v>3600</v>
      </c>
      <c r="BP87" s="381">
        <v>4643</v>
      </c>
      <c r="BQ87" s="381">
        <v>0</v>
      </c>
      <c r="BR87" s="381">
        <v>20017</v>
      </c>
      <c r="BS87" s="381">
        <v>1800</v>
      </c>
      <c r="BT87" s="381">
        <v>5620</v>
      </c>
      <c r="BU87" s="381">
        <v>9453</v>
      </c>
      <c r="BV87" s="381">
        <v>0</v>
      </c>
      <c r="BW87" s="381">
        <v>0</v>
      </c>
      <c r="BX87" s="381">
        <v>0</v>
      </c>
      <c r="BY87" s="382">
        <v>0</v>
      </c>
      <c r="BZ87" s="382">
        <v>0</v>
      </c>
      <c r="CA87" s="382">
        <v>663685</v>
      </c>
      <c r="CB87" s="381"/>
      <c r="CC87" s="381">
        <v>4900</v>
      </c>
      <c r="CD87" s="381">
        <v>0</v>
      </c>
      <c r="CE87" s="381">
        <v>0</v>
      </c>
      <c r="CF87" s="381">
        <v>4900</v>
      </c>
      <c r="CG87" s="381"/>
      <c r="CH87" s="381">
        <v>0</v>
      </c>
      <c r="CI87" s="381">
        <v>18845</v>
      </c>
      <c r="CJ87" s="381">
        <v>0</v>
      </c>
      <c r="CK87" s="381">
        <v>0</v>
      </c>
      <c r="CL87" s="381">
        <v>0</v>
      </c>
      <c r="CM87" s="381">
        <v>0</v>
      </c>
      <c r="CN87" s="381">
        <v>0</v>
      </c>
      <c r="CO87" s="381">
        <v>0</v>
      </c>
      <c r="CP87" s="381">
        <v>18845</v>
      </c>
      <c r="CQ87" s="381"/>
      <c r="CR87" s="381">
        <v>73330.250000000087</v>
      </c>
      <c r="CS87" s="381">
        <v>0</v>
      </c>
      <c r="CT87" s="381">
        <v>0</v>
      </c>
      <c r="CU87" s="381">
        <v>-0.12999999999919964</v>
      </c>
      <c r="CV87" s="381">
        <v>0</v>
      </c>
      <c r="CW87" s="381">
        <v>0</v>
      </c>
      <c r="CX87" s="381">
        <v>73330.120000000083</v>
      </c>
      <c r="CY87" s="381"/>
      <c r="CZ87" s="117"/>
      <c r="DA87" s="384"/>
      <c r="DB87" s="117"/>
      <c r="DC87" s="384"/>
      <c r="DD87" s="385"/>
      <c r="DE87" s="117"/>
      <c r="DF87" s="117"/>
      <c r="DG87" s="381"/>
      <c r="DH87" s="386"/>
      <c r="DI87" s="387"/>
      <c r="DJ87" s="381"/>
      <c r="DK87" s="381">
        <v>89566.250000000087</v>
      </c>
      <c r="DL87" s="381">
        <v>13944.87</v>
      </c>
      <c r="DM87" s="381">
        <v>103511.12000000008</v>
      </c>
      <c r="DN87" s="381">
        <v>73330.250000000087</v>
      </c>
      <c r="DO87" s="381">
        <v>-0.12999999999919964</v>
      </c>
      <c r="DP87" s="381">
        <v>73330.120000000083</v>
      </c>
      <c r="DQ87" s="383"/>
      <c r="DR87" s="381"/>
      <c r="DS87" s="388"/>
      <c r="DT87" s="388"/>
    </row>
    <row r="88" spans="1:124" ht="14.25">
      <c r="A88" s="380">
        <v>640</v>
      </c>
      <c r="B88" s="391">
        <v>9162107</v>
      </c>
      <c r="C88" s="68">
        <v>2107</v>
      </c>
      <c r="D88" s="120"/>
      <c r="E88" s="120" t="s">
        <v>187</v>
      </c>
      <c r="F88" s="120"/>
      <c r="G88" s="120"/>
      <c r="H88" s="68"/>
      <c r="I88" s="381">
        <v>115357.34000000007</v>
      </c>
      <c r="J88" s="381">
        <v>5087.55</v>
      </c>
      <c r="K88" s="381">
        <v>0</v>
      </c>
      <c r="L88" s="381">
        <v>1859.2499999999982</v>
      </c>
      <c r="M88" s="381">
        <v>0</v>
      </c>
      <c r="N88" s="381">
        <v>0</v>
      </c>
      <c r="O88" s="381">
        <v>122304.14000000007</v>
      </c>
      <c r="P88" s="381"/>
      <c r="Q88" s="381">
        <v>821509</v>
      </c>
      <c r="R88" s="381">
        <v>0</v>
      </c>
      <c r="S88" s="381">
        <v>10581</v>
      </c>
      <c r="T88" s="381">
        <v>0</v>
      </c>
      <c r="U88" s="381">
        <v>52940</v>
      </c>
      <c r="V88" s="381">
        <v>38013</v>
      </c>
      <c r="W88" s="381">
        <v>0</v>
      </c>
      <c r="X88" s="381">
        <v>0</v>
      </c>
      <c r="Y88" s="381">
        <v>5500</v>
      </c>
      <c r="Z88" s="381">
        <v>0</v>
      </c>
      <c r="AA88" s="381">
        <v>0</v>
      </c>
      <c r="AB88" s="381">
        <v>0</v>
      </c>
      <c r="AC88" s="381">
        <v>11652</v>
      </c>
      <c r="AD88" s="381">
        <v>6500</v>
      </c>
      <c r="AE88" s="381">
        <v>0</v>
      </c>
      <c r="AF88" s="381">
        <v>0</v>
      </c>
      <c r="AG88" s="381">
        <v>0</v>
      </c>
      <c r="AH88" s="381">
        <v>0</v>
      </c>
      <c r="AI88" s="381">
        <v>0</v>
      </c>
      <c r="AJ88" s="381">
        <v>0</v>
      </c>
      <c r="AK88" s="381">
        <v>0</v>
      </c>
      <c r="AL88" s="381">
        <v>946695</v>
      </c>
      <c r="AM88" s="381"/>
      <c r="AN88" s="381">
        <v>529767</v>
      </c>
      <c r="AO88" s="381">
        <v>11000</v>
      </c>
      <c r="AP88" s="381">
        <v>154763</v>
      </c>
      <c r="AQ88" s="381">
        <v>22005</v>
      </c>
      <c r="AR88" s="381">
        <v>46232</v>
      </c>
      <c r="AS88" s="381">
        <v>0</v>
      </c>
      <c r="AT88" s="381">
        <v>20805</v>
      </c>
      <c r="AU88" s="381">
        <v>4700</v>
      </c>
      <c r="AV88" s="381">
        <v>9900</v>
      </c>
      <c r="AW88" s="381">
        <v>424</v>
      </c>
      <c r="AX88" s="381">
        <v>0</v>
      </c>
      <c r="AY88" s="381">
        <v>16909</v>
      </c>
      <c r="AZ88" s="381">
        <v>4935</v>
      </c>
      <c r="BA88" s="381">
        <v>2750</v>
      </c>
      <c r="BB88" s="381">
        <v>5000</v>
      </c>
      <c r="BC88" s="381">
        <v>12000</v>
      </c>
      <c r="BD88" s="381">
        <v>14222</v>
      </c>
      <c r="BE88" s="381">
        <v>3250</v>
      </c>
      <c r="BF88" s="381">
        <v>40871</v>
      </c>
      <c r="BG88" s="381">
        <v>0</v>
      </c>
      <c r="BH88" s="381">
        <v>0</v>
      </c>
      <c r="BI88" s="381">
        <v>4000</v>
      </c>
      <c r="BJ88" s="381">
        <v>0</v>
      </c>
      <c r="BK88" s="381">
        <v>5250</v>
      </c>
      <c r="BL88" s="381">
        <v>5500</v>
      </c>
      <c r="BM88" s="381">
        <v>1000</v>
      </c>
      <c r="BN88" s="381">
        <v>0</v>
      </c>
      <c r="BO88" s="381">
        <v>6460</v>
      </c>
      <c r="BP88" s="381">
        <v>15500</v>
      </c>
      <c r="BQ88" s="381">
        <v>7503</v>
      </c>
      <c r="BR88" s="381">
        <v>0</v>
      </c>
      <c r="BS88" s="381">
        <v>37645</v>
      </c>
      <c r="BT88" s="381">
        <v>9555</v>
      </c>
      <c r="BU88" s="381">
        <v>14723</v>
      </c>
      <c r="BV88" s="381">
        <v>0</v>
      </c>
      <c r="BW88" s="381">
        <v>0</v>
      </c>
      <c r="BX88" s="381">
        <v>0</v>
      </c>
      <c r="BY88" s="382">
        <v>0</v>
      </c>
      <c r="BZ88" s="382">
        <v>0</v>
      </c>
      <c r="CA88" s="382">
        <v>1006669</v>
      </c>
      <c r="CB88" s="381"/>
      <c r="CC88" s="381">
        <v>5553</v>
      </c>
      <c r="CD88" s="381">
        <v>0</v>
      </c>
      <c r="CE88" s="381">
        <v>0</v>
      </c>
      <c r="CF88" s="381">
        <v>5553</v>
      </c>
      <c r="CG88" s="381"/>
      <c r="CH88" s="381">
        <v>0</v>
      </c>
      <c r="CI88" s="381">
        <v>7412</v>
      </c>
      <c r="CJ88" s="381">
        <v>0</v>
      </c>
      <c r="CK88" s="381">
        <v>0</v>
      </c>
      <c r="CL88" s="381">
        <v>0</v>
      </c>
      <c r="CM88" s="381">
        <v>0</v>
      </c>
      <c r="CN88" s="381">
        <v>0</v>
      </c>
      <c r="CO88" s="381">
        <v>0</v>
      </c>
      <c r="CP88" s="381">
        <v>7412</v>
      </c>
      <c r="CQ88" s="381"/>
      <c r="CR88" s="381">
        <v>60470.890000000072</v>
      </c>
      <c r="CS88" s="381">
        <v>0</v>
      </c>
      <c r="CT88" s="381">
        <v>0</v>
      </c>
      <c r="CU88" s="381">
        <v>0.24999999999818101</v>
      </c>
      <c r="CV88" s="381">
        <v>0</v>
      </c>
      <c r="CW88" s="381">
        <v>0</v>
      </c>
      <c r="CX88" s="381">
        <v>60471.140000000072</v>
      </c>
      <c r="CY88" s="381"/>
      <c r="CZ88" s="117"/>
      <c r="DA88" s="384"/>
      <c r="DB88" s="117"/>
      <c r="DC88" s="384"/>
      <c r="DD88" s="385"/>
      <c r="DE88" s="117"/>
      <c r="DF88" s="117"/>
      <c r="DG88" s="381"/>
      <c r="DH88" s="386"/>
      <c r="DI88" s="387"/>
      <c r="DJ88" s="381"/>
      <c r="DK88" s="381">
        <v>120444.89000000007</v>
      </c>
      <c r="DL88" s="381">
        <v>1859.2499999999982</v>
      </c>
      <c r="DM88" s="381">
        <v>122304.14000000007</v>
      </c>
      <c r="DN88" s="381">
        <v>60470.890000000072</v>
      </c>
      <c r="DO88" s="381">
        <v>0.24999999999818101</v>
      </c>
      <c r="DP88" s="381">
        <v>60471.140000000072</v>
      </c>
      <c r="DQ88" s="383"/>
      <c r="DR88" s="381"/>
      <c r="DS88" s="388"/>
      <c r="DT88" s="388"/>
    </row>
    <row r="89" spans="1:124" ht="14.25">
      <c r="A89" s="380">
        <v>633</v>
      </c>
      <c r="B89" s="391">
        <v>9162044</v>
      </c>
      <c r="C89" s="68">
        <v>2044</v>
      </c>
      <c r="D89" s="120"/>
      <c r="E89" s="120" t="s">
        <v>191</v>
      </c>
      <c r="F89" s="120"/>
      <c r="G89" s="120"/>
      <c r="H89" s="68"/>
      <c r="I89" s="381">
        <v>122424.21000000006</v>
      </c>
      <c r="J89" s="381">
        <v>38953.86</v>
      </c>
      <c r="K89" s="381">
        <v>0</v>
      </c>
      <c r="L89" s="381">
        <v>16965.71</v>
      </c>
      <c r="M89" s="381">
        <v>0</v>
      </c>
      <c r="N89" s="381">
        <v>0</v>
      </c>
      <c r="O89" s="381">
        <v>178343.78000000006</v>
      </c>
      <c r="P89" s="381"/>
      <c r="Q89" s="381">
        <v>410238</v>
      </c>
      <c r="R89" s="381">
        <v>0</v>
      </c>
      <c r="S89" s="381">
        <v>9563</v>
      </c>
      <c r="T89" s="381">
        <v>0</v>
      </c>
      <c r="U89" s="381">
        <v>10360</v>
      </c>
      <c r="V89" s="381">
        <v>19997</v>
      </c>
      <c r="W89" s="381">
        <v>0</v>
      </c>
      <c r="X89" s="381">
        <v>0</v>
      </c>
      <c r="Y89" s="381">
        <v>7000</v>
      </c>
      <c r="Z89" s="381">
        <v>0</v>
      </c>
      <c r="AA89" s="381">
        <v>0</v>
      </c>
      <c r="AB89" s="381">
        <v>0</v>
      </c>
      <c r="AC89" s="381">
        <v>0</v>
      </c>
      <c r="AD89" s="381">
        <v>0</v>
      </c>
      <c r="AE89" s="381">
        <v>0</v>
      </c>
      <c r="AF89" s="381">
        <v>0</v>
      </c>
      <c r="AG89" s="381">
        <v>0</v>
      </c>
      <c r="AH89" s="381">
        <v>0</v>
      </c>
      <c r="AI89" s="381">
        <v>0</v>
      </c>
      <c r="AJ89" s="381">
        <v>0</v>
      </c>
      <c r="AK89" s="381">
        <v>0</v>
      </c>
      <c r="AL89" s="381">
        <v>457158</v>
      </c>
      <c r="AM89" s="381"/>
      <c r="AN89" s="381">
        <v>288249</v>
      </c>
      <c r="AO89" s="381">
        <v>1900</v>
      </c>
      <c r="AP89" s="381">
        <v>87854</v>
      </c>
      <c r="AQ89" s="381">
        <v>0</v>
      </c>
      <c r="AR89" s="381">
        <v>31182</v>
      </c>
      <c r="AS89" s="381">
        <v>0</v>
      </c>
      <c r="AT89" s="381">
        <v>26325</v>
      </c>
      <c r="AU89" s="381">
        <v>2358</v>
      </c>
      <c r="AV89" s="381">
        <v>2040</v>
      </c>
      <c r="AW89" s="381">
        <v>1950</v>
      </c>
      <c r="AX89" s="381">
        <v>0</v>
      </c>
      <c r="AY89" s="381">
        <v>2888</v>
      </c>
      <c r="AZ89" s="381">
        <v>0</v>
      </c>
      <c r="BA89" s="381">
        <v>8100</v>
      </c>
      <c r="BB89" s="381">
        <v>800</v>
      </c>
      <c r="BC89" s="381">
        <v>6200</v>
      </c>
      <c r="BD89" s="381">
        <v>4192</v>
      </c>
      <c r="BE89" s="381">
        <v>1550</v>
      </c>
      <c r="BF89" s="381">
        <v>32448</v>
      </c>
      <c r="BG89" s="381">
        <v>1400</v>
      </c>
      <c r="BH89" s="381">
        <v>0</v>
      </c>
      <c r="BI89" s="381">
        <v>0</v>
      </c>
      <c r="BJ89" s="381">
        <v>0</v>
      </c>
      <c r="BK89" s="381">
        <v>0</v>
      </c>
      <c r="BL89" s="381">
        <v>0</v>
      </c>
      <c r="BM89" s="381">
        <v>790</v>
      </c>
      <c r="BN89" s="381">
        <v>0</v>
      </c>
      <c r="BO89" s="381">
        <v>1010</v>
      </c>
      <c r="BP89" s="381">
        <v>2807</v>
      </c>
      <c r="BQ89" s="381">
        <v>0</v>
      </c>
      <c r="BR89" s="381">
        <v>8991</v>
      </c>
      <c r="BS89" s="381">
        <v>600</v>
      </c>
      <c r="BT89" s="381">
        <v>4420</v>
      </c>
      <c r="BU89" s="381">
        <v>10210</v>
      </c>
      <c r="BV89" s="381">
        <v>0</v>
      </c>
      <c r="BW89" s="381">
        <v>0</v>
      </c>
      <c r="BX89" s="381">
        <v>0</v>
      </c>
      <c r="BY89" s="382">
        <v>0</v>
      </c>
      <c r="BZ89" s="382">
        <v>0</v>
      </c>
      <c r="CA89" s="382">
        <v>528264</v>
      </c>
      <c r="CB89" s="381"/>
      <c r="CC89" s="381">
        <v>4551</v>
      </c>
      <c r="CD89" s="381">
        <v>0</v>
      </c>
      <c r="CE89" s="381">
        <v>0</v>
      </c>
      <c r="CF89" s="381">
        <v>4551</v>
      </c>
      <c r="CG89" s="381"/>
      <c r="CH89" s="381">
        <v>0</v>
      </c>
      <c r="CI89" s="381">
        <v>21517</v>
      </c>
      <c r="CJ89" s="381">
        <v>0</v>
      </c>
      <c r="CK89" s="381">
        <v>0</v>
      </c>
      <c r="CL89" s="381">
        <v>0</v>
      </c>
      <c r="CM89" s="381">
        <v>0</v>
      </c>
      <c r="CN89" s="381">
        <v>0</v>
      </c>
      <c r="CO89" s="381">
        <v>0</v>
      </c>
      <c r="CP89" s="381">
        <v>21517</v>
      </c>
      <c r="CQ89" s="381"/>
      <c r="CR89" s="381">
        <v>90272.070000000065</v>
      </c>
      <c r="CS89" s="381">
        <v>0</v>
      </c>
      <c r="CT89" s="381">
        <v>0</v>
      </c>
      <c r="CU89" s="381">
        <v>-0.29000000000087311</v>
      </c>
      <c r="CV89" s="381">
        <v>0</v>
      </c>
      <c r="CW89" s="381">
        <v>0</v>
      </c>
      <c r="CX89" s="381">
        <v>90271.780000000057</v>
      </c>
      <c r="CY89" s="381"/>
      <c r="CZ89" s="117"/>
      <c r="DA89" s="384"/>
      <c r="DB89" s="117"/>
      <c r="DC89" s="384"/>
      <c r="DD89" s="385"/>
      <c r="DE89" s="117"/>
      <c r="DF89" s="117"/>
      <c r="DG89" s="381"/>
      <c r="DH89" s="386"/>
      <c r="DI89" s="387"/>
      <c r="DJ89" s="381"/>
      <c r="DK89" s="381">
        <v>161378.07000000007</v>
      </c>
      <c r="DL89" s="381">
        <v>16965.71</v>
      </c>
      <c r="DM89" s="381">
        <v>178343.78000000006</v>
      </c>
      <c r="DN89" s="381">
        <v>90272.070000000065</v>
      </c>
      <c r="DO89" s="381">
        <v>-0.29000000000087311</v>
      </c>
      <c r="DP89" s="381">
        <v>90271.780000000057</v>
      </c>
      <c r="DQ89" s="383"/>
      <c r="DR89" s="381"/>
      <c r="DS89" s="388"/>
      <c r="DT89" s="388"/>
    </row>
    <row r="90" spans="1:124" ht="15">
      <c r="A90" s="380">
        <v>907</v>
      </c>
      <c r="B90" s="391">
        <v>9163363</v>
      </c>
      <c r="C90" s="68">
        <v>3363</v>
      </c>
      <c r="D90" s="120"/>
      <c r="E90" s="120" t="s">
        <v>763</v>
      </c>
      <c r="F90" s="120"/>
      <c r="G90" s="120"/>
      <c r="H90" s="68"/>
      <c r="I90" s="381">
        <v>-41995.969999999652</v>
      </c>
      <c r="J90" s="381">
        <v>4525.3100000000013</v>
      </c>
      <c r="K90" s="381">
        <v>0</v>
      </c>
      <c r="L90" s="381">
        <v>0</v>
      </c>
      <c r="M90" s="381">
        <v>0</v>
      </c>
      <c r="N90" s="381">
        <v>0</v>
      </c>
      <c r="O90" s="381">
        <v>-37470.659999999654</v>
      </c>
      <c r="P90" s="389"/>
      <c r="Q90" s="381">
        <v>1224970</v>
      </c>
      <c r="R90" s="381">
        <v>0</v>
      </c>
      <c r="S90" s="381">
        <v>73143</v>
      </c>
      <c r="T90" s="381">
        <v>0</v>
      </c>
      <c r="U90" s="381">
        <v>54090</v>
      </c>
      <c r="V90" s="381">
        <v>18350</v>
      </c>
      <c r="W90" s="381">
        <v>1000</v>
      </c>
      <c r="X90" s="381">
        <v>0</v>
      </c>
      <c r="Y90" s="381">
        <v>17500</v>
      </c>
      <c r="Z90" s="381">
        <v>0</v>
      </c>
      <c r="AA90" s="381">
        <v>0</v>
      </c>
      <c r="AB90" s="381">
        <v>0</v>
      </c>
      <c r="AC90" s="381">
        <v>30000</v>
      </c>
      <c r="AD90" s="381">
        <v>0</v>
      </c>
      <c r="AE90" s="381">
        <v>0</v>
      </c>
      <c r="AF90" s="381">
        <v>0</v>
      </c>
      <c r="AG90" s="381">
        <v>0</v>
      </c>
      <c r="AH90" s="381">
        <v>0</v>
      </c>
      <c r="AI90" s="381">
        <v>0</v>
      </c>
      <c r="AJ90" s="381">
        <v>0</v>
      </c>
      <c r="AK90" s="381">
        <v>0</v>
      </c>
      <c r="AL90" s="381">
        <v>1419053</v>
      </c>
      <c r="AM90" s="389"/>
      <c r="AN90" s="381">
        <v>757597</v>
      </c>
      <c r="AO90" s="381">
        <v>5000</v>
      </c>
      <c r="AP90" s="381">
        <v>304115</v>
      </c>
      <c r="AQ90" s="381">
        <v>55580</v>
      </c>
      <c r="AR90" s="381">
        <v>99248</v>
      </c>
      <c r="AS90" s="381">
        <v>0</v>
      </c>
      <c r="AT90" s="381">
        <v>27576</v>
      </c>
      <c r="AU90" s="381">
        <v>200</v>
      </c>
      <c r="AV90" s="381">
        <v>5775</v>
      </c>
      <c r="AW90" s="381">
        <v>711</v>
      </c>
      <c r="AX90" s="381">
        <v>0</v>
      </c>
      <c r="AY90" s="381">
        <v>19297</v>
      </c>
      <c r="AZ90" s="381">
        <v>8788</v>
      </c>
      <c r="BA90" s="381">
        <v>3500</v>
      </c>
      <c r="BB90" s="381">
        <v>3100</v>
      </c>
      <c r="BC90" s="381">
        <v>16000</v>
      </c>
      <c r="BD90" s="381">
        <v>3468</v>
      </c>
      <c r="BE90" s="381">
        <v>5050</v>
      </c>
      <c r="BF90" s="381">
        <v>80614</v>
      </c>
      <c r="BG90" s="381">
        <v>2500</v>
      </c>
      <c r="BH90" s="381">
        <v>0</v>
      </c>
      <c r="BI90" s="381">
        <v>2500</v>
      </c>
      <c r="BJ90" s="381">
        <v>7000</v>
      </c>
      <c r="BK90" s="381">
        <v>7000</v>
      </c>
      <c r="BL90" s="381">
        <v>0</v>
      </c>
      <c r="BM90" s="381">
        <v>9893</v>
      </c>
      <c r="BN90" s="381">
        <v>0</v>
      </c>
      <c r="BO90" s="381">
        <v>4800</v>
      </c>
      <c r="BP90" s="381">
        <v>10972</v>
      </c>
      <c r="BQ90" s="381">
        <v>0</v>
      </c>
      <c r="BR90" s="381">
        <v>17820</v>
      </c>
      <c r="BS90" s="381">
        <v>5000</v>
      </c>
      <c r="BT90" s="381">
        <v>36020</v>
      </c>
      <c r="BU90" s="381">
        <v>15685</v>
      </c>
      <c r="BV90" s="381">
        <v>0</v>
      </c>
      <c r="BW90" s="381">
        <v>0</v>
      </c>
      <c r="BX90" s="381">
        <v>5000</v>
      </c>
      <c r="BY90" s="382">
        <v>0</v>
      </c>
      <c r="BZ90" s="382">
        <v>0</v>
      </c>
      <c r="CA90" s="382">
        <v>1519809</v>
      </c>
      <c r="CB90" s="389"/>
      <c r="CC90" s="381">
        <v>0</v>
      </c>
      <c r="CD90" s="381">
        <v>0</v>
      </c>
      <c r="CE90" s="381">
        <v>0</v>
      </c>
      <c r="CF90" s="381">
        <v>0</v>
      </c>
      <c r="CG90" s="389"/>
      <c r="CH90" s="381">
        <v>0</v>
      </c>
      <c r="CI90" s="381">
        <v>0</v>
      </c>
      <c r="CJ90" s="381">
        <v>0</v>
      </c>
      <c r="CK90" s="381">
        <v>0</v>
      </c>
      <c r="CL90" s="381">
        <v>0</v>
      </c>
      <c r="CM90" s="381">
        <v>0</v>
      </c>
      <c r="CN90" s="381">
        <v>0</v>
      </c>
      <c r="CO90" s="381">
        <v>0</v>
      </c>
      <c r="CP90" s="381">
        <v>0</v>
      </c>
      <c r="CQ90" s="390"/>
      <c r="CR90" s="381">
        <v>-138226.65999999965</v>
      </c>
      <c r="CS90" s="381">
        <v>0</v>
      </c>
      <c r="CT90" s="381">
        <v>0</v>
      </c>
      <c r="CU90" s="381">
        <v>0</v>
      </c>
      <c r="CV90" s="381">
        <v>0</v>
      </c>
      <c r="CW90" s="381">
        <v>0</v>
      </c>
      <c r="CX90" s="381">
        <v>-138226.65999999965</v>
      </c>
      <c r="CY90" s="381"/>
      <c r="CZ90" s="117"/>
      <c r="DA90" s="384"/>
      <c r="DB90" s="117"/>
      <c r="DC90" s="384"/>
      <c r="DD90" s="385"/>
      <c r="DE90" s="117"/>
      <c r="DF90" s="117"/>
      <c r="DG90" s="381"/>
      <c r="DH90" s="386"/>
      <c r="DI90" s="387"/>
      <c r="DJ90" s="381"/>
      <c r="DK90" s="381">
        <v>-37470.659999999654</v>
      </c>
      <c r="DL90" s="381">
        <v>0</v>
      </c>
      <c r="DM90" s="381">
        <v>-37470.659999999654</v>
      </c>
      <c r="DN90" s="381">
        <v>-138226.65999999965</v>
      </c>
      <c r="DO90" s="381">
        <v>0</v>
      </c>
      <c r="DP90" s="381">
        <v>-138226.65999999965</v>
      </c>
      <c r="DQ90" s="383"/>
      <c r="DR90" s="381"/>
      <c r="DS90" s="388"/>
      <c r="DT90" s="388"/>
    </row>
    <row r="91" spans="1:124" ht="14.25">
      <c r="A91" s="380">
        <v>938</v>
      </c>
      <c r="B91" s="391">
        <v>9163010</v>
      </c>
      <c r="C91" s="68">
        <v>3010</v>
      </c>
      <c r="D91" s="120"/>
      <c r="E91" s="120" t="s">
        <v>734</v>
      </c>
      <c r="F91" s="120"/>
      <c r="G91" s="120"/>
      <c r="H91" s="68"/>
      <c r="I91" s="381">
        <v>139568.2699999981</v>
      </c>
      <c r="J91" s="381">
        <v>9713.24</v>
      </c>
      <c r="K91" s="381">
        <v>0</v>
      </c>
      <c r="L91" s="381">
        <v>26707.129999999997</v>
      </c>
      <c r="M91" s="381">
        <v>0</v>
      </c>
      <c r="N91" s="381">
        <v>34281.869999999937</v>
      </c>
      <c r="O91" s="381">
        <v>210270.50999999803</v>
      </c>
      <c r="P91" s="381"/>
      <c r="Q91" s="381">
        <v>3485925</v>
      </c>
      <c r="R91" s="381">
        <v>0</v>
      </c>
      <c r="S91" s="381">
        <v>203531</v>
      </c>
      <c r="T91" s="381">
        <v>0</v>
      </c>
      <c r="U91" s="381">
        <v>315615</v>
      </c>
      <c r="V91" s="381">
        <v>101354</v>
      </c>
      <c r="W91" s="381">
        <v>1200</v>
      </c>
      <c r="X91" s="381">
        <v>0</v>
      </c>
      <c r="Y91" s="381">
        <v>56050</v>
      </c>
      <c r="Z91" s="381">
        <v>52000</v>
      </c>
      <c r="AA91" s="381">
        <v>1760</v>
      </c>
      <c r="AB91" s="381">
        <v>0</v>
      </c>
      <c r="AC91" s="381">
        <v>20000</v>
      </c>
      <c r="AD91" s="381">
        <v>25000</v>
      </c>
      <c r="AE91" s="381">
        <v>0</v>
      </c>
      <c r="AF91" s="381">
        <v>165000</v>
      </c>
      <c r="AG91" s="381">
        <v>10000</v>
      </c>
      <c r="AH91" s="381">
        <v>0</v>
      </c>
      <c r="AI91" s="381">
        <v>0</v>
      </c>
      <c r="AJ91" s="381">
        <v>0</v>
      </c>
      <c r="AK91" s="381">
        <v>0</v>
      </c>
      <c r="AL91" s="381">
        <v>4437435</v>
      </c>
      <c r="AM91" s="381"/>
      <c r="AN91" s="381">
        <v>1946128</v>
      </c>
      <c r="AO91" s="381">
        <v>20000</v>
      </c>
      <c r="AP91" s="381">
        <v>784095</v>
      </c>
      <c r="AQ91" s="381">
        <v>132047</v>
      </c>
      <c r="AR91" s="381">
        <v>293111</v>
      </c>
      <c r="AS91" s="381">
        <v>137518</v>
      </c>
      <c r="AT91" s="381">
        <v>87837</v>
      </c>
      <c r="AU91" s="381">
        <v>20000</v>
      </c>
      <c r="AV91" s="381">
        <v>21500</v>
      </c>
      <c r="AW91" s="381">
        <v>26906</v>
      </c>
      <c r="AX91" s="381">
        <v>0</v>
      </c>
      <c r="AY91" s="381">
        <v>23151</v>
      </c>
      <c r="AZ91" s="381">
        <v>7000</v>
      </c>
      <c r="BA91" s="381">
        <v>20507</v>
      </c>
      <c r="BB91" s="381">
        <v>10000</v>
      </c>
      <c r="BC91" s="381">
        <v>55000</v>
      </c>
      <c r="BD91" s="381">
        <v>28392</v>
      </c>
      <c r="BE91" s="381">
        <v>15250</v>
      </c>
      <c r="BF91" s="381">
        <v>145176</v>
      </c>
      <c r="BG91" s="381">
        <v>5000</v>
      </c>
      <c r="BH91" s="381">
        <v>0</v>
      </c>
      <c r="BI91" s="381">
        <v>14000</v>
      </c>
      <c r="BJ91" s="381">
        <v>11000</v>
      </c>
      <c r="BK91" s="381">
        <v>30000</v>
      </c>
      <c r="BL91" s="381">
        <v>1000</v>
      </c>
      <c r="BM91" s="381">
        <v>13780</v>
      </c>
      <c r="BN91" s="381">
        <v>0</v>
      </c>
      <c r="BO91" s="381">
        <v>21000</v>
      </c>
      <c r="BP91" s="381">
        <v>33738</v>
      </c>
      <c r="BQ91" s="381">
        <v>0</v>
      </c>
      <c r="BR91" s="381">
        <v>102300</v>
      </c>
      <c r="BS91" s="381">
        <v>55000</v>
      </c>
      <c r="BT91" s="381">
        <v>74106</v>
      </c>
      <c r="BU91" s="381">
        <v>44414</v>
      </c>
      <c r="BV91" s="381">
        <v>0</v>
      </c>
      <c r="BW91" s="381">
        <v>0</v>
      </c>
      <c r="BX91" s="381">
        <v>0</v>
      </c>
      <c r="BY91" s="382">
        <v>165734</v>
      </c>
      <c r="BZ91" s="382">
        <v>5750</v>
      </c>
      <c r="CA91" s="382">
        <v>4350440</v>
      </c>
      <c r="CB91" s="381"/>
      <c r="CC91" s="381">
        <v>11054</v>
      </c>
      <c r="CD91" s="381">
        <v>0</v>
      </c>
      <c r="CE91" s="381">
        <v>0</v>
      </c>
      <c r="CF91" s="381">
        <v>11054</v>
      </c>
      <c r="CG91" s="381"/>
      <c r="CH91" s="381">
        <v>0</v>
      </c>
      <c r="CI91" s="381">
        <v>37761</v>
      </c>
      <c r="CJ91" s="381">
        <v>0</v>
      </c>
      <c r="CK91" s="381">
        <v>0</v>
      </c>
      <c r="CL91" s="381">
        <v>0</v>
      </c>
      <c r="CM91" s="381">
        <v>0</v>
      </c>
      <c r="CN91" s="381">
        <v>0</v>
      </c>
      <c r="CO91" s="381">
        <v>0</v>
      </c>
      <c r="CP91" s="381">
        <v>37761</v>
      </c>
      <c r="CQ91" s="381"/>
      <c r="CR91" s="381">
        <v>232760.50999999809</v>
      </c>
      <c r="CS91" s="381">
        <v>0</v>
      </c>
      <c r="CT91" s="381">
        <v>0</v>
      </c>
      <c r="CU91" s="381">
        <v>0.12999999999738066</v>
      </c>
      <c r="CV91" s="381">
        <v>0</v>
      </c>
      <c r="CW91" s="381">
        <v>37797.869999999937</v>
      </c>
      <c r="CX91" s="381">
        <v>270558.50999999803</v>
      </c>
      <c r="CY91" s="381"/>
      <c r="CZ91" s="117"/>
      <c r="DA91" s="384"/>
      <c r="DB91" s="117"/>
      <c r="DC91" s="384"/>
      <c r="DD91" s="385"/>
      <c r="DE91" s="117"/>
      <c r="DF91" s="117"/>
      <c r="DG91" s="381"/>
      <c r="DH91" s="386"/>
      <c r="DI91" s="387"/>
      <c r="DJ91" s="381"/>
      <c r="DK91" s="381">
        <v>183563.37999999803</v>
      </c>
      <c r="DL91" s="381">
        <v>26707.129999999997</v>
      </c>
      <c r="DM91" s="381">
        <v>210270.50999999803</v>
      </c>
      <c r="DN91" s="381">
        <v>270558.37999999803</v>
      </c>
      <c r="DO91" s="381">
        <v>0.12999999999738066</v>
      </c>
      <c r="DP91" s="381">
        <v>270558.50999999803</v>
      </c>
      <c r="DQ91" s="383"/>
      <c r="DR91" s="381"/>
      <c r="DS91" s="388"/>
      <c r="DT91" s="388"/>
    </row>
    <row r="92" spans="1:124" ht="14.25">
      <c r="A92" s="380">
        <v>559</v>
      </c>
      <c r="B92" s="391">
        <v>9162045</v>
      </c>
      <c r="C92" s="68">
        <v>2045</v>
      </c>
      <c r="D92" s="120"/>
      <c r="E92" s="120" t="s">
        <v>741</v>
      </c>
      <c r="F92" s="120"/>
      <c r="G92" s="120"/>
      <c r="H92" s="68"/>
      <c r="I92" s="381">
        <v>213688.22999999995</v>
      </c>
      <c r="J92" s="381">
        <v>8106</v>
      </c>
      <c r="K92" s="381">
        <v>0</v>
      </c>
      <c r="L92" s="381">
        <v>19276.309999999998</v>
      </c>
      <c r="M92" s="381">
        <v>0</v>
      </c>
      <c r="N92" s="381">
        <v>0</v>
      </c>
      <c r="O92" s="381">
        <v>241070.53999999995</v>
      </c>
      <c r="P92" s="381"/>
      <c r="Q92" s="381">
        <v>585192</v>
      </c>
      <c r="R92" s="381">
        <v>0</v>
      </c>
      <c r="S92" s="381">
        <v>5415</v>
      </c>
      <c r="T92" s="381">
        <v>0</v>
      </c>
      <c r="U92" s="381">
        <v>8255</v>
      </c>
      <c r="V92" s="381">
        <v>33004</v>
      </c>
      <c r="W92" s="381">
        <v>0</v>
      </c>
      <c r="X92" s="381">
        <v>0</v>
      </c>
      <c r="Y92" s="381">
        <v>6580</v>
      </c>
      <c r="Z92" s="381">
        <v>0</v>
      </c>
      <c r="AA92" s="381">
        <v>0</v>
      </c>
      <c r="AB92" s="381">
        <v>0</v>
      </c>
      <c r="AC92" s="381">
        <v>0</v>
      </c>
      <c r="AD92" s="381">
        <v>0</v>
      </c>
      <c r="AE92" s="381">
        <v>0</v>
      </c>
      <c r="AF92" s="381">
        <v>0</v>
      </c>
      <c r="AG92" s="381">
        <v>0</v>
      </c>
      <c r="AH92" s="381">
        <v>0</v>
      </c>
      <c r="AI92" s="381">
        <v>0</v>
      </c>
      <c r="AJ92" s="381">
        <v>0</v>
      </c>
      <c r="AK92" s="381">
        <v>0</v>
      </c>
      <c r="AL92" s="381">
        <v>638446</v>
      </c>
      <c r="AM92" s="381"/>
      <c r="AN92" s="381">
        <v>361589</v>
      </c>
      <c r="AO92" s="381">
        <v>0</v>
      </c>
      <c r="AP92" s="381">
        <v>97854</v>
      </c>
      <c r="AQ92" s="381">
        <v>11666</v>
      </c>
      <c r="AR92" s="381">
        <v>30126</v>
      </c>
      <c r="AS92" s="381">
        <v>0</v>
      </c>
      <c r="AT92" s="381">
        <v>17983</v>
      </c>
      <c r="AU92" s="381">
        <v>1875</v>
      </c>
      <c r="AV92" s="381">
        <v>3530</v>
      </c>
      <c r="AW92" s="381">
        <v>1938</v>
      </c>
      <c r="AX92" s="381">
        <v>0</v>
      </c>
      <c r="AY92" s="381">
        <v>9000</v>
      </c>
      <c r="AZ92" s="381">
        <v>4176</v>
      </c>
      <c r="BA92" s="381">
        <v>3517</v>
      </c>
      <c r="BB92" s="381">
        <v>2500</v>
      </c>
      <c r="BC92" s="381">
        <v>11047</v>
      </c>
      <c r="BD92" s="381">
        <v>9731</v>
      </c>
      <c r="BE92" s="381">
        <v>0</v>
      </c>
      <c r="BF92" s="381">
        <v>23124</v>
      </c>
      <c r="BG92" s="381">
        <v>1200</v>
      </c>
      <c r="BH92" s="381">
        <v>0</v>
      </c>
      <c r="BI92" s="381">
        <v>0</v>
      </c>
      <c r="BJ92" s="381">
        <v>3417</v>
      </c>
      <c r="BK92" s="381">
        <v>0</v>
      </c>
      <c r="BL92" s="381">
        <v>0</v>
      </c>
      <c r="BM92" s="381">
        <v>3500</v>
      </c>
      <c r="BN92" s="381">
        <v>0</v>
      </c>
      <c r="BO92" s="381">
        <v>1500</v>
      </c>
      <c r="BP92" s="381">
        <v>14404</v>
      </c>
      <c r="BQ92" s="381">
        <v>0</v>
      </c>
      <c r="BR92" s="381">
        <v>19666</v>
      </c>
      <c r="BS92" s="381">
        <v>4500</v>
      </c>
      <c r="BT92" s="381">
        <v>4435</v>
      </c>
      <c r="BU92" s="381">
        <v>11700</v>
      </c>
      <c r="BV92" s="381">
        <v>0</v>
      </c>
      <c r="BW92" s="381">
        <v>0</v>
      </c>
      <c r="BX92" s="381">
        <v>0</v>
      </c>
      <c r="BY92" s="382">
        <v>0</v>
      </c>
      <c r="BZ92" s="382">
        <v>0</v>
      </c>
      <c r="CA92" s="382">
        <v>653978</v>
      </c>
      <c r="CB92" s="381"/>
      <c r="CC92" s="381">
        <v>4911</v>
      </c>
      <c r="CD92" s="381">
        <v>0</v>
      </c>
      <c r="CE92" s="381">
        <v>0</v>
      </c>
      <c r="CF92" s="381">
        <v>4911</v>
      </c>
      <c r="CG92" s="381"/>
      <c r="CH92" s="381">
        <v>0</v>
      </c>
      <c r="CI92" s="381">
        <v>4911</v>
      </c>
      <c r="CJ92" s="381">
        <v>0</v>
      </c>
      <c r="CK92" s="381">
        <v>0</v>
      </c>
      <c r="CL92" s="381">
        <v>0</v>
      </c>
      <c r="CM92" s="381">
        <v>0</v>
      </c>
      <c r="CN92" s="381">
        <v>19276</v>
      </c>
      <c r="CO92" s="381">
        <v>0</v>
      </c>
      <c r="CP92" s="381">
        <v>24187</v>
      </c>
      <c r="CQ92" s="381"/>
      <c r="CR92" s="381">
        <v>206262.22999999995</v>
      </c>
      <c r="CS92" s="381">
        <v>0</v>
      </c>
      <c r="CT92" s="381">
        <v>0</v>
      </c>
      <c r="CU92" s="381">
        <v>0.30999999999767169</v>
      </c>
      <c r="CV92" s="381">
        <v>0</v>
      </c>
      <c r="CW92" s="381">
        <v>0</v>
      </c>
      <c r="CX92" s="381">
        <v>206262.53999999995</v>
      </c>
      <c r="CY92" s="381"/>
      <c r="CZ92" s="117"/>
      <c r="DA92" s="384"/>
      <c r="DB92" s="117"/>
      <c r="DC92" s="384"/>
      <c r="DD92" s="385"/>
      <c r="DE92" s="117"/>
      <c r="DF92" s="117"/>
      <c r="DG92" s="381"/>
      <c r="DH92" s="386"/>
      <c r="DI92" s="387"/>
      <c r="DJ92" s="381"/>
      <c r="DK92" s="381">
        <v>221794.22999999995</v>
      </c>
      <c r="DL92" s="381">
        <v>19276.309999999998</v>
      </c>
      <c r="DM92" s="381">
        <v>241070.53999999995</v>
      </c>
      <c r="DN92" s="381">
        <v>206262.22999999995</v>
      </c>
      <c r="DO92" s="381">
        <v>0.30999999999767169</v>
      </c>
      <c r="DP92" s="381">
        <v>206262.53999999995</v>
      </c>
      <c r="DQ92" s="383"/>
      <c r="DR92" s="381"/>
      <c r="DS92" s="388"/>
      <c r="DT92" s="388"/>
    </row>
    <row r="93" spans="1:124" ht="15">
      <c r="A93" s="380">
        <v>554</v>
      </c>
      <c r="B93" s="391">
        <v>9162171</v>
      </c>
      <c r="C93" s="68">
        <v>2171</v>
      </c>
      <c r="D93" s="120"/>
      <c r="E93" s="120" t="s">
        <v>719</v>
      </c>
      <c r="F93" s="120"/>
      <c r="G93" s="120"/>
      <c r="H93" s="68"/>
      <c r="I93" s="381">
        <v>61968.539999999106</v>
      </c>
      <c r="J93" s="381">
        <v>9921.25</v>
      </c>
      <c r="K93" s="381">
        <v>0</v>
      </c>
      <c r="L93" s="381">
        <v>1382.2200000000084</v>
      </c>
      <c r="M93" s="381">
        <v>0</v>
      </c>
      <c r="N93" s="381">
        <v>0</v>
      </c>
      <c r="O93" s="381">
        <v>73272.009999999107</v>
      </c>
      <c r="P93" s="389"/>
      <c r="Q93" s="381">
        <v>1855536</v>
      </c>
      <c r="R93" s="381">
        <v>0</v>
      </c>
      <c r="S93" s="381">
        <v>155082</v>
      </c>
      <c r="T93" s="381">
        <v>0</v>
      </c>
      <c r="U93" s="381">
        <v>80295</v>
      </c>
      <c r="V93" s="381">
        <v>58543</v>
      </c>
      <c r="W93" s="381">
        <v>1500</v>
      </c>
      <c r="X93" s="381">
        <v>0</v>
      </c>
      <c r="Y93" s="381">
        <v>115144</v>
      </c>
      <c r="Z93" s="381">
        <v>0</v>
      </c>
      <c r="AA93" s="381">
        <v>0</v>
      </c>
      <c r="AB93" s="381">
        <v>0</v>
      </c>
      <c r="AC93" s="381">
        <v>27840</v>
      </c>
      <c r="AD93" s="381">
        <v>0</v>
      </c>
      <c r="AE93" s="381">
        <v>0</v>
      </c>
      <c r="AF93" s="381">
        <v>0</v>
      </c>
      <c r="AG93" s="381">
        <v>0</v>
      </c>
      <c r="AH93" s="381">
        <v>0</v>
      </c>
      <c r="AI93" s="381">
        <v>0</v>
      </c>
      <c r="AJ93" s="381">
        <v>0</v>
      </c>
      <c r="AK93" s="381">
        <v>0</v>
      </c>
      <c r="AL93" s="381">
        <v>2293940</v>
      </c>
      <c r="AM93" s="389"/>
      <c r="AN93" s="381">
        <v>1124254</v>
      </c>
      <c r="AO93" s="381">
        <v>0</v>
      </c>
      <c r="AP93" s="381">
        <v>626503</v>
      </c>
      <c r="AQ93" s="381">
        <v>68046</v>
      </c>
      <c r="AR93" s="381">
        <v>111783</v>
      </c>
      <c r="AS93" s="381">
        <v>0</v>
      </c>
      <c r="AT93" s="381">
        <v>142049</v>
      </c>
      <c r="AU93" s="381">
        <v>11000</v>
      </c>
      <c r="AV93" s="381">
        <v>9618</v>
      </c>
      <c r="AW93" s="381">
        <v>1086</v>
      </c>
      <c r="AX93" s="381">
        <v>0</v>
      </c>
      <c r="AY93" s="381">
        <v>15717</v>
      </c>
      <c r="AZ93" s="381">
        <v>3354</v>
      </c>
      <c r="BA93" s="381">
        <v>3644</v>
      </c>
      <c r="BB93" s="381">
        <v>2820</v>
      </c>
      <c r="BC93" s="381">
        <v>36988</v>
      </c>
      <c r="BD93" s="381">
        <v>34676</v>
      </c>
      <c r="BE93" s="381">
        <v>5501</v>
      </c>
      <c r="BF93" s="381">
        <v>89366</v>
      </c>
      <c r="BG93" s="381">
        <v>3500</v>
      </c>
      <c r="BH93" s="381">
        <v>0</v>
      </c>
      <c r="BI93" s="381">
        <v>2455</v>
      </c>
      <c r="BJ93" s="381">
        <v>3324</v>
      </c>
      <c r="BK93" s="381">
        <v>0</v>
      </c>
      <c r="BL93" s="381">
        <v>0</v>
      </c>
      <c r="BM93" s="381">
        <v>6910</v>
      </c>
      <c r="BN93" s="381">
        <v>0</v>
      </c>
      <c r="BO93" s="381">
        <v>2163</v>
      </c>
      <c r="BP93" s="381">
        <v>16942</v>
      </c>
      <c r="BQ93" s="381">
        <v>0</v>
      </c>
      <c r="BR93" s="381">
        <v>62271</v>
      </c>
      <c r="BS93" s="381">
        <v>16330</v>
      </c>
      <c r="BT93" s="381">
        <v>13657</v>
      </c>
      <c r="BU93" s="381">
        <v>17479</v>
      </c>
      <c r="BV93" s="381">
        <v>0</v>
      </c>
      <c r="BW93" s="381">
        <v>0</v>
      </c>
      <c r="BX93" s="381">
        <v>0</v>
      </c>
      <c r="BY93" s="382">
        <v>0</v>
      </c>
      <c r="BZ93" s="382">
        <v>0</v>
      </c>
      <c r="CA93" s="382">
        <v>2431436</v>
      </c>
      <c r="CB93" s="389"/>
      <c r="CC93" s="381">
        <v>8005</v>
      </c>
      <c r="CD93" s="381">
        <v>0</v>
      </c>
      <c r="CE93" s="381">
        <v>0</v>
      </c>
      <c r="CF93" s="381">
        <v>8005</v>
      </c>
      <c r="CG93" s="389"/>
      <c r="CH93" s="381">
        <v>0</v>
      </c>
      <c r="CI93" s="381">
        <v>9387</v>
      </c>
      <c r="CJ93" s="381">
        <v>0</v>
      </c>
      <c r="CK93" s="381">
        <v>0</v>
      </c>
      <c r="CL93" s="381">
        <v>0</v>
      </c>
      <c r="CM93" s="381">
        <v>0</v>
      </c>
      <c r="CN93" s="381">
        <v>0</v>
      </c>
      <c r="CO93" s="381">
        <v>0</v>
      </c>
      <c r="CP93" s="381">
        <v>9387</v>
      </c>
      <c r="CQ93" s="390"/>
      <c r="CR93" s="381">
        <v>-65606.210000000894</v>
      </c>
      <c r="CS93" s="381">
        <v>0</v>
      </c>
      <c r="CT93" s="381">
        <v>0</v>
      </c>
      <c r="CU93" s="381">
        <v>0.22000000000844011</v>
      </c>
      <c r="CV93" s="381">
        <v>0</v>
      </c>
      <c r="CW93" s="381">
        <v>0</v>
      </c>
      <c r="CX93" s="381">
        <v>-65605.990000000893</v>
      </c>
      <c r="CY93" s="381"/>
      <c r="CZ93" s="117"/>
      <c r="DA93" s="384"/>
      <c r="DB93" s="117"/>
      <c r="DC93" s="384"/>
      <c r="DD93" s="385"/>
      <c r="DE93" s="117"/>
      <c r="DF93" s="117"/>
      <c r="DG93" s="381"/>
      <c r="DH93" s="386"/>
      <c r="DI93" s="387"/>
      <c r="DJ93" s="381"/>
      <c r="DK93" s="381">
        <v>71889.789999999106</v>
      </c>
      <c r="DL93" s="381">
        <v>1382.2200000000084</v>
      </c>
      <c r="DM93" s="381">
        <v>73272.009999999107</v>
      </c>
      <c r="DN93" s="381">
        <v>-65606.210000000894</v>
      </c>
      <c r="DO93" s="381">
        <v>0.22000000000844011</v>
      </c>
      <c r="DP93" s="381">
        <v>-65605.990000000893</v>
      </c>
      <c r="DQ93" s="383"/>
      <c r="DR93" s="381"/>
      <c r="DS93" s="388"/>
      <c r="DT93" s="388"/>
    </row>
    <row r="94" spans="1:124" ht="14.25">
      <c r="A94" s="380">
        <v>101520</v>
      </c>
      <c r="B94" s="391">
        <v>9161106</v>
      </c>
      <c r="C94" s="68">
        <v>1106</v>
      </c>
      <c r="D94" s="120"/>
      <c r="E94" s="120" t="s">
        <v>768</v>
      </c>
      <c r="F94" s="120"/>
      <c r="G94" s="120"/>
      <c r="H94" s="68"/>
      <c r="I94" s="381">
        <v>770543.80999999971</v>
      </c>
      <c r="J94" s="381">
        <v>9578</v>
      </c>
      <c r="K94" s="381">
        <v>0</v>
      </c>
      <c r="L94" s="381">
        <v>14938.729999999989</v>
      </c>
      <c r="M94" s="381">
        <v>0</v>
      </c>
      <c r="N94" s="381">
        <v>0</v>
      </c>
      <c r="O94" s="381">
        <v>795060.53999999969</v>
      </c>
      <c r="P94" s="381"/>
      <c r="Q94" s="381">
        <v>3335989</v>
      </c>
      <c r="R94" s="381">
        <v>0</v>
      </c>
      <c r="S94" s="381">
        <v>3715280</v>
      </c>
      <c r="T94" s="381">
        <v>0</v>
      </c>
      <c r="U94" s="381">
        <v>140000</v>
      </c>
      <c r="V94" s="381">
        <v>17890</v>
      </c>
      <c r="W94" s="381">
        <v>15000</v>
      </c>
      <c r="X94" s="381">
        <v>0</v>
      </c>
      <c r="Y94" s="381">
        <v>100000</v>
      </c>
      <c r="Z94" s="381">
        <v>0</v>
      </c>
      <c r="AA94" s="381">
        <v>3000</v>
      </c>
      <c r="AB94" s="381">
        <v>0</v>
      </c>
      <c r="AC94" s="381">
        <v>0</v>
      </c>
      <c r="AD94" s="381">
        <v>0</v>
      </c>
      <c r="AE94" s="381">
        <v>0</v>
      </c>
      <c r="AF94" s="381">
        <v>0</v>
      </c>
      <c r="AG94" s="381">
        <v>0</v>
      </c>
      <c r="AH94" s="381">
        <v>0</v>
      </c>
      <c r="AI94" s="381">
        <v>0</v>
      </c>
      <c r="AJ94" s="381">
        <v>0</v>
      </c>
      <c r="AK94" s="381">
        <v>0</v>
      </c>
      <c r="AL94" s="381">
        <v>7327159</v>
      </c>
      <c r="AM94" s="381"/>
      <c r="AN94" s="381">
        <v>2988139</v>
      </c>
      <c r="AO94" s="381">
        <v>0</v>
      </c>
      <c r="AP94" s="381">
        <v>2096367</v>
      </c>
      <c r="AQ94" s="381">
        <v>45210</v>
      </c>
      <c r="AR94" s="381">
        <v>493535</v>
      </c>
      <c r="AS94" s="381">
        <v>84905</v>
      </c>
      <c r="AT94" s="381">
        <v>0</v>
      </c>
      <c r="AU94" s="381">
        <v>53760</v>
      </c>
      <c r="AV94" s="381">
        <v>20600</v>
      </c>
      <c r="AW94" s="381">
        <v>0</v>
      </c>
      <c r="AX94" s="381">
        <v>20000</v>
      </c>
      <c r="AY94" s="381">
        <v>111233</v>
      </c>
      <c r="AZ94" s="381">
        <v>2560</v>
      </c>
      <c r="BA94" s="381">
        <v>84250</v>
      </c>
      <c r="BB94" s="381">
        <v>15000</v>
      </c>
      <c r="BC94" s="381">
        <v>112000</v>
      </c>
      <c r="BD94" s="381">
        <v>20000</v>
      </c>
      <c r="BE94" s="381">
        <v>50800</v>
      </c>
      <c r="BF94" s="381">
        <v>242356</v>
      </c>
      <c r="BG94" s="381">
        <v>35000</v>
      </c>
      <c r="BH94" s="381">
        <v>0</v>
      </c>
      <c r="BI94" s="381">
        <v>33500</v>
      </c>
      <c r="BJ94" s="381">
        <v>0</v>
      </c>
      <c r="BK94" s="381">
        <v>51672</v>
      </c>
      <c r="BL94" s="381">
        <v>0</v>
      </c>
      <c r="BM94" s="381">
        <v>76925</v>
      </c>
      <c r="BN94" s="381">
        <v>22500</v>
      </c>
      <c r="BO94" s="381">
        <v>39060</v>
      </c>
      <c r="BP94" s="381">
        <v>36154</v>
      </c>
      <c r="BQ94" s="381">
        <v>0</v>
      </c>
      <c r="BR94" s="381">
        <v>127602</v>
      </c>
      <c r="BS94" s="381">
        <v>0</v>
      </c>
      <c r="BT94" s="381">
        <v>590027</v>
      </c>
      <c r="BU94" s="381">
        <v>40688</v>
      </c>
      <c r="BV94" s="381">
        <v>0</v>
      </c>
      <c r="BW94" s="381">
        <v>0</v>
      </c>
      <c r="BX94" s="381">
        <v>0</v>
      </c>
      <c r="BY94" s="382">
        <v>0</v>
      </c>
      <c r="BZ94" s="382">
        <v>0</v>
      </c>
      <c r="CA94" s="382">
        <v>7493843</v>
      </c>
      <c r="CB94" s="381"/>
      <c r="CC94" s="381">
        <v>10952</v>
      </c>
      <c r="CD94" s="381">
        <v>0</v>
      </c>
      <c r="CE94" s="381">
        <v>0</v>
      </c>
      <c r="CF94" s="381">
        <v>10952</v>
      </c>
      <c r="CG94" s="381"/>
      <c r="CH94" s="381">
        <v>0</v>
      </c>
      <c r="CI94" s="381">
        <v>25891</v>
      </c>
      <c r="CJ94" s="381">
        <v>0</v>
      </c>
      <c r="CK94" s="381">
        <v>0</v>
      </c>
      <c r="CL94" s="381">
        <v>0</v>
      </c>
      <c r="CM94" s="381">
        <v>0</v>
      </c>
      <c r="CN94" s="381">
        <v>0</v>
      </c>
      <c r="CO94" s="381">
        <v>0</v>
      </c>
      <c r="CP94" s="381">
        <v>25891</v>
      </c>
      <c r="CQ94" s="381"/>
      <c r="CR94" s="381">
        <v>613437.80999999971</v>
      </c>
      <c r="CS94" s="381">
        <v>0</v>
      </c>
      <c r="CT94" s="381">
        <v>0</v>
      </c>
      <c r="CU94" s="381">
        <v>-0.27000000001135049</v>
      </c>
      <c r="CV94" s="381">
        <v>0</v>
      </c>
      <c r="CW94" s="381">
        <v>0</v>
      </c>
      <c r="CX94" s="381">
        <v>613437.53999999969</v>
      </c>
      <c r="CY94" s="381"/>
      <c r="CZ94" s="117"/>
      <c r="DA94" s="384"/>
      <c r="DB94" s="117"/>
      <c r="DC94" s="384"/>
      <c r="DD94" s="385"/>
      <c r="DE94" s="117"/>
      <c r="DF94" s="117"/>
      <c r="DG94" s="381"/>
      <c r="DH94" s="386"/>
      <c r="DI94" s="387"/>
      <c r="DJ94" s="381"/>
      <c r="DK94" s="381">
        <v>780121.80999999971</v>
      </c>
      <c r="DL94" s="381">
        <v>14938.729999999989</v>
      </c>
      <c r="DM94" s="381">
        <v>795060.53999999969</v>
      </c>
      <c r="DN94" s="381">
        <v>613437.80999999971</v>
      </c>
      <c r="DO94" s="381">
        <v>-0.27000000001135049</v>
      </c>
      <c r="DP94" s="381">
        <v>613437.53999999969</v>
      </c>
      <c r="DQ94" s="383"/>
      <c r="DR94" s="381"/>
      <c r="DS94" s="388"/>
      <c r="DT94" s="388"/>
    </row>
    <row r="95" spans="1:124" ht="14.25">
      <c r="A95" s="380">
        <v>818</v>
      </c>
      <c r="B95" s="391">
        <v>9162098</v>
      </c>
      <c r="C95" s="68">
        <v>2098</v>
      </c>
      <c r="D95" s="120"/>
      <c r="E95" s="120" t="s">
        <v>194</v>
      </c>
      <c r="F95" s="120"/>
      <c r="G95" s="120"/>
      <c r="H95" s="68"/>
      <c r="I95" s="381">
        <v>-47600.999999999927</v>
      </c>
      <c r="J95" s="381">
        <v>10026.630000000001</v>
      </c>
      <c r="K95" s="381">
        <v>0</v>
      </c>
      <c r="L95" s="381">
        <v>14028.78</v>
      </c>
      <c r="M95" s="381">
        <v>0</v>
      </c>
      <c r="N95" s="381">
        <v>-3517.1900000000023</v>
      </c>
      <c r="O95" s="381">
        <v>-27062.779999999926</v>
      </c>
      <c r="P95" s="381"/>
      <c r="Q95" s="381">
        <v>800579</v>
      </c>
      <c r="R95" s="381">
        <v>0</v>
      </c>
      <c r="S95" s="381">
        <v>127395</v>
      </c>
      <c r="T95" s="381">
        <v>0</v>
      </c>
      <c r="U95" s="381">
        <v>26520</v>
      </c>
      <c r="V95" s="381">
        <v>43474</v>
      </c>
      <c r="W95" s="381">
        <v>0</v>
      </c>
      <c r="X95" s="381">
        <v>0</v>
      </c>
      <c r="Y95" s="381">
        <v>32865</v>
      </c>
      <c r="Z95" s="381">
        <v>0</v>
      </c>
      <c r="AA95" s="381">
        <v>0</v>
      </c>
      <c r="AB95" s="381">
        <v>0</v>
      </c>
      <c r="AC95" s="381">
        <v>0</v>
      </c>
      <c r="AD95" s="381">
        <v>2000</v>
      </c>
      <c r="AE95" s="381">
        <v>0</v>
      </c>
      <c r="AF95" s="381">
        <v>0</v>
      </c>
      <c r="AG95" s="381">
        <v>108670</v>
      </c>
      <c r="AH95" s="381">
        <v>0</v>
      </c>
      <c r="AI95" s="381">
        <v>0</v>
      </c>
      <c r="AJ95" s="381">
        <v>0</v>
      </c>
      <c r="AK95" s="381">
        <v>0</v>
      </c>
      <c r="AL95" s="381">
        <v>1141503</v>
      </c>
      <c r="AM95" s="381"/>
      <c r="AN95" s="381">
        <v>513824</v>
      </c>
      <c r="AO95" s="381">
        <v>10000</v>
      </c>
      <c r="AP95" s="381">
        <v>309176</v>
      </c>
      <c r="AQ95" s="381">
        <v>765</v>
      </c>
      <c r="AR95" s="381">
        <v>49553</v>
      </c>
      <c r="AS95" s="381">
        <v>0</v>
      </c>
      <c r="AT95" s="381">
        <v>49286</v>
      </c>
      <c r="AU95" s="381">
        <v>4892</v>
      </c>
      <c r="AV95" s="381">
        <v>3200</v>
      </c>
      <c r="AW95" s="381">
        <v>4718</v>
      </c>
      <c r="AX95" s="381">
        <v>2155</v>
      </c>
      <c r="AY95" s="381">
        <v>9915</v>
      </c>
      <c r="AZ95" s="381">
        <v>9362</v>
      </c>
      <c r="BA95" s="381">
        <v>23875</v>
      </c>
      <c r="BB95" s="381">
        <v>2000</v>
      </c>
      <c r="BC95" s="381">
        <v>11000</v>
      </c>
      <c r="BD95" s="381">
        <v>15469</v>
      </c>
      <c r="BE95" s="381">
        <v>4200</v>
      </c>
      <c r="BF95" s="381">
        <v>18684</v>
      </c>
      <c r="BG95" s="381">
        <v>3000</v>
      </c>
      <c r="BH95" s="381">
        <v>0</v>
      </c>
      <c r="BI95" s="381">
        <v>5750</v>
      </c>
      <c r="BJ95" s="381">
        <v>4552</v>
      </c>
      <c r="BK95" s="381">
        <v>0</v>
      </c>
      <c r="BL95" s="381">
        <v>0</v>
      </c>
      <c r="BM95" s="381">
        <v>1439</v>
      </c>
      <c r="BN95" s="381">
        <v>0</v>
      </c>
      <c r="BO95" s="381">
        <v>5650</v>
      </c>
      <c r="BP95" s="381">
        <v>7395</v>
      </c>
      <c r="BQ95" s="381">
        <v>0</v>
      </c>
      <c r="BR95" s="381">
        <v>35462</v>
      </c>
      <c r="BS95" s="381">
        <v>0</v>
      </c>
      <c r="BT95" s="381">
        <v>12225</v>
      </c>
      <c r="BU95" s="381">
        <v>18707</v>
      </c>
      <c r="BV95" s="381">
        <v>0</v>
      </c>
      <c r="BW95" s="381">
        <v>0</v>
      </c>
      <c r="BX95" s="381">
        <v>0</v>
      </c>
      <c r="BY95" s="382">
        <v>101511</v>
      </c>
      <c r="BZ95" s="382">
        <v>3642</v>
      </c>
      <c r="CA95" s="382">
        <v>1241407</v>
      </c>
      <c r="CB95" s="381"/>
      <c r="CC95" s="381">
        <v>5553</v>
      </c>
      <c r="CD95" s="381">
        <v>0</v>
      </c>
      <c r="CE95" s="381">
        <v>0</v>
      </c>
      <c r="CF95" s="381">
        <v>5553</v>
      </c>
      <c r="CG95" s="381"/>
      <c r="CH95" s="381">
        <v>0</v>
      </c>
      <c r="CI95" s="381">
        <v>19582</v>
      </c>
      <c r="CJ95" s="381">
        <v>0</v>
      </c>
      <c r="CK95" s="381">
        <v>0</v>
      </c>
      <c r="CL95" s="381">
        <v>0</v>
      </c>
      <c r="CM95" s="381">
        <v>0</v>
      </c>
      <c r="CN95" s="381">
        <v>0</v>
      </c>
      <c r="CO95" s="381">
        <v>0</v>
      </c>
      <c r="CP95" s="381">
        <v>19582</v>
      </c>
      <c r="CQ95" s="381"/>
      <c r="CR95" s="381">
        <v>-140995.36999999994</v>
      </c>
      <c r="CS95" s="381">
        <v>0</v>
      </c>
      <c r="CT95" s="381">
        <v>0</v>
      </c>
      <c r="CU95" s="381">
        <v>-0.21999999999934516</v>
      </c>
      <c r="CV95" s="381">
        <v>0</v>
      </c>
      <c r="CW95" s="381">
        <v>-0.19000000000232831</v>
      </c>
      <c r="CX95" s="381">
        <v>-140995.77999999994</v>
      </c>
      <c r="CY95" s="381"/>
      <c r="CZ95" s="117"/>
      <c r="DA95" s="384"/>
      <c r="DB95" s="117"/>
      <c r="DC95" s="384"/>
      <c r="DD95" s="385"/>
      <c r="DE95" s="117"/>
      <c r="DF95" s="117"/>
      <c r="DG95" s="381"/>
      <c r="DH95" s="386"/>
      <c r="DI95" s="387"/>
      <c r="DJ95" s="381"/>
      <c r="DK95" s="381">
        <v>-41091.559999999925</v>
      </c>
      <c r="DL95" s="381">
        <v>14028.78</v>
      </c>
      <c r="DM95" s="381">
        <v>-27062.779999999926</v>
      </c>
      <c r="DN95" s="381">
        <v>-140995.55999999994</v>
      </c>
      <c r="DO95" s="381">
        <v>-0.21999999999934516</v>
      </c>
      <c r="DP95" s="381">
        <v>-140995.77999999994</v>
      </c>
      <c r="DQ95" s="383"/>
      <c r="DR95" s="381"/>
      <c r="DS95" s="388"/>
      <c r="DT95" s="388"/>
    </row>
    <row r="96" spans="1:124" ht="14.25">
      <c r="A96" s="380">
        <v>781</v>
      </c>
      <c r="B96" s="391">
        <v>9162137</v>
      </c>
      <c r="C96" s="68">
        <v>2137</v>
      </c>
      <c r="D96" s="120"/>
      <c r="E96" s="120" t="s">
        <v>247</v>
      </c>
      <c r="F96" s="120"/>
      <c r="G96" s="120"/>
      <c r="H96" s="68"/>
      <c r="I96" s="381">
        <v>159555.44999999998</v>
      </c>
      <c r="J96" s="381">
        <v>47</v>
      </c>
      <c r="K96" s="381">
        <v>0</v>
      </c>
      <c r="L96" s="381">
        <v>101.5</v>
      </c>
      <c r="M96" s="381">
        <v>0</v>
      </c>
      <c r="N96" s="381">
        <v>0</v>
      </c>
      <c r="O96" s="381">
        <v>159703.94999999998</v>
      </c>
      <c r="P96" s="381"/>
      <c r="Q96" s="381">
        <v>1091308</v>
      </c>
      <c r="R96" s="381">
        <v>0</v>
      </c>
      <c r="S96" s="381">
        <v>186280</v>
      </c>
      <c r="T96" s="381">
        <v>0</v>
      </c>
      <c r="U96" s="381">
        <v>28585</v>
      </c>
      <c r="V96" s="381">
        <v>44747</v>
      </c>
      <c r="W96" s="381">
        <v>0</v>
      </c>
      <c r="X96" s="381">
        <v>-1278</v>
      </c>
      <c r="Y96" s="381">
        <v>21141</v>
      </c>
      <c r="Z96" s="381">
        <v>0</v>
      </c>
      <c r="AA96" s="381">
        <v>0</v>
      </c>
      <c r="AB96" s="381">
        <v>0</v>
      </c>
      <c r="AC96" s="381">
        <v>20000</v>
      </c>
      <c r="AD96" s="381">
        <v>0</v>
      </c>
      <c r="AE96" s="381">
        <v>0</v>
      </c>
      <c r="AF96" s="381">
        <v>0</v>
      </c>
      <c r="AG96" s="381">
        <v>0</v>
      </c>
      <c r="AH96" s="381">
        <v>0</v>
      </c>
      <c r="AI96" s="381">
        <v>0</v>
      </c>
      <c r="AJ96" s="381">
        <v>0</v>
      </c>
      <c r="AK96" s="381">
        <v>0</v>
      </c>
      <c r="AL96" s="381">
        <v>1390783</v>
      </c>
      <c r="AM96" s="381"/>
      <c r="AN96" s="381">
        <v>657915</v>
      </c>
      <c r="AO96" s="381">
        <v>7600</v>
      </c>
      <c r="AP96" s="381">
        <v>357885</v>
      </c>
      <c r="AQ96" s="381">
        <v>0</v>
      </c>
      <c r="AR96" s="381">
        <v>59773</v>
      </c>
      <c r="AS96" s="381">
        <v>0</v>
      </c>
      <c r="AT96" s="381">
        <v>59156</v>
      </c>
      <c r="AU96" s="381">
        <v>5890</v>
      </c>
      <c r="AV96" s="381">
        <v>8051</v>
      </c>
      <c r="AW96" s="381">
        <v>6862</v>
      </c>
      <c r="AX96" s="381">
        <v>3158</v>
      </c>
      <c r="AY96" s="381">
        <v>23350</v>
      </c>
      <c r="AZ96" s="381">
        <v>19213</v>
      </c>
      <c r="BA96" s="381">
        <v>44783</v>
      </c>
      <c r="BB96" s="381">
        <v>5693</v>
      </c>
      <c r="BC96" s="381">
        <v>20776</v>
      </c>
      <c r="BD96" s="381">
        <v>23703</v>
      </c>
      <c r="BE96" s="381">
        <v>5411</v>
      </c>
      <c r="BF96" s="381">
        <v>63714</v>
      </c>
      <c r="BG96" s="381">
        <v>2426</v>
      </c>
      <c r="BH96" s="381">
        <v>0</v>
      </c>
      <c r="BI96" s="381">
        <v>2160</v>
      </c>
      <c r="BJ96" s="381">
        <v>6075</v>
      </c>
      <c r="BK96" s="381">
        <v>0</v>
      </c>
      <c r="BL96" s="381">
        <v>0</v>
      </c>
      <c r="BM96" s="381">
        <v>3840</v>
      </c>
      <c r="BN96" s="381">
        <v>0</v>
      </c>
      <c r="BO96" s="381">
        <v>7994</v>
      </c>
      <c r="BP96" s="381">
        <v>9663</v>
      </c>
      <c r="BQ96" s="381">
        <v>0</v>
      </c>
      <c r="BR96" s="381">
        <v>36253</v>
      </c>
      <c r="BS96" s="381">
        <v>7600</v>
      </c>
      <c r="BT96" s="381">
        <v>10612</v>
      </c>
      <c r="BU96" s="381">
        <v>41722</v>
      </c>
      <c r="BV96" s="381">
        <v>0</v>
      </c>
      <c r="BW96" s="381">
        <v>0</v>
      </c>
      <c r="BX96" s="381">
        <v>0</v>
      </c>
      <c r="BY96" s="382">
        <v>0</v>
      </c>
      <c r="BZ96" s="382">
        <v>0</v>
      </c>
      <c r="CA96" s="382">
        <v>1501278</v>
      </c>
      <c r="CB96" s="381"/>
      <c r="CC96" s="381">
        <v>6092</v>
      </c>
      <c r="CD96" s="381">
        <v>0</v>
      </c>
      <c r="CE96" s="381">
        <v>0</v>
      </c>
      <c r="CF96" s="381">
        <v>6092</v>
      </c>
      <c r="CG96" s="381"/>
      <c r="CH96" s="381">
        <v>0</v>
      </c>
      <c r="CI96" s="381">
        <v>6193</v>
      </c>
      <c r="CJ96" s="381">
        <v>0</v>
      </c>
      <c r="CK96" s="381">
        <v>0</v>
      </c>
      <c r="CL96" s="381">
        <v>0</v>
      </c>
      <c r="CM96" s="381">
        <v>0</v>
      </c>
      <c r="CN96" s="381">
        <v>0</v>
      </c>
      <c r="CO96" s="381">
        <v>0</v>
      </c>
      <c r="CP96" s="381">
        <v>6193</v>
      </c>
      <c r="CQ96" s="381"/>
      <c r="CR96" s="381">
        <v>49107.449999999983</v>
      </c>
      <c r="CS96" s="381">
        <v>0</v>
      </c>
      <c r="CT96" s="381">
        <v>0</v>
      </c>
      <c r="CU96" s="381">
        <v>0.5</v>
      </c>
      <c r="CV96" s="381">
        <v>0</v>
      </c>
      <c r="CW96" s="381">
        <v>0</v>
      </c>
      <c r="CX96" s="381">
        <v>49107.949999999983</v>
      </c>
      <c r="CY96" s="381"/>
      <c r="CZ96" s="117"/>
      <c r="DA96" s="384"/>
      <c r="DB96" s="117"/>
      <c r="DC96" s="384"/>
      <c r="DD96" s="385"/>
      <c r="DE96" s="117"/>
      <c r="DF96" s="117"/>
      <c r="DG96" s="381"/>
      <c r="DH96" s="386"/>
      <c r="DI96" s="387"/>
      <c r="DJ96" s="381"/>
      <c r="DK96" s="381">
        <v>159602.44999999998</v>
      </c>
      <c r="DL96" s="381">
        <v>101.5</v>
      </c>
      <c r="DM96" s="381">
        <v>159703.94999999998</v>
      </c>
      <c r="DN96" s="381">
        <v>49107.449999999983</v>
      </c>
      <c r="DO96" s="381">
        <v>0.5</v>
      </c>
      <c r="DP96" s="381">
        <v>49107.949999999983</v>
      </c>
      <c r="DQ96" s="383"/>
      <c r="DR96" s="381"/>
      <c r="DS96" s="388"/>
      <c r="DT96" s="388"/>
    </row>
    <row r="97" spans="1:124" ht="14.25">
      <c r="A97" s="380">
        <v>534</v>
      </c>
      <c r="B97" s="391">
        <v>9162040</v>
      </c>
      <c r="C97" s="68">
        <v>2040</v>
      </c>
      <c r="D97" s="120"/>
      <c r="E97" s="120" t="s">
        <v>225</v>
      </c>
      <c r="F97" s="120"/>
      <c r="G97" s="120"/>
      <c r="H97" s="68"/>
      <c r="I97" s="381">
        <v>69147.839999999982</v>
      </c>
      <c r="J97" s="381">
        <v>7659.4499999999971</v>
      </c>
      <c r="K97" s="381">
        <v>0</v>
      </c>
      <c r="L97" s="381">
        <v>-1.8189894035458565E-12</v>
      </c>
      <c r="M97" s="381">
        <v>0</v>
      </c>
      <c r="N97" s="381">
        <v>0</v>
      </c>
      <c r="O97" s="381">
        <v>76807.289999999979</v>
      </c>
      <c r="P97" s="381"/>
      <c r="Q97" s="381">
        <v>817553</v>
      </c>
      <c r="R97" s="381">
        <v>0</v>
      </c>
      <c r="S97" s="381">
        <v>53844</v>
      </c>
      <c r="T97" s="381">
        <v>0</v>
      </c>
      <c r="U97" s="381">
        <v>41975</v>
      </c>
      <c r="V97" s="381">
        <v>82233</v>
      </c>
      <c r="W97" s="381">
        <v>0</v>
      </c>
      <c r="X97" s="381">
        <v>1700</v>
      </c>
      <c r="Y97" s="381">
        <v>28500</v>
      </c>
      <c r="Z97" s="381">
        <v>0</v>
      </c>
      <c r="AA97" s="381">
        <v>0</v>
      </c>
      <c r="AB97" s="381">
        <v>0</v>
      </c>
      <c r="AC97" s="381">
        <v>2179</v>
      </c>
      <c r="AD97" s="381">
        <v>1300</v>
      </c>
      <c r="AE97" s="381">
        <v>0</v>
      </c>
      <c r="AF97" s="381">
        <v>0</v>
      </c>
      <c r="AG97" s="381">
        <v>0</v>
      </c>
      <c r="AH97" s="381">
        <v>0</v>
      </c>
      <c r="AI97" s="381">
        <v>0</v>
      </c>
      <c r="AJ97" s="381">
        <v>0</v>
      </c>
      <c r="AK97" s="381">
        <v>0</v>
      </c>
      <c r="AL97" s="381">
        <v>1029284</v>
      </c>
      <c r="AM97" s="381"/>
      <c r="AN97" s="381">
        <v>561309</v>
      </c>
      <c r="AO97" s="381">
        <v>3000</v>
      </c>
      <c r="AP97" s="381">
        <v>163063</v>
      </c>
      <c r="AQ97" s="381">
        <v>0</v>
      </c>
      <c r="AR97" s="381">
        <v>46553</v>
      </c>
      <c r="AS97" s="381">
        <v>0</v>
      </c>
      <c r="AT97" s="381">
        <v>51330</v>
      </c>
      <c r="AU97" s="381">
        <v>3000</v>
      </c>
      <c r="AV97" s="381">
        <v>1621</v>
      </c>
      <c r="AW97" s="381">
        <v>424</v>
      </c>
      <c r="AX97" s="381">
        <v>0</v>
      </c>
      <c r="AY97" s="381">
        <v>11911</v>
      </c>
      <c r="AZ97" s="381">
        <v>7000</v>
      </c>
      <c r="BA97" s="381">
        <v>30800</v>
      </c>
      <c r="BB97" s="381">
        <v>6500</v>
      </c>
      <c r="BC97" s="381">
        <v>16000</v>
      </c>
      <c r="BD97" s="381">
        <v>9481</v>
      </c>
      <c r="BE97" s="381">
        <v>1500</v>
      </c>
      <c r="BF97" s="381">
        <v>42461</v>
      </c>
      <c r="BG97" s="381">
        <v>0</v>
      </c>
      <c r="BH97" s="381">
        <v>0</v>
      </c>
      <c r="BI97" s="381">
        <v>4750</v>
      </c>
      <c r="BJ97" s="381">
        <v>0</v>
      </c>
      <c r="BK97" s="381">
        <v>2790</v>
      </c>
      <c r="BL97" s="381">
        <v>2750</v>
      </c>
      <c r="BM97" s="381">
        <v>2200</v>
      </c>
      <c r="BN97" s="381">
        <v>2000</v>
      </c>
      <c r="BO97" s="381">
        <v>3894</v>
      </c>
      <c r="BP97" s="381">
        <v>6850</v>
      </c>
      <c r="BQ97" s="381">
        <v>7503</v>
      </c>
      <c r="BR97" s="381">
        <v>0</v>
      </c>
      <c r="BS97" s="381">
        <v>35274</v>
      </c>
      <c r="BT97" s="381">
        <v>12280</v>
      </c>
      <c r="BU97" s="381">
        <v>13209</v>
      </c>
      <c r="BV97" s="381">
        <v>0</v>
      </c>
      <c r="BW97" s="381">
        <v>0</v>
      </c>
      <c r="BX97" s="381">
        <v>0</v>
      </c>
      <c r="BY97" s="382">
        <v>0</v>
      </c>
      <c r="BZ97" s="382">
        <v>0</v>
      </c>
      <c r="CA97" s="382">
        <v>1049453</v>
      </c>
      <c r="CB97" s="381"/>
      <c r="CC97" s="381">
        <v>5553</v>
      </c>
      <c r="CD97" s="381">
        <v>0</v>
      </c>
      <c r="CE97" s="381">
        <v>0</v>
      </c>
      <c r="CF97" s="381">
        <v>5553</v>
      </c>
      <c r="CG97" s="381"/>
      <c r="CH97" s="381">
        <v>0</v>
      </c>
      <c r="CI97" s="381">
        <v>5553</v>
      </c>
      <c r="CJ97" s="381">
        <v>0</v>
      </c>
      <c r="CK97" s="381">
        <v>0</v>
      </c>
      <c r="CL97" s="381">
        <v>0</v>
      </c>
      <c r="CM97" s="381">
        <v>0</v>
      </c>
      <c r="CN97" s="381">
        <v>0</v>
      </c>
      <c r="CO97" s="381">
        <v>0</v>
      </c>
      <c r="CP97" s="381">
        <v>5553</v>
      </c>
      <c r="CQ97" s="381"/>
      <c r="CR97" s="381">
        <v>56638.289999999979</v>
      </c>
      <c r="CS97" s="381">
        <v>0</v>
      </c>
      <c r="CT97" s="381">
        <v>0</v>
      </c>
      <c r="CU97" s="381">
        <v>-1.8189894035458565E-12</v>
      </c>
      <c r="CV97" s="381">
        <v>0</v>
      </c>
      <c r="CW97" s="381">
        <v>0</v>
      </c>
      <c r="CX97" s="381">
        <v>56638.289999999979</v>
      </c>
      <c r="CY97" s="381"/>
      <c r="CZ97" s="117"/>
      <c r="DA97" s="384"/>
      <c r="DB97" s="117"/>
      <c r="DC97" s="384"/>
      <c r="DD97" s="385"/>
      <c r="DE97" s="117"/>
      <c r="DF97" s="117"/>
      <c r="DG97" s="381"/>
      <c r="DH97" s="386"/>
      <c r="DI97" s="387"/>
      <c r="DJ97" s="381"/>
      <c r="DK97" s="381">
        <v>76807.289999999979</v>
      </c>
      <c r="DL97" s="381">
        <v>-1.8189894035458565E-12</v>
      </c>
      <c r="DM97" s="381">
        <v>76807.289999999979</v>
      </c>
      <c r="DN97" s="381">
        <v>56638.289999999979</v>
      </c>
      <c r="DO97" s="381">
        <v>-1.8189894035458565E-12</v>
      </c>
      <c r="DP97" s="381">
        <v>56638.289999999979</v>
      </c>
      <c r="DQ97" s="383"/>
      <c r="DR97" s="381"/>
      <c r="DS97" s="388"/>
      <c r="DT97" s="388"/>
    </row>
    <row r="98" spans="1:124" ht="15">
      <c r="A98" s="380">
        <v>709</v>
      </c>
      <c r="B98" s="391">
        <v>9162077</v>
      </c>
      <c r="C98" s="68">
        <v>2077</v>
      </c>
      <c r="D98" s="120"/>
      <c r="E98" s="120" t="s">
        <v>207</v>
      </c>
      <c r="F98" s="120"/>
      <c r="G98" s="120"/>
      <c r="H98" s="68"/>
      <c r="I98" s="381">
        <v>-19850.939999999984</v>
      </c>
      <c r="J98" s="381">
        <v>12776.3</v>
      </c>
      <c r="K98" s="381">
        <v>0</v>
      </c>
      <c r="L98" s="381">
        <v>2017.8799999999992</v>
      </c>
      <c r="M98" s="381">
        <v>0</v>
      </c>
      <c r="N98" s="381">
        <v>-14508.23000000001</v>
      </c>
      <c r="O98" s="381">
        <v>-19564.989999999998</v>
      </c>
      <c r="P98" s="389"/>
      <c r="Q98" s="381">
        <v>604376</v>
      </c>
      <c r="R98" s="381">
        <v>0</v>
      </c>
      <c r="S98" s="381">
        <v>39672</v>
      </c>
      <c r="T98" s="381">
        <v>0</v>
      </c>
      <c r="U98" s="381">
        <v>27510</v>
      </c>
      <c r="V98" s="381">
        <v>30330</v>
      </c>
      <c r="W98" s="381">
        <v>0</v>
      </c>
      <c r="X98" s="381">
        <v>0</v>
      </c>
      <c r="Y98" s="381">
        <v>4500</v>
      </c>
      <c r="Z98" s="381">
        <v>0</v>
      </c>
      <c r="AA98" s="381">
        <v>0</v>
      </c>
      <c r="AB98" s="381">
        <v>0</v>
      </c>
      <c r="AC98" s="381">
        <v>422</v>
      </c>
      <c r="AD98" s="381">
        <v>0</v>
      </c>
      <c r="AE98" s="381">
        <v>0</v>
      </c>
      <c r="AF98" s="381">
        <v>20000</v>
      </c>
      <c r="AG98" s="381">
        <v>1000</v>
      </c>
      <c r="AH98" s="381">
        <v>0</v>
      </c>
      <c r="AI98" s="381">
        <v>0</v>
      </c>
      <c r="AJ98" s="381">
        <v>0</v>
      </c>
      <c r="AK98" s="381">
        <v>0</v>
      </c>
      <c r="AL98" s="381">
        <v>727810</v>
      </c>
      <c r="AM98" s="389"/>
      <c r="AN98" s="381">
        <v>429623</v>
      </c>
      <c r="AO98" s="381">
        <v>10500</v>
      </c>
      <c r="AP98" s="381">
        <v>104849</v>
      </c>
      <c r="AQ98" s="381">
        <v>0</v>
      </c>
      <c r="AR98" s="381">
        <v>46276</v>
      </c>
      <c r="AS98" s="381">
        <v>0</v>
      </c>
      <c r="AT98" s="381">
        <v>33020</v>
      </c>
      <c r="AU98" s="381">
        <v>3200</v>
      </c>
      <c r="AV98" s="381">
        <v>4250</v>
      </c>
      <c r="AW98" s="381">
        <v>254</v>
      </c>
      <c r="AX98" s="381">
        <v>0</v>
      </c>
      <c r="AY98" s="381">
        <v>11266</v>
      </c>
      <c r="AZ98" s="381">
        <v>4612</v>
      </c>
      <c r="BA98" s="381">
        <v>22318</v>
      </c>
      <c r="BB98" s="381">
        <v>3250</v>
      </c>
      <c r="BC98" s="381">
        <v>22000</v>
      </c>
      <c r="BD98" s="381">
        <v>15941</v>
      </c>
      <c r="BE98" s="381">
        <v>2000</v>
      </c>
      <c r="BF98" s="381">
        <v>57863</v>
      </c>
      <c r="BG98" s="381">
        <v>2000</v>
      </c>
      <c r="BH98" s="381">
        <v>0</v>
      </c>
      <c r="BI98" s="381">
        <v>0</v>
      </c>
      <c r="BJ98" s="381">
        <v>0</v>
      </c>
      <c r="BK98" s="381">
        <v>0</v>
      </c>
      <c r="BL98" s="381">
        <v>0</v>
      </c>
      <c r="BM98" s="381">
        <v>7871</v>
      </c>
      <c r="BN98" s="381">
        <v>0</v>
      </c>
      <c r="BO98" s="381">
        <v>700</v>
      </c>
      <c r="BP98" s="381">
        <v>4479</v>
      </c>
      <c r="BQ98" s="381">
        <v>500</v>
      </c>
      <c r="BR98" s="381">
        <v>22610</v>
      </c>
      <c r="BS98" s="381">
        <v>0</v>
      </c>
      <c r="BT98" s="381">
        <v>0</v>
      </c>
      <c r="BU98" s="381">
        <v>12023</v>
      </c>
      <c r="BV98" s="381">
        <v>0</v>
      </c>
      <c r="BW98" s="381">
        <v>0</v>
      </c>
      <c r="BX98" s="381">
        <v>0</v>
      </c>
      <c r="BY98" s="382">
        <v>42953</v>
      </c>
      <c r="BZ98" s="382">
        <v>500</v>
      </c>
      <c r="CA98" s="382">
        <v>864858</v>
      </c>
      <c r="CB98" s="389"/>
      <c r="CC98" s="381">
        <v>5035</v>
      </c>
      <c r="CD98" s="381">
        <v>0</v>
      </c>
      <c r="CE98" s="381">
        <v>0</v>
      </c>
      <c r="CF98" s="381">
        <v>5035</v>
      </c>
      <c r="CG98" s="389"/>
      <c r="CH98" s="381">
        <v>0</v>
      </c>
      <c r="CI98" s="381">
        <v>7053</v>
      </c>
      <c r="CJ98" s="381">
        <v>0</v>
      </c>
      <c r="CK98" s="381">
        <v>0</v>
      </c>
      <c r="CL98" s="381">
        <v>0</v>
      </c>
      <c r="CM98" s="381">
        <v>0</v>
      </c>
      <c r="CN98" s="381">
        <v>0</v>
      </c>
      <c r="CO98" s="381">
        <v>0</v>
      </c>
      <c r="CP98" s="381">
        <v>7053</v>
      </c>
      <c r="CQ98" s="390"/>
      <c r="CR98" s="381">
        <v>-121669.63999999998</v>
      </c>
      <c r="CS98" s="381">
        <v>0</v>
      </c>
      <c r="CT98" s="381">
        <v>0</v>
      </c>
      <c r="CU98" s="381">
        <v>-0.12000000000080036</v>
      </c>
      <c r="CV98" s="381">
        <v>0</v>
      </c>
      <c r="CW98" s="381">
        <v>-36961.23000000001</v>
      </c>
      <c r="CX98" s="381">
        <v>-158630.99</v>
      </c>
      <c r="CY98" s="381"/>
      <c r="CZ98" s="117"/>
      <c r="DA98" s="384"/>
      <c r="DB98" s="117"/>
      <c r="DC98" s="384"/>
      <c r="DD98" s="385"/>
      <c r="DE98" s="117"/>
      <c r="DF98" s="117"/>
      <c r="DG98" s="381"/>
      <c r="DH98" s="386"/>
      <c r="DI98" s="387"/>
      <c r="DJ98" s="381"/>
      <c r="DK98" s="381">
        <v>-21582.869999999995</v>
      </c>
      <c r="DL98" s="381">
        <v>2017.8799999999992</v>
      </c>
      <c r="DM98" s="381">
        <v>-19564.989999999998</v>
      </c>
      <c r="DN98" s="381">
        <v>-158630.87</v>
      </c>
      <c r="DO98" s="381">
        <v>-0.12000000000080036</v>
      </c>
      <c r="DP98" s="381">
        <v>-158630.99</v>
      </c>
      <c r="DQ98" s="383"/>
      <c r="DR98" s="381"/>
      <c r="DS98" s="388"/>
      <c r="DT98" s="388"/>
    </row>
    <row r="99" spans="1:124" ht="14.25">
      <c r="A99" s="380">
        <v>694</v>
      </c>
      <c r="B99" s="391">
        <v>9163331</v>
      </c>
      <c r="C99" s="68">
        <v>3331</v>
      </c>
      <c r="D99" s="120"/>
      <c r="E99" s="120" t="s">
        <v>188</v>
      </c>
      <c r="F99" s="120"/>
      <c r="G99" s="120"/>
      <c r="H99" s="68"/>
      <c r="I99" s="381">
        <v>45634.659999999625</v>
      </c>
      <c r="J99" s="381">
        <v>180</v>
      </c>
      <c r="K99" s="381">
        <v>0</v>
      </c>
      <c r="L99" s="381">
        <v>3.637978807091713E-12</v>
      </c>
      <c r="M99" s="381">
        <v>0</v>
      </c>
      <c r="N99" s="381">
        <v>-1896.1799999999494</v>
      </c>
      <c r="O99" s="381">
        <v>43918.479999999676</v>
      </c>
      <c r="P99" s="381"/>
      <c r="Q99" s="381">
        <v>1051889</v>
      </c>
      <c r="R99" s="381">
        <v>0</v>
      </c>
      <c r="S99" s="381">
        <v>54235</v>
      </c>
      <c r="T99" s="381">
        <v>0</v>
      </c>
      <c r="U99" s="381">
        <v>46515</v>
      </c>
      <c r="V99" s="381">
        <v>46373</v>
      </c>
      <c r="W99" s="381">
        <v>0</v>
      </c>
      <c r="X99" s="381">
        <v>4700</v>
      </c>
      <c r="Y99" s="381">
        <v>34272</v>
      </c>
      <c r="Z99" s="381">
        <v>6897</v>
      </c>
      <c r="AA99" s="381">
        <v>0</v>
      </c>
      <c r="AB99" s="381">
        <v>0</v>
      </c>
      <c r="AC99" s="381">
        <v>16000</v>
      </c>
      <c r="AD99" s="381">
        <v>0</v>
      </c>
      <c r="AE99" s="381">
        <v>0</v>
      </c>
      <c r="AF99" s="381">
        <v>113883</v>
      </c>
      <c r="AG99" s="381">
        <v>12674</v>
      </c>
      <c r="AH99" s="381">
        <v>0</v>
      </c>
      <c r="AI99" s="381">
        <v>0</v>
      </c>
      <c r="AJ99" s="381">
        <v>0</v>
      </c>
      <c r="AK99" s="381">
        <v>0</v>
      </c>
      <c r="AL99" s="381">
        <v>1387438</v>
      </c>
      <c r="AM99" s="381"/>
      <c r="AN99" s="381">
        <v>706236</v>
      </c>
      <c r="AO99" s="381">
        <v>0</v>
      </c>
      <c r="AP99" s="381">
        <v>242281</v>
      </c>
      <c r="AQ99" s="381">
        <v>14722</v>
      </c>
      <c r="AR99" s="381">
        <v>69066</v>
      </c>
      <c r="AS99" s="381">
        <v>4439</v>
      </c>
      <c r="AT99" s="381">
        <v>42850</v>
      </c>
      <c r="AU99" s="381">
        <v>0</v>
      </c>
      <c r="AV99" s="381">
        <v>5500</v>
      </c>
      <c r="AW99" s="381">
        <v>7007</v>
      </c>
      <c r="AX99" s="381">
        <v>1600</v>
      </c>
      <c r="AY99" s="381">
        <v>18064</v>
      </c>
      <c r="AZ99" s="381">
        <v>4000</v>
      </c>
      <c r="BA99" s="381">
        <v>20000</v>
      </c>
      <c r="BB99" s="381">
        <v>4750</v>
      </c>
      <c r="BC99" s="381">
        <v>18700</v>
      </c>
      <c r="BD99" s="381">
        <v>3219</v>
      </c>
      <c r="BE99" s="381">
        <v>8200</v>
      </c>
      <c r="BF99" s="381">
        <v>54871</v>
      </c>
      <c r="BG99" s="381">
        <v>2500</v>
      </c>
      <c r="BH99" s="381">
        <v>0</v>
      </c>
      <c r="BI99" s="381">
        <v>16744</v>
      </c>
      <c r="BJ99" s="381">
        <v>0</v>
      </c>
      <c r="BK99" s="381">
        <v>3500</v>
      </c>
      <c r="BL99" s="381">
        <v>0</v>
      </c>
      <c r="BM99" s="381">
        <v>8702</v>
      </c>
      <c r="BN99" s="381">
        <v>0</v>
      </c>
      <c r="BO99" s="381">
        <v>3550</v>
      </c>
      <c r="BP99" s="381">
        <v>10742</v>
      </c>
      <c r="BQ99" s="381">
        <v>0</v>
      </c>
      <c r="BR99" s="381">
        <v>42759</v>
      </c>
      <c r="BS99" s="381">
        <v>9500</v>
      </c>
      <c r="BT99" s="381">
        <v>4200</v>
      </c>
      <c r="BU99" s="381">
        <v>15381</v>
      </c>
      <c r="BV99" s="381">
        <v>0</v>
      </c>
      <c r="BW99" s="381">
        <v>0</v>
      </c>
      <c r="BX99" s="381">
        <v>1500</v>
      </c>
      <c r="BY99" s="382">
        <v>106331</v>
      </c>
      <c r="BZ99" s="382">
        <v>6873</v>
      </c>
      <c r="CA99" s="382">
        <v>1457787</v>
      </c>
      <c r="CB99" s="381"/>
      <c r="CC99" s="381">
        <v>0</v>
      </c>
      <c r="CD99" s="381">
        <v>0</v>
      </c>
      <c r="CE99" s="381">
        <v>1500</v>
      </c>
      <c r="CF99" s="381">
        <v>1500</v>
      </c>
      <c r="CG99" s="381"/>
      <c r="CH99" s="381">
        <v>0</v>
      </c>
      <c r="CI99" s="381">
        <v>1500</v>
      </c>
      <c r="CJ99" s="381">
        <v>0</v>
      </c>
      <c r="CK99" s="381">
        <v>0</v>
      </c>
      <c r="CL99" s="381">
        <v>0</v>
      </c>
      <c r="CM99" s="381">
        <v>0</v>
      </c>
      <c r="CN99" s="381">
        <v>0</v>
      </c>
      <c r="CO99" s="381">
        <v>0</v>
      </c>
      <c r="CP99" s="381">
        <v>1500</v>
      </c>
      <c r="CQ99" s="381"/>
      <c r="CR99" s="381">
        <v>-37887.340000000375</v>
      </c>
      <c r="CS99" s="381">
        <v>0</v>
      </c>
      <c r="CT99" s="381">
        <v>0</v>
      </c>
      <c r="CU99" s="381">
        <v>3.637978807091713E-12</v>
      </c>
      <c r="CV99" s="381">
        <v>0</v>
      </c>
      <c r="CW99" s="381">
        <v>11456.820000000051</v>
      </c>
      <c r="CX99" s="381">
        <v>-26430.520000000324</v>
      </c>
      <c r="CY99" s="381"/>
      <c r="CZ99" s="117"/>
      <c r="DA99" s="384"/>
      <c r="DB99" s="117"/>
      <c r="DC99" s="384"/>
      <c r="DD99" s="385"/>
      <c r="DE99" s="117"/>
      <c r="DF99" s="117"/>
      <c r="DG99" s="381"/>
      <c r="DH99" s="386"/>
      <c r="DI99" s="387"/>
      <c r="DJ99" s="381"/>
      <c r="DK99" s="381">
        <v>43918.479999999676</v>
      </c>
      <c r="DL99" s="381">
        <v>3.637978807091713E-12</v>
      </c>
      <c r="DM99" s="381">
        <v>43918.479999999676</v>
      </c>
      <c r="DN99" s="381">
        <v>-26430.520000000324</v>
      </c>
      <c r="DO99" s="381">
        <v>3.637978807091713E-12</v>
      </c>
      <c r="DP99" s="381">
        <v>-26430.520000000321</v>
      </c>
      <c r="DQ99" s="383"/>
      <c r="DR99" s="381"/>
      <c r="DS99" s="388"/>
      <c r="DT99" s="388"/>
    </row>
    <row r="100" spans="1:124" ht="14.25">
      <c r="A100" s="380">
        <v>928</v>
      </c>
      <c r="B100" s="391">
        <v>9162013</v>
      </c>
      <c r="C100" s="68">
        <v>2013</v>
      </c>
      <c r="D100" s="120"/>
      <c r="E100" s="120" t="s">
        <v>755</v>
      </c>
      <c r="F100" s="120"/>
      <c r="G100" s="120"/>
      <c r="H100" s="68"/>
      <c r="I100" s="381">
        <v>-34541.9000000003</v>
      </c>
      <c r="J100" s="381">
        <v>33733</v>
      </c>
      <c r="K100" s="381">
        <v>0</v>
      </c>
      <c r="L100" s="381">
        <v>14547.309999999996</v>
      </c>
      <c r="M100" s="381">
        <v>0</v>
      </c>
      <c r="N100" s="381">
        <v>0</v>
      </c>
      <c r="O100" s="381">
        <v>13738.409999999696</v>
      </c>
      <c r="P100" s="381"/>
      <c r="Q100" s="381">
        <v>3261375</v>
      </c>
      <c r="R100" s="381">
        <v>0</v>
      </c>
      <c r="S100" s="381">
        <v>105164</v>
      </c>
      <c r="T100" s="381">
        <v>0</v>
      </c>
      <c r="U100" s="381">
        <v>142140</v>
      </c>
      <c r="V100" s="381">
        <v>115714</v>
      </c>
      <c r="W100" s="381">
        <v>6000</v>
      </c>
      <c r="X100" s="381">
        <v>15000</v>
      </c>
      <c r="Y100" s="381">
        <v>15200</v>
      </c>
      <c r="Z100" s="381">
        <v>1600</v>
      </c>
      <c r="AA100" s="381">
        <v>0</v>
      </c>
      <c r="AB100" s="381">
        <v>0</v>
      </c>
      <c r="AC100" s="381">
        <v>55000</v>
      </c>
      <c r="AD100" s="381">
        <v>0</v>
      </c>
      <c r="AE100" s="381">
        <v>0</v>
      </c>
      <c r="AF100" s="381">
        <v>0</v>
      </c>
      <c r="AG100" s="381">
        <v>0</v>
      </c>
      <c r="AH100" s="381">
        <v>0</v>
      </c>
      <c r="AI100" s="381">
        <v>0</v>
      </c>
      <c r="AJ100" s="381">
        <v>0</v>
      </c>
      <c r="AK100" s="381">
        <v>0</v>
      </c>
      <c r="AL100" s="381">
        <v>3717193</v>
      </c>
      <c r="AM100" s="381"/>
      <c r="AN100" s="381">
        <v>2015794</v>
      </c>
      <c r="AO100" s="381">
        <v>42000</v>
      </c>
      <c r="AP100" s="381">
        <v>723095</v>
      </c>
      <c r="AQ100" s="381">
        <v>150613</v>
      </c>
      <c r="AR100" s="381">
        <v>149162</v>
      </c>
      <c r="AS100" s="381">
        <v>0</v>
      </c>
      <c r="AT100" s="381">
        <v>83235</v>
      </c>
      <c r="AU100" s="381">
        <v>15426</v>
      </c>
      <c r="AV100" s="381">
        <v>11000</v>
      </c>
      <c r="AW100" s="381">
        <v>1909</v>
      </c>
      <c r="AX100" s="381">
        <v>0</v>
      </c>
      <c r="AY100" s="381">
        <v>30519</v>
      </c>
      <c r="AZ100" s="381">
        <v>9202</v>
      </c>
      <c r="BA100" s="381">
        <v>12037</v>
      </c>
      <c r="BB100" s="381">
        <v>10000</v>
      </c>
      <c r="BC100" s="381">
        <v>65500</v>
      </c>
      <c r="BD100" s="381">
        <v>62517</v>
      </c>
      <c r="BE100" s="381">
        <v>6780</v>
      </c>
      <c r="BF100" s="381">
        <v>186205</v>
      </c>
      <c r="BG100" s="381">
        <v>3000</v>
      </c>
      <c r="BH100" s="381">
        <v>0</v>
      </c>
      <c r="BI100" s="381">
        <v>16400</v>
      </c>
      <c r="BJ100" s="381">
        <v>2250</v>
      </c>
      <c r="BK100" s="381">
        <v>5000</v>
      </c>
      <c r="BL100" s="381">
        <v>0</v>
      </c>
      <c r="BM100" s="381">
        <v>11242</v>
      </c>
      <c r="BN100" s="381">
        <v>0</v>
      </c>
      <c r="BO100" s="381">
        <v>23640</v>
      </c>
      <c r="BP100" s="381">
        <v>33791</v>
      </c>
      <c r="BQ100" s="381">
        <v>0</v>
      </c>
      <c r="BR100" s="381">
        <v>139673</v>
      </c>
      <c r="BS100" s="381">
        <v>10000</v>
      </c>
      <c r="BT100" s="381">
        <v>1764</v>
      </c>
      <c r="BU100" s="381">
        <v>26143</v>
      </c>
      <c r="BV100" s="381">
        <v>0</v>
      </c>
      <c r="BW100" s="381">
        <v>0</v>
      </c>
      <c r="BX100" s="381">
        <v>0</v>
      </c>
      <c r="BY100" s="381">
        <v>0</v>
      </c>
      <c r="BZ100" s="381">
        <v>0</v>
      </c>
      <c r="CA100" s="381">
        <v>3847897</v>
      </c>
      <c r="CB100" s="381"/>
      <c r="CC100" s="381">
        <v>11026</v>
      </c>
      <c r="CD100" s="381">
        <v>0</v>
      </c>
      <c r="CE100" s="381">
        <v>0</v>
      </c>
      <c r="CF100" s="381">
        <v>11026</v>
      </c>
      <c r="CG100" s="381"/>
      <c r="CH100" s="381">
        <v>0</v>
      </c>
      <c r="CI100" s="381">
        <v>25573</v>
      </c>
      <c r="CJ100" s="381">
        <v>0</v>
      </c>
      <c r="CK100" s="381">
        <v>0</v>
      </c>
      <c r="CL100" s="381">
        <v>0</v>
      </c>
      <c r="CM100" s="381">
        <v>0</v>
      </c>
      <c r="CN100" s="381">
        <v>0</v>
      </c>
      <c r="CO100" s="381">
        <v>0</v>
      </c>
      <c r="CP100" s="381">
        <v>25573</v>
      </c>
      <c r="CQ100" s="381"/>
      <c r="CR100" s="381">
        <v>-131512.90000000031</v>
      </c>
      <c r="CS100" s="381">
        <v>0</v>
      </c>
      <c r="CT100" s="381">
        <v>0</v>
      </c>
      <c r="CU100" s="381">
        <v>0.3099999999958527</v>
      </c>
      <c r="CV100" s="381">
        <v>0</v>
      </c>
      <c r="CW100" s="381">
        <v>0</v>
      </c>
      <c r="CX100" s="381">
        <v>-131512.59000000032</v>
      </c>
      <c r="CY100" s="381">
        <v>-131512.59000000032</v>
      </c>
      <c r="CZ100" s="117"/>
      <c r="DA100" s="384"/>
      <c r="DB100" s="117"/>
      <c r="DC100" s="384"/>
      <c r="DD100" s="385"/>
      <c r="DE100" s="117"/>
      <c r="DF100" s="117"/>
      <c r="DG100" s="381"/>
      <c r="DH100" s="386"/>
      <c r="DI100" s="387"/>
      <c r="DJ100" s="381"/>
      <c r="DK100" s="381">
        <v>-808.90000000029977</v>
      </c>
      <c r="DL100" s="381">
        <v>14547.309999999996</v>
      </c>
      <c r="DM100" s="381">
        <v>13738.409999999696</v>
      </c>
      <c r="DN100" s="381">
        <v>-131512.90000000031</v>
      </c>
      <c r="DO100" s="381">
        <v>0.3099999999958527</v>
      </c>
      <c r="DP100" s="381">
        <v>-131512.59000000032</v>
      </c>
      <c r="DQ100" s="383"/>
      <c r="DR100" s="381"/>
      <c r="DS100" s="388"/>
      <c r="DT100" s="388"/>
    </row>
    <row r="101" spans="1:124" ht="15">
      <c r="A101" s="380">
        <v>842</v>
      </c>
      <c r="B101" s="391">
        <v>9163080</v>
      </c>
      <c r="C101" s="68">
        <v>3080</v>
      </c>
      <c r="D101" s="120"/>
      <c r="E101" s="120" t="s">
        <v>197</v>
      </c>
      <c r="F101" s="120"/>
      <c r="G101" s="120"/>
      <c r="H101" s="68"/>
      <c r="I101" s="381">
        <v>140680.52000000002</v>
      </c>
      <c r="J101" s="381">
        <v>1266.67</v>
      </c>
      <c r="K101" s="381">
        <v>0</v>
      </c>
      <c r="L101" s="381">
        <v>12494.130000000001</v>
      </c>
      <c r="M101" s="381">
        <v>0</v>
      </c>
      <c r="N101" s="381">
        <v>0</v>
      </c>
      <c r="O101" s="381">
        <v>154441.32000000004</v>
      </c>
      <c r="P101" s="389"/>
      <c r="Q101" s="381">
        <v>643517</v>
      </c>
      <c r="R101" s="381">
        <v>0</v>
      </c>
      <c r="S101" s="381">
        <v>25379</v>
      </c>
      <c r="T101" s="381">
        <v>0</v>
      </c>
      <c r="U101" s="381">
        <v>18850</v>
      </c>
      <c r="V101" s="381">
        <v>43270</v>
      </c>
      <c r="W101" s="381">
        <v>0</v>
      </c>
      <c r="X101" s="381">
        <v>0</v>
      </c>
      <c r="Y101" s="381">
        <v>0</v>
      </c>
      <c r="Z101" s="381">
        <v>0</v>
      </c>
      <c r="AA101" s="381">
        <v>0</v>
      </c>
      <c r="AB101" s="381">
        <v>0</v>
      </c>
      <c r="AC101" s="381">
        <v>13000</v>
      </c>
      <c r="AD101" s="381">
        <v>0</v>
      </c>
      <c r="AE101" s="381">
        <v>0</v>
      </c>
      <c r="AF101" s="381">
        <v>0</v>
      </c>
      <c r="AG101" s="381">
        <v>0</v>
      </c>
      <c r="AH101" s="381">
        <v>0</v>
      </c>
      <c r="AI101" s="381">
        <v>0</v>
      </c>
      <c r="AJ101" s="381">
        <v>0</v>
      </c>
      <c r="AK101" s="381">
        <v>0</v>
      </c>
      <c r="AL101" s="381">
        <v>744016</v>
      </c>
      <c r="AM101" s="389"/>
      <c r="AN101" s="381">
        <v>394818</v>
      </c>
      <c r="AO101" s="381">
        <v>6000</v>
      </c>
      <c r="AP101" s="381">
        <v>137718</v>
      </c>
      <c r="AQ101" s="381">
        <v>15576</v>
      </c>
      <c r="AR101" s="381">
        <v>37736</v>
      </c>
      <c r="AS101" s="381">
        <v>0</v>
      </c>
      <c r="AT101" s="381">
        <v>13318</v>
      </c>
      <c r="AU101" s="381">
        <v>3051</v>
      </c>
      <c r="AV101" s="381">
        <v>3000</v>
      </c>
      <c r="AW101" s="381">
        <v>6803</v>
      </c>
      <c r="AX101" s="381">
        <v>1250</v>
      </c>
      <c r="AY101" s="381">
        <v>9417</v>
      </c>
      <c r="AZ101" s="381">
        <v>1600</v>
      </c>
      <c r="BA101" s="381">
        <v>3000</v>
      </c>
      <c r="BB101" s="381">
        <v>5698</v>
      </c>
      <c r="BC101" s="381">
        <v>11000</v>
      </c>
      <c r="BD101" s="381">
        <v>12600</v>
      </c>
      <c r="BE101" s="381">
        <v>16069</v>
      </c>
      <c r="BF101" s="381">
        <v>29528</v>
      </c>
      <c r="BG101" s="381">
        <v>0</v>
      </c>
      <c r="BH101" s="381">
        <v>0</v>
      </c>
      <c r="BI101" s="381">
        <v>2600</v>
      </c>
      <c r="BJ101" s="381">
        <v>0</v>
      </c>
      <c r="BK101" s="381">
        <v>2500</v>
      </c>
      <c r="BL101" s="381">
        <v>4325</v>
      </c>
      <c r="BM101" s="381">
        <v>0</v>
      </c>
      <c r="BN101" s="381">
        <v>1098</v>
      </c>
      <c r="BO101" s="381">
        <v>6951</v>
      </c>
      <c r="BP101" s="381">
        <v>2250</v>
      </c>
      <c r="BQ101" s="381">
        <v>5506</v>
      </c>
      <c r="BR101" s="381">
        <v>0</v>
      </c>
      <c r="BS101" s="381">
        <v>26990</v>
      </c>
      <c r="BT101" s="381">
        <v>18649</v>
      </c>
      <c r="BU101" s="381">
        <v>15873</v>
      </c>
      <c r="BV101" s="381">
        <v>0</v>
      </c>
      <c r="BW101" s="381">
        <v>0</v>
      </c>
      <c r="BX101" s="381">
        <v>0</v>
      </c>
      <c r="BY101" s="382">
        <v>0</v>
      </c>
      <c r="BZ101" s="382">
        <v>0</v>
      </c>
      <c r="CA101" s="382">
        <v>794924</v>
      </c>
      <c r="CB101" s="389"/>
      <c r="CC101" s="381">
        <v>5238</v>
      </c>
      <c r="CD101" s="381">
        <v>0</v>
      </c>
      <c r="CE101" s="381">
        <v>0</v>
      </c>
      <c r="CF101" s="381">
        <v>5238</v>
      </c>
      <c r="CG101" s="389"/>
      <c r="CH101" s="381">
        <v>0</v>
      </c>
      <c r="CI101" s="381">
        <v>17732</v>
      </c>
      <c r="CJ101" s="381">
        <v>0</v>
      </c>
      <c r="CK101" s="381">
        <v>0</v>
      </c>
      <c r="CL101" s="381">
        <v>0</v>
      </c>
      <c r="CM101" s="381">
        <v>0</v>
      </c>
      <c r="CN101" s="381">
        <v>0</v>
      </c>
      <c r="CO101" s="381">
        <v>0</v>
      </c>
      <c r="CP101" s="381">
        <v>17732</v>
      </c>
      <c r="CQ101" s="390"/>
      <c r="CR101" s="381">
        <v>91039.190000000031</v>
      </c>
      <c r="CS101" s="381">
        <v>0</v>
      </c>
      <c r="CT101" s="381">
        <v>0</v>
      </c>
      <c r="CU101" s="381">
        <v>0.13000000000101863</v>
      </c>
      <c r="CV101" s="381">
        <v>0</v>
      </c>
      <c r="CW101" s="381">
        <v>0</v>
      </c>
      <c r="CX101" s="381">
        <v>91039.320000000036</v>
      </c>
      <c r="CY101" s="381"/>
      <c r="CZ101" s="117"/>
      <c r="DA101" s="384"/>
      <c r="DB101" s="117"/>
      <c r="DC101" s="384"/>
      <c r="DD101" s="385"/>
      <c r="DE101" s="117"/>
      <c r="DF101" s="117"/>
      <c r="DG101" s="381"/>
      <c r="DH101" s="386"/>
      <c r="DI101" s="387"/>
      <c r="DJ101" s="381"/>
      <c r="DK101" s="381">
        <v>141947.19000000003</v>
      </c>
      <c r="DL101" s="381">
        <v>12494.130000000001</v>
      </c>
      <c r="DM101" s="381">
        <v>154441.32000000004</v>
      </c>
      <c r="DN101" s="381">
        <v>91039.190000000031</v>
      </c>
      <c r="DO101" s="381">
        <v>0.13000000000101863</v>
      </c>
      <c r="DP101" s="381">
        <v>91039.320000000036</v>
      </c>
      <c r="DQ101" s="383"/>
      <c r="DR101" s="381"/>
      <c r="DS101" s="388"/>
      <c r="DT101" s="388"/>
    </row>
    <row r="102" spans="1:124" ht="14.25">
      <c r="A102" s="380">
        <v>586</v>
      </c>
      <c r="B102" s="391">
        <v>9162050</v>
      </c>
      <c r="C102" s="68">
        <v>2050</v>
      </c>
      <c r="D102" s="120"/>
      <c r="E102" s="120" t="s">
        <v>226</v>
      </c>
      <c r="F102" s="120"/>
      <c r="G102" s="120"/>
      <c r="H102" s="68"/>
      <c r="I102" s="381">
        <v>-59136.909999999807</v>
      </c>
      <c r="J102" s="381">
        <v>11870.97</v>
      </c>
      <c r="K102" s="381">
        <v>0</v>
      </c>
      <c r="L102" s="381">
        <v>1239.8700000000001</v>
      </c>
      <c r="M102" s="381">
        <v>0</v>
      </c>
      <c r="N102" s="381">
        <v>0</v>
      </c>
      <c r="O102" s="381">
        <v>-46026.069999999803</v>
      </c>
      <c r="P102" s="381"/>
      <c r="Q102" s="381">
        <v>977078</v>
      </c>
      <c r="R102" s="381">
        <v>0</v>
      </c>
      <c r="S102" s="381">
        <v>25502</v>
      </c>
      <c r="T102" s="381">
        <v>0</v>
      </c>
      <c r="U102" s="381">
        <v>20670</v>
      </c>
      <c r="V102" s="381">
        <v>54457</v>
      </c>
      <c r="W102" s="381">
        <v>0</v>
      </c>
      <c r="X102" s="381">
        <v>0</v>
      </c>
      <c r="Y102" s="381">
        <v>14000</v>
      </c>
      <c r="Z102" s="381">
        <v>0</v>
      </c>
      <c r="AA102" s="381">
        <v>0</v>
      </c>
      <c r="AB102" s="381">
        <v>0</v>
      </c>
      <c r="AC102" s="381">
        <v>0</v>
      </c>
      <c r="AD102" s="381">
        <v>0</v>
      </c>
      <c r="AE102" s="381">
        <v>0</v>
      </c>
      <c r="AF102" s="381">
        <v>0</v>
      </c>
      <c r="AG102" s="381">
        <v>0</v>
      </c>
      <c r="AH102" s="381">
        <v>0</v>
      </c>
      <c r="AI102" s="381">
        <v>0</v>
      </c>
      <c r="AJ102" s="381">
        <v>0</v>
      </c>
      <c r="AK102" s="381">
        <v>0</v>
      </c>
      <c r="AL102" s="381">
        <v>1091707</v>
      </c>
      <c r="AM102" s="381"/>
      <c r="AN102" s="381">
        <v>648621</v>
      </c>
      <c r="AO102" s="381">
        <v>6250</v>
      </c>
      <c r="AP102" s="381">
        <v>195975</v>
      </c>
      <c r="AQ102" s="381">
        <v>8759</v>
      </c>
      <c r="AR102" s="381">
        <v>67317</v>
      </c>
      <c r="AS102" s="381">
        <v>0</v>
      </c>
      <c r="AT102" s="381">
        <v>18358</v>
      </c>
      <c r="AU102" s="381">
        <v>4788</v>
      </c>
      <c r="AV102" s="381">
        <v>4700</v>
      </c>
      <c r="AW102" s="381">
        <v>4168</v>
      </c>
      <c r="AX102" s="381">
        <v>898</v>
      </c>
      <c r="AY102" s="381">
        <v>8594</v>
      </c>
      <c r="AZ102" s="381">
        <v>2000</v>
      </c>
      <c r="BA102" s="381">
        <v>27758</v>
      </c>
      <c r="BB102" s="381">
        <v>2500</v>
      </c>
      <c r="BC102" s="381">
        <v>19800</v>
      </c>
      <c r="BD102" s="381">
        <v>5610</v>
      </c>
      <c r="BE102" s="381">
        <v>7487</v>
      </c>
      <c r="BF102" s="381">
        <v>27284</v>
      </c>
      <c r="BG102" s="381">
        <v>4464</v>
      </c>
      <c r="BH102" s="381">
        <v>0</v>
      </c>
      <c r="BI102" s="381">
        <v>0</v>
      </c>
      <c r="BJ102" s="381">
        <v>736</v>
      </c>
      <c r="BK102" s="381">
        <v>0</v>
      </c>
      <c r="BL102" s="381">
        <v>0</v>
      </c>
      <c r="BM102" s="381">
        <v>1985</v>
      </c>
      <c r="BN102" s="381">
        <v>0</v>
      </c>
      <c r="BO102" s="381">
        <v>2698</v>
      </c>
      <c r="BP102" s="381">
        <v>8995</v>
      </c>
      <c r="BQ102" s="381">
        <v>0</v>
      </c>
      <c r="BR102" s="381">
        <v>47030</v>
      </c>
      <c r="BS102" s="381">
        <v>1250</v>
      </c>
      <c r="BT102" s="381">
        <v>29930</v>
      </c>
      <c r="BU102" s="381">
        <v>13005</v>
      </c>
      <c r="BV102" s="381">
        <v>0</v>
      </c>
      <c r="BW102" s="381">
        <v>0</v>
      </c>
      <c r="BX102" s="381">
        <v>0</v>
      </c>
      <c r="BY102" s="382">
        <v>0</v>
      </c>
      <c r="BZ102" s="382">
        <v>0</v>
      </c>
      <c r="CA102" s="382">
        <v>1170960</v>
      </c>
      <c r="CB102" s="381"/>
      <c r="CC102" s="381">
        <v>6227</v>
      </c>
      <c r="CD102" s="381">
        <v>0</v>
      </c>
      <c r="CE102" s="381">
        <v>0</v>
      </c>
      <c r="CF102" s="381">
        <v>6227</v>
      </c>
      <c r="CG102" s="381"/>
      <c r="CH102" s="381">
        <v>0</v>
      </c>
      <c r="CI102" s="381">
        <v>4859</v>
      </c>
      <c r="CJ102" s="381">
        <v>0</v>
      </c>
      <c r="CK102" s="381">
        <v>0</v>
      </c>
      <c r="CL102" s="381">
        <v>2608</v>
      </c>
      <c r="CM102" s="381">
        <v>0</v>
      </c>
      <c r="CN102" s="381">
        <v>0</v>
      </c>
      <c r="CO102" s="381">
        <v>0</v>
      </c>
      <c r="CP102" s="381">
        <v>7467</v>
      </c>
      <c r="CQ102" s="381"/>
      <c r="CR102" s="381">
        <v>-126518.9399999998</v>
      </c>
      <c r="CS102" s="381">
        <v>0</v>
      </c>
      <c r="CT102" s="381">
        <v>0</v>
      </c>
      <c r="CU102" s="381">
        <v>-0.12999999999988177</v>
      </c>
      <c r="CV102" s="381">
        <v>0</v>
      </c>
      <c r="CW102" s="381">
        <v>0</v>
      </c>
      <c r="CX102" s="381">
        <v>-126519.0699999998</v>
      </c>
      <c r="CY102" s="381"/>
      <c r="CZ102" s="117"/>
      <c r="DA102" s="384"/>
      <c r="DB102" s="117"/>
      <c r="DC102" s="384"/>
      <c r="DD102" s="385"/>
      <c r="DE102" s="117"/>
      <c r="DF102" s="117"/>
      <c r="DG102" s="381"/>
      <c r="DH102" s="386"/>
      <c r="DI102" s="387"/>
      <c r="DJ102" s="381"/>
      <c r="DK102" s="381">
        <v>-47265.939999999806</v>
      </c>
      <c r="DL102" s="381">
        <v>1239.8700000000001</v>
      </c>
      <c r="DM102" s="381">
        <v>-46026.069999999803</v>
      </c>
      <c r="DN102" s="381">
        <v>-126518.9399999998</v>
      </c>
      <c r="DO102" s="381">
        <v>-0.12999999999988177</v>
      </c>
      <c r="DP102" s="381">
        <v>-126519.0699999998</v>
      </c>
      <c r="DQ102" s="383"/>
      <c r="DR102" s="381"/>
      <c r="DS102" s="388"/>
      <c r="DT102" s="388"/>
    </row>
    <row r="103" spans="1:124" ht="12.75" customHeight="1">
      <c r="A103" s="380">
        <v>811</v>
      </c>
      <c r="B103" s="391">
        <v>9163073</v>
      </c>
      <c r="C103" s="68">
        <v>3073</v>
      </c>
      <c r="D103" s="120"/>
      <c r="E103" s="120" t="s">
        <v>235</v>
      </c>
      <c r="F103" s="120"/>
      <c r="G103" s="120"/>
      <c r="H103" s="68"/>
      <c r="I103" s="381">
        <v>5340.3999999996831</v>
      </c>
      <c r="J103" s="381">
        <v>456.65</v>
      </c>
      <c r="K103" s="381">
        <v>0</v>
      </c>
      <c r="L103" s="381">
        <v>9378.2199999999993</v>
      </c>
      <c r="M103" s="381">
        <v>0</v>
      </c>
      <c r="N103" s="381">
        <v>22237.089999999997</v>
      </c>
      <c r="O103" s="381">
        <v>37412.35999999968</v>
      </c>
      <c r="P103" s="381"/>
      <c r="Q103" s="381">
        <v>1444686</v>
      </c>
      <c r="R103" s="381">
        <v>0</v>
      </c>
      <c r="S103" s="381">
        <v>58352</v>
      </c>
      <c r="T103" s="381">
        <v>0</v>
      </c>
      <c r="U103" s="381">
        <v>90335</v>
      </c>
      <c r="V103" s="381">
        <v>69250</v>
      </c>
      <c r="W103" s="381">
        <v>0</v>
      </c>
      <c r="X103" s="381">
        <v>0</v>
      </c>
      <c r="Y103" s="381">
        <v>38000</v>
      </c>
      <c r="Z103" s="381">
        <v>25000</v>
      </c>
      <c r="AA103" s="381">
        <v>0</v>
      </c>
      <c r="AB103" s="381">
        <v>0</v>
      </c>
      <c r="AC103" s="381">
        <v>27105</v>
      </c>
      <c r="AD103" s="381">
        <v>5000</v>
      </c>
      <c r="AE103" s="381">
        <v>0</v>
      </c>
      <c r="AF103" s="381">
        <v>138000</v>
      </c>
      <c r="AG103" s="381">
        <v>12450</v>
      </c>
      <c r="AH103" s="381">
        <v>0</v>
      </c>
      <c r="AI103" s="381">
        <v>0</v>
      </c>
      <c r="AJ103" s="381">
        <v>0</v>
      </c>
      <c r="AK103" s="381">
        <v>0</v>
      </c>
      <c r="AL103" s="381">
        <v>1908178</v>
      </c>
      <c r="AM103" s="381"/>
      <c r="AN103" s="381">
        <v>942538</v>
      </c>
      <c r="AO103" s="381">
        <v>0</v>
      </c>
      <c r="AP103" s="381">
        <v>258627</v>
      </c>
      <c r="AQ103" s="381">
        <v>90099</v>
      </c>
      <c r="AR103" s="381">
        <v>101093</v>
      </c>
      <c r="AS103" s="381">
        <v>47484</v>
      </c>
      <c r="AT103" s="381">
        <v>59526</v>
      </c>
      <c r="AU103" s="381">
        <v>8044</v>
      </c>
      <c r="AV103" s="381">
        <v>3250</v>
      </c>
      <c r="AW103" s="381">
        <v>753</v>
      </c>
      <c r="AX103" s="381">
        <v>0</v>
      </c>
      <c r="AY103" s="381">
        <v>8000</v>
      </c>
      <c r="AZ103" s="381">
        <v>2250</v>
      </c>
      <c r="BA103" s="381">
        <v>5900</v>
      </c>
      <c r="BB103" s="381">
        <v>3386</v>
      </c>
      <c r="BC103" s="381">
        <v>30000</v>
      </c>
      <c r="BD103" s="381">
        <v>54030</v>
      </c>
      <c r="BE103" s="381">
        <v>7000</v>
      </c>
      <c r="BF103" s="381">
        <v>54648</v>
      </c>
      <c r="BG103" s="381">
        <v>6426</v>
      </c>
      <c r="BH103" s="381">
        <v>0</v>
      </c>
      <c r="BI103" s="381">
        <v>17000</v>
      </c>
      <c r="BJ103" s="381">
        <v>4000</v>
      </c>
      <c r="BK103" s="381">
        <v>0</v>
      </c>
      <c r="BL103" s="381">
        <v>0</v>
      </c>
      <c r="BM103" s="381">
        <v>0</v>
      </c>
      <c r="BN103" s="381">
        <v>0</v>
      </c>
      <c r="BO103" s="381">
        <v>5525</v>
      </c>
      <c r="BP103" s="381">
        <v>13333</v>
      </c>
      <c r="BQ103" s="381">
        <v>0</v>
      </c>
      <c r="BR103" s="381">
        <v>47000</v>
      </c>
      <c r="BS103" s="381">
        <v>6000</v>
      </c>
      <c r="BT103" s="381">
        <v>0</v>
      </c>
      <c r="BU103" s="381">
        <v>16973</v>
      </c>
      <c r="BV103" s="381">
        <v>0</v>
      </c>
      <c r="BW103" s="381">
        <v>0</v>
      </c>
      <c r="BX103" s="381">
        <v>0</v>
      </c>
      <c r="BY103" s="382">
        <v>121619</v>
      </c>
      <c r="BZ103" s="382">
        <v>14124</v>
      </c>
      <c r="CA103" s="382">
        <v>1928628</v>
      </c>
      <c r="CB103" s="381"/>
      <c r="CC103" s="381">
        <v>7004</v>
      </c>
      <c r="CD103" s="381">
        <v>0</v>
      </c>
      <c r="CE103" s="381">
        <v>0</v>
      </c>
      <c r="CF103" s="381">
        <v>7004</v>
      </c>
      <c r="CG103" s="381"/>
      <c r="CH103" s="381">
        <v>0</v>
      </c>
      <c r="CI103" s="381">
        <v>16382</v>
      </c>
      <c r="CJ103" s="381">
        <v>0</v>
      </c>
      <c r="CK103" s="381">
        <v>0</v>
      </c>
      <c r="CL103" s="381">
        <v>0</v>
      </c>
      <c r="CM103" s="381">
        <v>0</v>
      </c>
      <c r="CN103" s="381">
        <v>0</v>
      </c>
      <c r="CO103" s="381">
        <v>0</v>
      </c>
      <c r="CP103" s="381">
        <v>16382</v>
      </c>
      <c r="CQ103" s="381"/>
      <c r="CR103" s="381">
        <v>-29359.950000000317</v>
      </c>
      <c r="CS103" s="381">
        <v>0</v>
      </c>
      <c r="CT103" s="381">
        <v>0</v>
      </c>
      <c r="CU103" s="381">
        <v>0.21999999999934516</v>
      </c>
      <c r="CV103" s="381">
        <v>0</v>
      </c>
      <c r="CW103" s="381">
        <v>36944.089999999997</v>
      </c>
      <c r="CX103" s="381">
        <v>7584.3599999996804</v>
      </c>
      <c r="CY103" s="381"/>
      <c r="CZ103" s="117"/>
      <c r="DA103" s="384"/>
      <c r="DB103" s="117"/>
      <c r="DC103" s="384"/>
      <c r="DD103" s="385"/>
      <c r="DE103" s="117"/>
      <c r="DF103" s="117"/>
      <c r="DG103" s="381"/>
      <c r="DH103" s="386"/>
      <c r="DI103" s="387"/>
      <c r="DJ103" s="381"/>
      <c r="DK103" s="381">
        <v>28034.139999999679</v>
      </c>
      <c r="DL103" s="381">
        <v>9378.2199999999993</v>
      </c>
      <c r="DM103" s="381">
        <v>37412.35999999968</v>
      </c>
      <c r="DN103" s="381">
        <v>7584.1399999996793</v>
      </c>
      <c r="DO103" s="381">
        <v>0.21999999999934516</v>
      </c>
      <c r="DP103" s="381">
        <v>7584.3599999996786</v>
      </c>
      <c r="DQ103" s="383"/>
      <c r="DR103" s="381"/>
      <c r="DS103" s="388"/>
      <c r="DT103" s="388"/>
    </row>
    <row r="104" spans="1:124" ht="14.25">
      <c r="A104" s="380">
        <v>948</v>
      </c>
      <c r="B104" s="391">
        <v>9163004</v>
      </c>
      <c r="C104" s="68">
        <v>3004</v>
      </c>
      <c r="D104" s="120"/>
      <c r="E104" s="120" t="s">
        <v>759</v>
      </c>
      <c r="F104" s="120"/>
      <c r="G104" s="120"/>
      <c r="H104" s="68"/>
      <c r="I104" s="381">
        <v>304232.23999999993</v>
      </c>
      <c r="J104" s="381">
        <v>47821.18</v>
      </c>
      <c r="K104" s="381">
        <v>0</v>
      </c>
      <c r="L104" s="381">
        <v>5168.33</v>
      </c>
      <c r="M104" s="381">
        <v>0</v>
      </c>
      <c r="N104" s="381">
        <v>31917.669999999969</v>
      </c>
      <c r="O104" s="381">
        <v>389139.41999999993</v>
      </c>
      <c r="P104" s="381"/>
      <c r="Q104" s="381">
        <v>1390627</v>
      </c>
      <c r="R104" s="381">
        <v>0</v>
      </c>
      <c r="S104" s="381">
        <v>101552</v>
      </c>
      <c r="T104" s="381">
        <v>0</v>
      </c>
      <c r="U104" s="381">
        <v>138580</v>
      </c>
      <c r="V104" s="381">
        <v>43996</v>
      </c>
      <c r="W104" s="381">
        <v>0</v>
      </c>
      <c r="X104" s="381">
        <v>0</v>
      </c>
      <c r="Y104" s="381">
        <v>0</v>
      </c>
      <c r="Z104" s="381">
        <v>5000</v>
      </c>
      <c r="AA104" s="381">
        <v>0</v>
      </c>
      <c r="AB104" s="381">
        <v>0</v>
      </c>
      <c r="AC104" s="381">
        <v>4335</v>
      </c>
      <c r="AD104" s="381">
        <v>0</v>
      </c>
      <c r="AE104" s="381">
        <v>0</v>
      </c>
      <c r="AF104" s="381">
        <v>95000</v>
      </c>
      <c r="AG104" s="381">
        <v>5000</v>
      </c>
      <c r="AH104" s="381">
        <v>0</v>
      </c>
      <c r="AI104" s="381">
        <v>0</v>
      </c>
      <c r="AJ104" s="381">
        <v>0</v>
      </c>
      <c r="AK104" s="381">
        <v>0</v>
      </c>
      <c r="AL104" s="381">
        <v>1784090</v>
      </c>
      <c r="AM104" s="381"/>
      <c r="AN104" s="381">
        <v>777063</v>
      </c>
      <c r="AO104" s="381">
        <v>0</v>
      </c>
      <c r="AP104" s="381">
        <v>376439</v>
      </c>
      <c r="AQ104" s="381">
        <v>59524</v>
      </c>
      <c r="AR104" s="381">
        <v>75876</v>
      </c>
      <c r="AS104" s="381">
        <v>0</v>
      </c>
      <c r="AT104" s="381">
        <v>35725</v>
      </c>
      <c r="AU104" s="381">
        <v>6500</v>
      </c>
      <c r="AV104" s="381">
        <v>12400</v>
      </c>
      <c r="AW104" s="381">
        <v>647</v>
      </c>
      <c r="AX104" s="381">
        <v>0</v>
      </c>
      <c r="AY104" s="381">
        <v>23968</v>
      </c>
      <c r="AZ104" s="381">
        <v>1000</v>
      </c>
      <c r="BA104" s="381">
        <v>4700</v>
      </c>
      <c r="BB104" s="381">
        <v>3000</v>
      </c>
      <c r="BC104" s="381">
        <v>19000</v>
      </c>
      <c r="BD104" s="381">
        <v>16093</v>
      </c>
      <c r="BE104" s="381">
        <v>20265</v>
      </c>
      <c r="BF104" s="381">
        <v>99413</v>
      </c>
      <c r="BG104" s="381">
        <v>6700</v>
      </c>
      <c r="BH104" s="381">
        <v>10000</v>
      </c>
      <c r="BI104" s="381">
        <v>2600</v>
      </c>
      <c r="BJ104" s="381">
        <v>9200</v>
      </c>
      <c r="BK104" s="381">
        <v>6270</v>
      </c>
      <c r="BL104" s="381">
        <v>695</v>
      </c>
      <c r="BM104" s="381">
        <v>13761</v>
      </c>
      <c r="BN104" s="381">
        <v>0</v>
      </c>
      <c r="BO104" s="381">
        <v>7300</v>
      </c>
      <c r="BP104" s="381">
        <v>11444</v>
      </c>
      <c r="BQ104" s="381">
        <v>0</v>
      </c>
      <c r="BR104" s="381">
        <v>73651</v>
      </c>
      <c r="BS104" s="381">
        <v>37857</v>
      </c>
      <c r="BT104" s="381">
        <v>69348</v>
      </c>
      <c r="BU104" s="381">
        <v>72065</v>
      </c>
      <c r="BV104" s="381">
        <v>0</v>
      </c>
      <c r="BW104" s="381">
        <v>0</v>
      </c>
      <c r="BX104" s="381">
        <v>0</v>
      </c>
      <c r="BY104" s="382">
        <v>100563</v>
      </c>
      <c r="BZ104" s="382">
        <v>7500</v>
      </c>
      <c r="CA104" s="382">
        <v>1960567</v>
      </c>
      <c r="CB104" s="381"/>
      <c r="CC104" s="381">
        <v>6284</v>
      </c>
      <c r="CD104" s="381">
        <v>0</v>
      </c>
      <c r="CE104" s="381">
        <v>0</v>
      </c>
      <c r="CF104" s="381">
        <v>6284</v>
      </c>
      <c r="CG104" s="381"/>
      <c r="CH104" s="381">
        <v>0</v>
      </c>
      <c r="CI104" s="381">
        <v>11452</v>
      </c>
      <c r="CJ104" s="381">
        <v>0</v>
      </c>
      <c r="CK104" s="381">
        <v>0</v>
      </c>
      <c r="CL104" s="381">
        <v>0</v>
      </c>
      <c r="CM104" s="381">
        <v>0</v>
      </c>
      <c r="CN104" s="381">
        <v>0</v>
      </c>
      <c r="CO104" s="381">
        <v>0</v>
      </c>
      <c r="CP104" s="381">
        <v>11452</v>
      </c>
      <c r="CQ104" s="381"/>
      <c r="CR104" s="381">
        <v>183639.41999999993</v>
      </c>
      <c r="CS104" s="381">
        <v>0</v>
      </c>
      <c r="CT104" s="381">
        <v>0</v>
      </c>
      <c r="CU104" s="381">
        <v>0.32999999999992724</v>
      </c>
      <c r="CV104" s="381">
        <v>0</v>
      </c>
      <c r="CW104" s="381">
        <v>23854.669999999984</v>
      </c>
      <c r="CX104" s="381">
        <v>207494.4199999999</v>
      </c>
      <c r="CY104" s="381"/>
      <c r="CZ104" s="117"/>
      <c r="DA104" s="384"/>
      <c r="DB104" s="117"/>
      <c r="DC104" s="384"/>
      <c r="DD104" s="385"/>
      <c r="DE104" s="117"/>
      <c r="DF104" s="117"/>
      <c r="DG104" s="381"/>
      <c r="DH104" s="386"/>
      <c r="DI104" s="387"/>
      <c r="DJ104" s="381"/>
      <c r="DK104" s="381">
        <v>383971.08999999991</v>
      </c>
      <c r="DL104" s="381">
        <v>5168.33</v>
      </c>
      <c r="DM104" s="381">
        <v>389139.41999999993</v>
      </c>
      <c r="DN104" s="381">
        <v>207494.08999999991</v>
      </c>
      <c r="DO104" s="381">
        <v>0.32999999999992724</v>
      </c>
      <c r="DP104" s="381">
        <v>207494.4199999999</v>
      </c>
      <c r="DQ104" s="383"/>
      <c r="DR104" s="381"/>
      <c r="DS104" s="388"/>
      <c r="DT104" s="388"/>
    </row>
    <row r="105" spans="1:124" ht="14.25">
      <c r="A105" s="380">
        <v>656</v>
      </c>
      <c r="B105" s="391">
        <v>9162181</v>
      </c>
      <c r="C105" s="68">
        <v>2181</v>
      </c>
      <c r="D105" s="120"/>
      <c r="E105" s="120" t="s">
        <v>746</v>
      </c>
      <c r="F105" s="120"/>
      <c r="G105" s="120"/>
      <c r="H105" s="68"/>
      <c r="I105" s="381">
        <v>139401.18999999997</v>
      </c>
      <c r="J105" s="381">
        <v>12288.95</v>
      </c>
      <c r="K105" s="381">
        <v>0</v>
      </c>
      <c r="L105" s="381">
        <v>6762.8300000000017</v>
      </c>
      <c r="M105" s="381">
        <v>0</v>
      </c>
      <c r="N105" s="381">
        <v>0</v>
      </c>
      <c r="O105" s="381">
        <v>158452.96999999997</v>
      </c>
      <c r="P105" s="381"/>
      <c r="Q105" s="381">
        <v>2189579</v>
      </c>
      <c r="R105" s="381">
        <v>0</v>
      </c>
      <c r="S105" s="381">
        <v>78126</v>
      </c>
      <c r="T105" s="381">
        <v>0</v>
      </c>
      <c r="U105" s="381">
        <v>93750</v>
      </c>
      <c r="V105" s="381">
        <v>75238</v>
      </c>
      <c r="W105" s="381">
        <v>0</v>
      </c>
      <c r="X105" s="381">
        <v>0</v>
      </c>
      <c r="Y105" s="381">
        <v>9000</v>
      </c>
      <c r="Z105" s="381">
        <v>0</v>
      </c>
      <c r="AA105" s="381">
        <v>0</v>
      </c>
      <c r="AB105" s="381">
        <v>0</v>
      </c>
      <c r="AC105" s="381">
        <v>0</v>
      </c>
      <c r="AD105" s="381">
        <v>0</v>
      </c>
      <c r="AE105" s="381">
        <v>0</v>
      </c>
      <c r="AF105" s="381">
        <v>0</v>
      </c>
      <c r="AG105" s="381">
        <v>0</v>
      </c>
      <c r="AH105" s="381">
        <v>0</v>
      </c>
      <c r="AI105" s="381">
        <v>0</v>
      </c>
      <c r="AJ105" s="381">
        <v>0</v>
      </c>
      <c r="AK105" s="381">
        <v>0</v>
      </c>
      <c r="AL105" s="381">
        <v>2445693</v>
      </c>
      <c r="AM105" s="381"/>
      <c r="AN105" s="381">
        <v>1331404</v>
      </c>
      <c r="AO105" s="381">
        <v>3000</v>
      </c>
      <c r="AP105" s="381">
        <v>502794</v>
      </c>
      <c r="AQ105" s="381">
        <v>69382</v>
      </c>
      <c r="AR105" s="381">
        <v>86738</v>
      </c>
      <c r="AS105" s="381">
        <v>0</v>
      </c>
      <c r="AT105" s="381">
        <v>57524</v>
      </c>
      <c r="AU105" s="381">
        <v>11480</v>
      </c>
      <c r="AV105" s="381">
        <v>10407</v>
      </c>
      <c r="AW105" s="381">
        <v>23627</v>
      </c>
      <c r="AX105" s="381">
        <v>5586</v>
      </c>
      <c r="AY105" s="381">
        <v>19887</v>
      </c>
      <c r="AZ105" s="381">
        <v>9589</v>
      </c>
      <c r="BA105" s="381">
        <v>7017</v>
      </c>
      <c r="BB105" s="381">
        <v>6300</v>
      </c>
      <c r="BC105" s="381">
        <v>32110</v>
      </c>
      <c r="BD105" s="381">
        <v>68483</v>
      </c>
      <c r="BE105" s="381">
        <v>2625</v>
      </c>
      <c r="BF105" s="381">
        <v>80104</v>
      </c>
      <c r="BG105" s="381">
        <v>9420</v>
      </c>
      <c r="BH105" s="381">
        <v>0</v>
      </c>
      <c r="BI105" s="381">
        <v>0</v>
      </c>
      <c r="BJ105" s="381">
        <v>0</v>
      </c>
      <c r="BK105" s="381">
        <v>10000</v>
      </c>
      <c r="BL105" s="381">
        <v>0</v>
      </c>
      <c r="BM105" s="381">
        <v>3780</v>
      </c>
      <c r="BN105" s="381">
        <v>0</v>
      </c>
      <c r="BO105" s="381">
        <v>8836</v>
      </c>
      <c r="BP105" s="381">
        <v>22672</v>
      </c>
      <c r="BQ105" s="381">
        <v>0</v>
      </c>
      <c r="BR105" s="381">
        <v>89334</v>
      </c>
      <c r="BS105" s="381">
        <v>18000</v>
      </c>
      <c r="BT105" s="381">
        <v>8175</v>
      </c>
      <c r="BU105" s="381">
        <v>25279</v>
      </c>
      <c r="BV105" s="381">
        <v>0</v>
      </c>
      <c r="BW105" s="381">
        <v>0</v>
      </c>
      <c r="BX105" s="381">
        <v>5000</v>
      </c>
      <c r="BY105" s="382">
        <v>0</v>
      </c>
      <c r="BZ105" s="382">
        <v>0</v>
      </c>
      <c r="CA105" s="382">
        <v>2528553</v>
      </c>
      <c r="CB105" s="381"/>
      <c r="CC105" s="381">
        <v>8725</v>
      </c>
      <c r="CD105" s="381">
        <v>0</v>
      </c>
      <c r="CE105" s="381">
        <v>5000</v>
      </c>
      <c r="CF105" s="381">
        <v>13725</v>
      </c>
      <c r="CG105" s="381"/>
      <c r="CH105" s="381">
        <v>0</v>
      </c>
      <c r="CI105" s="381">
        <v>15488</v>
      </c>
      <c r="CJ105" s="381">
        <v>0</v>
      </c>
      <c r="CK105" s="381">
        <v>0</v>
      </c>
      <c r="CL105" s="381">
        <v>0</v>
      </c>
      <c r="CM105" s="381">
        <v>0</v>
      </c>
      <c r="CN105" s="381">
        <v>5000</v>
      </c>
      <c r="CO105" s="381">
        <v>0</v>
      </c>
      <c r="CP105" s="381">
        <v>20488</v>
      </c>
      <c r="CQ105" s="381"/>
      <c r="CR105" s="381">
        <v>68830.139999999985</v>
      </c>
      <c r="CS105" s="381">
        <v>0</v>
      </c>
      <c r="CT105" s="381">
        <v>0</v>
      </c>
      <c r="CU105" s="381">
        <v>-0.16999999999825377</v>
      </c>
      <c r="CV105" s="381">
        <v>0</v>
      </c>
      <c r="CW105" s="381">
        <v>0</v>
      </c>
      <c r="CX105" s="381">
        <v>68829.969999999987</v>
      </c>
      <c r="CY105" s="381"/>
      <c r="CZ105" s="117"/>
      <c r="DA105" s="384"/>
      <c r="DB105" s="117"/>
      <c r="DC105" s="384"/>
      <c r="DD105" s="385"/>
      <c r="DE105" s="117"/>
      <c r="DF105" s="117"/>
      <c r="DG105" s="381"/>
      <c r="DH105" s="386"/>
      <c r="DI105" s="387"/>
      <c r="DJ105" s="381"/>
      <c r="DK105" s="381">
        <v>151690.13999999998</v>
      </c>
      <c r="DL105" s="381">
        <v>6762.8300000000017</v>
      </c>
      <c r="DM105" s="381">
        <v>158452.96999999997</v>
      </c>
      <c r="DN105" s="381">
        <v>68830.139999999985</v>
      </c>
      <c r="DO105" s="381">
        <v>-0.16999999999825377</v>
      </c>
      <c r="DP105" s="381">
        <v>68829.969999999987</v>
      </c>
      <c r="DQ105" s="383"/>
      <c r="DR105" s="381"/>
      <c r="DS105" s="388"/>
      <c r="DT105" s="388"/>
    </row>
    <row r="106" spans="1:124" ht="15">
      <c r="A106" s="380">
        <v>671</v>
      </c>
      <c r="B106" s="391">
        <v>9163367</v>
      </c>
      <c r="C106" s="68">
        <v>3367</v>
      </c>
      <c r="D106" s="120"/>
      <c r="E106" s="120" t="s">
        <v>276</v>
      </c>
      <c r="F106" s="120"/>
      <c r="G106" s="120"/>
      <c r="H106" s="68"/>
      <c r="I106" s="381">
        <v>-72264.450000000026</v>
      </c>
      <c r="J106" s="381">
        <v>6239.0000000000009</v>
      </c>
      <c r="K106" s="381">
        <v>5024.2</v>
      </c>
      <c r="L106" s="381">
        <v>0</v>
      </c>
      <c r="M106" s="381">
        <v>0</v>
      </c>
      <c r="N106" s="381">
        <v>0</v>
      </c>
      <c r="O106" s="381">
        <v>-61001.250000000029</v>
      </c>
      <c r="P106" s="389"/>
      <c r="Q106" s="381">
        <v>365402</v>
      </c>
      <c r="R106" s="381">
        <v>0</v>
      </c>
      <c r="S106" s="381">
        <v>4009</v>
      </c>
      <c r="T106" s="381">
        <v>0</v>
      </c>
      <c r="U106" s="381">
        <v>6760</v>
      </c>
      <c r="V106" s="381">
        <v>21487</v>
      </c>
      <c r="W106" s="381">
        <v>0</v>
      </c>
      <c r="X106" s="381">
        <v>150</v>
      </c>
      <c r="Y106" s="381">
        <v>17500</v>
      </c>
      <c r="Z106" s="381">
        <v>0</v>
      </c>
      <c r="AA106" s="381">
        <v>0</v>
      </c>
      <c r="AB106" s="381">
        <v>0</v>
      </c>
      <c r="AC106" s="381">
        <v>1000</v>
      </c>
      <c r="AD106" s="381">
        <v>7000</v>
      </c>
      <c r="AE106" s="381">
        <v>0</v>
      </c>
      <c r="AF106" s="381">
        <v>0</v>
      </c>
      <c r="AG106" s="381">
        <v>0</v>
      </c>
      <c r="AH106" s="381">
        <v>0</v>
      </c>
      <c r="AI106" s="381">
        <v>0</v>
      </c>
      <c r="AJ106" s="381">
        <v>0</v>
      </c>
      <c r="AK106" s="381">
        <v>0</v>
      </c>
      <c r="AL106" s="381">
        <v>423308</v>
      </c>
      <c r="AM106" s="389"/>
      <c r="AN106" s="381">
        <v>213689</v>
      </c>
      <c r="AO106" s="381">
        <v>1238</v>
      </c>
      <c r="AP106" s="381">
        <v>69519</v>
      </c>
      <c r="AQ106" s="381">
        <v>10810</v>
      </c>
      <c r="AR106" s="381">
        <v>26384</v>
      </c>
      <c r="AS106" s="381">
        <v>0</v>
      </c>
      <c r="AT106" s="381">
        <v>14871</v>
      </c>
      <c r="AU106" s="381">
        <v>200</v>
      </c>
      <c r="AV106" s="381">
        <v>500</v>
      </c>
      <c r="AW106" s="381">
        <v>2113</v>
      </c>
      <c r="AX106" s="381">
        <v>0</v>
      </c>
      <c r="AY106" s="381">
        <v>6000</v>
      </c>
      <c r="AZ106" s="381">
        <v>600</v>
      </c>
      <c r="BA106" s="381">
        <v>1000</v>
      </c>
      <c r="BB106" s="381">
        <v>1200</v>
      </c>
      <c r="BC106" s="381">
        <v>13500</v>
      </c>
      <c r="BD106" s="381">
        <v>699</v>
      </c>
      <c r="BE106" s="381">
        <v>525</v>
      </c>
      <c r="BF106" s="381">
        <v>23616</v>
      </c>
      <c r="BG106" s="381">
        <v>0</v>
      </c>
      <c r="BH106" s="381">
        <v>0</v>
      </c>
      <c r="BI106" s="381">
        <v>2500</v>
      </c>
      <c r="BJ106" s="381">
        <v>0</v>
      </c>
      <c r="BK106" s="381">
        <v>2030</v>
      </c>
      <c r="BL106" s="381">
        <v>0</v>
      </c>
      <c r="BM106" s="381">
        <v>0</v>
      </c>
      <c r="BN106" s="381">
        <v>0</v>
      </c>
      <c r="BO106" s="381">
        <v>1500</v>
      </c>
      <c r="BP106" s="381">
        <v>1950</v>
      </c>
      <c r="BQ106" s="381">
        <v>1997</v>
      </c>
      <c r="BR106" s="381">
        <v>0</v>
      </c>
      <c r="BS106" s="381">
        <v>7723</v>
      </c>
      <c r="BT106" s="381">
        <v>12201</v>
      </c>
      <c r="BU106" s="381">
        <v>11799</v>
      </c>
      <c r="BV106" s="381">
        <v>0</v>
      </c>
      <c r="BW106" s="381">
        <v>0</v>
      </c>
      <c r="BX106" s="381">
        <v>2039</v>
      </c>
      <c r="BY106" s="382">
        <v>0</v>
      </c>
      <c r="BZ106" s="382">
        <v>0</v>
      </c>
      <c r="CA106" s="382">
        <v>430203</v>
      </c>
      <c r="CB106" s="389"/>
      <c r="CC106" s="381">
        <v>0</v>
      </c>
      <c r="CD106" s="381">
        <v>0</v>
      </c>
      <c r="CE106" s="381">
        <v>0</v>
      </c>
      <c r="CF106" s="381">
        <v>0</v>
      </c>
      <c r="CG106" s="389"/>
      <c r="CH106" s="381">
        <v>0</v>
      </c>
      <c r="CI106" s="381">
        <v>0</v>
      </c>
      <c r="CJ106" s="381">
        <v>0</v>
      </c>
      <c r="CK106" s="381">
        <v>0</v>
      </c>
      <c r="CL106" s="381">
        <v>0</v>
      </c>
      <c r="CM106" s="381">
        <v>0</v>
      </c>
      <c r="CN106" s="381">
        <v>0</v>
      </c>
      <c r="CO106" s="381">
        <v>0</v>
      </c>
      <c r="CP106" s="381">
        <v>0</v>
      </c>
      <c r="CQ106" s="390"/>
      <c r="CR106" s="381">
        <v>-67896.250000000029</v>
      </c>
      <c r="CS106" s="381">
        <v>0</v>
      </c>
      <c r="CT106" s="381">
        <v>0</v>
      </c>
      <c r="CU106" s="381">
        <v>0</v>
      </c>
      <c r="CV106" s="381">
        <v>0</v>
      </c>
      <c r="CW106" s="381">
        <v>0</v>
      </c>
      <c r="CX106" s="381">
        <v>-67896.250000000029</v>
      </c>
      <c r="CY106" s="381"/>
      <c r="CZ106" s="117"/>
      <c r="DA106" s="384"/>
      <c r="DB106" s="117"/>
      <c r="DC106" s="384"/>
      <c r="DD106" s="385"/>
      <c r="DE106" s="117"/>
      <c r="DF106" s="117"/>
      <c r="DG106" s="381"/>
      <c r="DH106" s="386"/>
      <c r="DI106" s="387"/>
      <c r="DJ106" s="381"/>
      <c r="DK106" s="381">
        <v>-61001.250000000029</v>
      </c>
      <c r="DL106" s="381">
        <v>0</v>
      </c>
      <c r="DM106" s="381">
        <v>-61001.250000000029</v>
      </c>
      <c r="DN106" s="381">
        <v>-67896.250000000029</v>
      </c>
      <c r="DO106" s="381">
        <v>0</v>
      </c>
      <c r="DP106" s="381">
        <v>-67896.250000000029</v>
      </c>
      <c r="DQ106" s="383"/>
      <c r="DR106" s="381"/>
      <c r="DS106" s="388"/>
      <c r="DT106" s="388"/>
    </row>
    <row r="107" spans="1:124" ht="14.25">
      <c r="A107" s="380">
        <v>803</v>
      </c>
      <c r="B107" s="391">
        <v>9162094</v>
      </c>
      <c r="C107" s="68">
        <v>2094</v>
      </c>
      <c r="D107" s="120"/>
      <c r="E107" s="120" t="s">
        <v>193</v>
      </c>
      <c r="F107" s="120"/>
      <c r="G107" s="120"/>
      <c r="H107" s="68"/>
      <c r="I107" s="381">
        <v>211213.7999999999</v>
      </c>
      <c r="J107" s="381">
        <v>0</v>
      </c>
      <c r="K107" s="381">
        <v>0</v>
      </c>
      <c r="L107" s="381">
        <v>0</v>
      </c>
      <c r="M107" s="381">
        <v>0</v>
      </c>
      <c r="N107" s="381">
        <v>0</v>
      </c>
      <c r="O107" s="381">
        <v>211213.7999999999</v>
      </c>
      <c r="P107" s="381"/>
      <c r="Q107" s="381">
        <v>1430999</v>
      </c>
      <c r="R107" s="381">
        <v>0</v>
      </c>
      <c r="S107" s="381">
        <v>41545</v>
      </c>
      <c r="T107" s="381">
        <v>0</v>
      </c>
      <c r="U107" s="381">
        <v>109080</v>
      </c>
      <c r="V107" s="381">
        <v>55286</v>
      </c>
      <c r="W107" s="381">
        <v>0</v>
      </c>
      <c r="X107" s="381">
        <v>0</v>
      </c>
      <c r="Y107" s="381">
        <v>52627</v>
      </c>
      <c r="Z107" s="381">
        <v>12700</v>
      </c>
      <c r="AA107" s="381">
        <v>0</v>
      </c>
      <c r="AB107" s="381">
        <v>4000</v>
      </c>
      <c r="AC107" s="381">
        <v>27000</v>
      </c>
      <c r="AD107" s="381">
        <v>0</v>
      </c>
      <c r="AE107" s="381">
        <v>0</v>
      </c>
      <c r="AF107" s="381">
        <v>0</v>
      </c>
      <c r="AG107" s="381">
        <v>0</v>
      </c>
      <c r="AH107" s="381">
        <v>0</v>
      </c>
      <c r="AI107" s="381">
        <v>0</v>
      </c>
      <c r="AJ107" s="381">
        <v>0</v>
      </c>
      <c r="AK107" s="381">
        <v>0</v>
      </c>
      <c r="AL107" s="381">
        <v>1733237</v>
      </c>
      <c r="AM107" s="381"/>
      <c r="AN107" s="381">
        <v>792036</v>
      </c>
      <c r="AO107" s="381">
        <v>0</v>
      </c>
      <c r="AP107" s="381">
        <v>447158</v>
      </c>
      <c r="AQ107" s="381">
        <v>15359</v>
      </c>
      <c r="AR107" s="381">
        <v>50969</v>
      </c>
      <c r="AS107" s="381">
        <v>35185</v>
      </c>
      <c r="AT107" s="381">
        <v>56972</v>
      </c>
      <c r="AU107" s="381">
        <v>6909</v>
      </c>
      <c r="AV107" s="381">
        <v>6054</v>
      </c>
      <c r="AW107" s="381">
        <v>18049</v>
      </c>
      <c r="AX107" s="381">
        <v>0</v>
      </c>
      <c r="AY107" s="381">
        <v>32572</v>
      </c>
      <c r="AZ107" s="381">
        <v>550</v>
      </c>
      <c r="BA107" s="381">
        <v>44948</v>
      </c>
      <c r="BB107" s="381">
        <v>6113</v>
      </c>
      <c r="BC107" s="381">
        <v>27653</v>
      </c>
      <c r="BD107" s="381">
        <v>36855</v>
      </c>
      <c r="BE107" s="381">
        <v>4960</v>
      </c>
      <c r="BF107" s="381">
        <v>115668</v>
      </c>
      <c r="BG107" s="381">
        <v>0</v>
      </c>
      <c r="BH107" s="381">
        <v>0</v>
      </c>
      <c r="BI107" s="381">
        <v>4305</v>
      </c>
      <c r="BJ107" s="381">
        <v>0</v>
      </c>
      <c r="BK107" s="381">
        <v>3605</v>
      </c>
      <c r="BL107" s="381">
        <v>0</v>
      </c>
      <c r="BM107" s="381">
        <v>13000</v>
      </c>
      <c r="BN107" s="381">
        <v>0</v>
      </c>
      <c r="BO107" s="381">
        <v>14625</v>
      </c>
      <c r="BP107" s="381">
        <v>10706</v>
      </c>
      <c r="BQ107" s="381">
        <v>13496</v>
      </c>
      <c r="BR107" s="381">
        <v>0</v>
      </c>
      <c r="BS107" s="381">
        <v>54342</v>
      </c>
      <c r="BT107" s="381">
        <v>48563</v>
      </c>
      <c r="BU107" s="381">
        <v>21999</v>
      </c>
      <c r="BV107" s="381">
        <v>0</v>
      </c>
      <c r="BW107" s="381">
        <v>0</v>
      </c>
      <c r="BX107" s="381">
        <v>0</v>
      </c>
      <c r="BY107" s="382">
        <v>0</v>
      </c>
      <c r="BZ107" s="382">
        <v>0</v>
      </c>
      <c r="CA107" s="382">
        <v>1882651</v>
      </c>
      <c r="CB107" s="381"/>
      <c r="CC107" s="381">
        <v>6869</v>
      </c>
      <c r="CD107" s="381">
        <v>0</v>
      </c>
      <c r="CE107" s="381">
        <v>0</v>
      </c>
      <c r="CF107" s="381">
        <v>6869</v>
      </c>
      <c r="CG107" s="381"/>
      <c r="CH107" s="381">
        <v>0</v>
      </c>
      <c r="CI107" s="381">
        <v>6869</v>
      </c>
      <c r="CJ107" s="381">
        <v>0</v>
      </c>
      <c r="CK107" s="381">
        <v>0</v>
      </c>
      <c r="CL107" s="381">
        <v>0</v>
      </c>
      <c r="CM107" s="381">
        <v>0</v>
      </c>
      <c r="CN107" s="381">
        <v>0</v>
      </c>
      <c r="CO107" s="381">
        <v>0</v>
      </c>
      <c r="CP107" s="381">
        <v>6869</v>
      </c>
      <c r="CQ107" s="381"/>
      <c r="CR107" s="381">
        <v>61799.799999999901</v>
      </c>
      <c r="CS107" s="381">
        <v>0</v>
      </c>
      <c r="CT107">
        <v>0</v>
      </c>
      <c r="CU107" s="381">
        <v>0</v>
      </c>
      <c r="CV107" s="381">
        <v>0</v>
      </c>
      <c r="CW107" s="381">
        <v>0</v>
      </c>
      <c r="CX107" s="381">
        <v>61799.799999999901</v>
      </c>
      <c r="CY107" s="381"/>
      <c r="CZ107" s="117"/>
      <c r="DA107" s="384"/>
      <c r="DB107" s="117"/>
      <c r="DC107" s="384"/>
      <c r="DD107" s="385"/>
      <c r="DE107" s="117"/>
      <c r="DF107" s="117"/>
      <c r="DG107" s="381"/>
      <c r="DH107" s="386"/>
      <c r="DI107" s="387"/>
      <c r="DJ107" s="381"/>
      <c r="DK107" s="381">
        <v>211213.7999999999</v>
      </c>
      <c r="DL107" s="381">
        <v>0</v>
      </c>
      <c r="DM107" s="381">
        <v>211213.7999999999</v>
      </c>
      <c r="DN107" s="381">
        <v>61799.799999999901</v>
      </c>
      <c r="DO107" s="381">
        <v>0</v>
      </c>
      <c r="DP107" s="381">
        <v>61799.799999999901</v>
      </c>
      <c r="DQ107" s="383"/>
      <c r="DR107" s="381"/>
      <c r="DS107" s="388"/>
      <c r="DT107" s="388"/>
    </row>
    <row r="108" spans="1:124" ht="14.25">
      <c r="A108" s="380">
        <v>578</v>
      </c>
      <c r="B108" s="391">
        <v>9163315</v>
      </c>
      <c r="C108" s="68">
        <v>3315</v>
      </c>
      <c r="D108" s="120"/>
      <c r="E108" s="120" t="s">
        <v>258</v>
      </c>
      <c r="F108" s="120"/>
      <c r="G108" s="120"/>
      <c r="H108" s="68"/>
      <c r="I108" s="381">
        <v>8832.7499999999927</v>
      </c>
      <c r="J108" s="381">
        <v>11039.96</v>
      </c>
      <c r="K108" s="381">
        <v>0</v>
      </c>
      <c r="L108" s="381">
        <v>0.48000000000001819</v>
      </c>
      <c r="M108" s="381">
        <v>0</v>
      </c>
      <c r="N108" s="381">
        <v>0</v>
      </c>
      <c r="O108" s="381">
        <v>19873.189999999991</v>
      </c>
      <c r="P108" s="381"/>
      <c r="Q108" s="381">
        <v>986104</v>
      </c>
      <c r="R108" s="381">
        <v>0</v>
      </c>
      <c r="S108" s="381">
        <v>32698</v>
      </c>
      <c r="T108" s="381">
        <v>0</v>
      </c>
      <c r="U108" s="381">
        <v>27120</v>
      </c>
      <c r="V108" s="381">
        <v>42035</v>
      </c>
      <c r="W108" s="381">
        <v>0</v>
      </c>
      <c r="X108" s="381">
        <v>0</v>
      </c>
      <c r="Y108" s="381">
        <v>32274</v>
      </c>
      <c r="Z108" s="381">
        <v>0</v>
      </c>
      <c r="AA108" s="381">
        <v>0</v>
      </c>
      <c r="AB108" s="381">
        <v>0</v>
      </c>
      <c r="AC108" s="381">
        <v>0</v>
      </c>
      <c r="AD108" s="381">
        <v>2150</v>
      </c>
      <c r="AE108" s="381">
        <v>0</v>
      </c>
      <c r="AF108" s="381">
        <v>0</v>
      </c>
      <c r="AG108" s="381">
        <v>0</v>
      </c>
      <c r="AH108" s="381">
        <v>0</v>
      </c>
      <c r="AI108" s="381">
        <v>0</v>
      </c>
      <c r="AJ108" s="381">
        <v>0</v>
      </c>
      <c r="AK108" s="381">
        <v>0</v>
      </c>
      <c r="AL108" s="381">
        <v>1122381</v>
      </c>
      <c r="AM108" s="381"/>
      <c r="AN108" s="381">
        <v>597600</v>
      </c>
      <c r="AO108" s="381">
        <v>10250</v>
      </c>
      <c r="AP108" s="381">
        <v>206453</v>
      </c>
      <c r="AQ108" s="381">
        <v>25066</v>
      </c>
      <c r="AR108" s="381">
        <v>61998</v>
      </c>
      <c r="AS108" s="381">
        <v>0</v>
      </c>
      <c r="AT108" s="381">
        <v>63949</v>
      </c>
      <c r="AU108" s="381">
        <v>300</v>
      </c>
      <c r="AV108" s="381">
        <v>3080</v>
      </c>
      <c r="AW108" s="381">
        <v>5972</v>
      </c>
      <c r="AX108" s="381">
        <v>1350</v>
      </c>
      <c r="AY108" s="381">
        <v>14051</v>
      </c>
      <c r="AZ108" s="381">
        <v>12905</v>
      </c>
      <c r="BA108" s="381">
        <v>3000</v>
      </c>
      <c r="BB108" s="381">
        <v>5000</v>
      </c>
      <c r="BC108" s="381">
        <v>16925</v>
      </c>
      <c r="BD108" s="381">
        <v>3568</v>
      </c>
      <c r="BE108" s="381">
        <v>3500</v>
      </c>
      <c r="BF108" s="381">
        <v>40020</v>
      </c>
      <c r="BG108" s="381">
        <v>1934</v>
      </c>
      <c r="BH108" s="381">
        <v>0</v>
      </c>
      <c r="BI108" s="381">
        <v>6250</v>
      </c>
      <c r="BJ108" s="381">
        <v>4079</v>
      </c>
      <c r="BK108" s="381">
        <v>0</v>
      </c>
      <c r="BL108" s="381">
        <v>0</v>
      </c>
      <c r="BM108" s="381">
        <v>4964</v>
      </c>
      <c r="BN108" s="381">
        <v>0</v>
      </c>
      <c r="BO108" s="381">
        <v>3860</v>
      </c>
      <c r="BP108" s="381">
        <v>10094</v>
      </c>
      <c r="BQ108" s="381">
        <v>0</v>
      </c>
      <c r="BR108" s="381">
        <v>33611</v>
      </c>
      <c r="BS108" s="381">
        <v>3300</v>
      </c>
      <c r="BT108" s="381">
        <v>18496</v>
      </c>
      <c r="BU108" s="381">
        <v>16217</v>
      </c>
      <c r="BV108" s="381">
        <v>0</v>
      </c>
      <c r="BW108" s="381">
        <v>0</v>
      </c>
      <c r="BX108" s="381">
        <v>0</v>
      </c>
      <c r="BY108" s="382">
        <v>0</v>
      </c>
      <c r="BZ108" s="382">
        <v>0</v>
      </c>
      <c r="CA108" s="382">
        <v>1177792</v>
      </c>
      <c r="CB108" s="381"/>
      <c r="CC108" s="381">
        <v>0</v>
      </c>
      <c r="CD108" s="381">
        <v>0</v>
      </c>
      <c r="CE108" s="381">
        <v>0</v>
      </c>
      <c r="CF108" s="381">
        <v>0</v>
      </c>
      <c r="CG108" s="381"/>
      <c r="CH108" s="381">
        <v>0</v>
      </c>
      <c r="CI108" s="381">
        <v>0</v>
      </c>
      <c r="CJ108" s="381">
        <v>0</v>
      </c>
      <c r="CK108" s="381">
        <v>0</v>
      </c>
      <c r="CL108" s="381">
        <v>0</v>
      </c>
      <c r="CM108" s="381">
        <v>0</v>
      </c>
      <c r="CN108" s="381">
        <v>0</v>
      </c>
      <c r="CO108" s="381">
        <v>0</v>
      </c>
      <c r="CP108" s="381">
        <v>0</v>
      </c>
      <c r="CQ108" s="381"/>
      <c r="CR108" s="381">
        <v>-35538.290000000008</v>
      </c>
      <c r="CS108" s="381">
        <v>0</v>
      </c>
      <c r="CT108" s="381">
        <v>0</v>
      </c>
      <c r="CU108" s="381">
        <v>0.48000000000001819</v>
      </c>
      <c r="CV108" s="381">
        <v>0</v>
      </c>
      <c r="CW108" s="381">
        <v>0</v>
      </c>
      <c r="CX108" s="381">
        <v>-35537.810000000005</v>
      </c>
      <c r="CY108" s="381"/>
      <c r="CZ108" s="117"/>
      <c r="DA108" s="384"/>
      <c r="DB108" s="117"/>
      <c r="DC108" s="384"/>
      <c r="DD108" s="385"/>
      <c r="DE108" s="117"/>
      <c r="DF108" s="117"/>
      <c r="DG108" s="381"/>
      <c r="DH108" s="386"/>
      <c r="DI108" s="387"/>
      <c r="DJ108" s="381"/>
      <c r="DK108" s="381">
        <v>19872.709999999992</v>
      </c>
      <c r="DL108" s="381">
        <v>0.48000000000001819</v>
      </c>
      <c r="DM108" s="381">
        <v>19873.189999999991</v>
      </c>
      <c r="DN108" s="381">
        <v>-35538.290000000008</v>
      </c>
      <c r="DO108" s="381">
        <v>0.48000000000001819</v>
      </c>
      <c r="DP108" s="381">
        <v>-35537.810000000005</v>
      </c>
      <c r="DQ108" s="383"/>
      <c r="DR108" s="381"/>
      <c r="DS108" s="388"/>
      <c r="DT108" s="388"/>
    </row>
    <row r="109" spans="1:124" ht="15">
      <c r="A109" s="380">
        <v>817</v>
      </c>
      <c r="B109" s="391">
        <v>9163373</v>
      </c>
      <c r="C109" s="68">
        <v>3373</v>
      </c>
      <c r="D109" s="120"/>
      <c r="E109" s="120" t="s">
        <v>758</v>
      </c>
      <c r="F109" s="120"/>
      <c r="G109" s="120"/>
      <c r="H109" s="68"/>
      <c r="I109" s="381">
        <v>43118.109999999564</v>
      </c>
      <c r="J109" s="381">
        <v>18535.86</v>
      </c>
      <c r="K109" s="381">
        <v>0</v>
      </c>
      <c r="L109" s="381">
        <v>482.16999999999825</v>
      </c>
      <c r="M109" s="381">
        <v>0</v>
      </c>
      <c r="N109" s="381">
        <v>-5452.6499999998778</v>
      </c>
      <c r="O109" s="381">
        <v>56683.489999999685</v>
      </c>
      <c r="P109" s="389"/>
      <c r="Q109" s="381">
        <v>2243126</v>
      </c>
      <c r="R109" s="381">
        <v>0</v>
      </c>
      <c r="S109" s="381">
        <v>213412</v>
      </c>
      <c r="T109" s="381">
        <v>0</v>
      </c>
      <c r="U109" s="381">
        <v>133910</v>
      </c>
      <c r="V109" s="381">
        <v>90037</v>
      </c>
      <c r="W109" s="381">
        <v>10500</v>
      </c>
      <c r="X109" s="381">
        <v>8528</v>
      </c>
      <c r="Y109" s="381">
        <v>38200</v>
      </c>
      <c r="Z109" s="381">
        <v>0</v>
      </c>
      <c r="AA109" s="381">
        <v>0</v>
      </c>
      <c r="AB109" s="381">
        <v>0</v>
      </c>
      <c r="AC109" s="381">
        <v>30000</v>
      </c>
      <c r="AD109" s="381">
        <v>4000</v>
      </c>
      <c r="AE109" s="381">
        <v>0</v>
      </c>
      <c r="AF109" s="381">
        <v>248441</v>
      </c>
      <c r="AG109" s="381">
        <v>18000</v>
      </c>
      <c r="AH109" s="381">
        <v>0</v>
      </c>
      <c r="AI109" s="381">
        <v>0</v>
      </c>
      <c r="AJ109" s="381">
        <v>0</v>
      </c>
      <c r="AK109" s="381">
        <v>0</v>
      </c>
      <c r="AL109" s="381">
        <v>3038154</v>
      </c>
      <c r="AM109" s="389"/>
      <c r="AN109" s="381">
        <v>1355278</v>
      </c>
      <c r="AO109" s="381">
        <v>5000</v>
      </c>
      <c r="AP109" s="381">
        <v>499916</v>
      </c>
      <c r="AQ109" s="381">
        <v>42738</v>
      </c>
      <c r="AR109" s="381">
        <v>130013</v>
      </c>
      <c r="AS109" s="381">
        <v>0</v>
      </c>
      <c r="AT109" s="381">
        <v>105953</v>
      </c>
      <c r="AU109" s="381">
        <v>9500</v>
      </c>
      <c r="AV109" s="381">
        <v>8280</v>
      </c>
      <c r="AW109" s="381">
        <v>1262</v>
      </c>
      <c r="AX109" s="381">
        <v>0</v>
      </c>
      <c r="AY109" s="381">
        <v>33809</v>
      </c>
      <c r="AZ109" s="381">
        <v>652</v>
      </c>
      <c r="BA109" s="381">
        <v>38000</v>
      </c>
      <c r="BB109" s="381">
        <v>5000</v>
      </c>
      <c r="BC109" s="381">
        <v>50000</v>
      </c>
      <c r="BD109" s="381">
        <v>80775</v>
      </c>
      <c r="BE109" s="381">
        <v>6500</v>
      </c>
      <c r="BF109" s="381">
        <v>160010</v>
      </c>
      <c r="BG109" s="381">
        <v>5300</v>
      </c>
      <c r="BH109" s="381">
        <v>0</v>
      </c>
      <c r="BI109" s="381">
        <v>1000</v>
      </c>
      <c r="BJ109" s="381">
        <v>0</v>
      </c>
      <c r="BK109" s="381">
        <v>0</v>
      </c>
      <c r="BL109" s="381">
        <v>0</v>
      </c>
      <c r="BM109" s="381">
        <v>3780</v>
      </c>
      <c r="BN109" s="381">
        <v>0</v>
      </c>
      <c r="BO109" s="381">
        <v>14400</v>
      </c>
      <c r="BP109" s="381">
        <v>22348</v>
      </c>
      <c r="BQ109" s="381">
        <v>0</v>
      </c>
      <c r="BR109" s="381">
        <v>119063</v>
      </c>
      <c r="BS109" s="381">
        <v>21087</v>
      </c>
      <c r="BT109" s="381">
        <v>270260</v>
      </c>
      <c r="BU109" s="381">
        <v>31383</v>
      </c>
      <c r="BV109" s="381">
        <v>0</v>
      </c>
      <c r="BW109" s="381">
        <v>0</v>
      </c>
      <c r="BX109" s="381">
        <v>0</v>
      </c>
      <c r="BY109" s="382">
        <v>217049</v>
      </c>
      <c r="BZ109" s="382">
        <v>43776</v>
      </c>
      <c r="CA109" s="382">
        <v>3282132</v>
      </c>
      <c r="CB109" s="389"/>
      <c r="CC109" s="381">
        <v>8657</v>
      </c>
      <c r="CD109" s="381">
        <v>0</v>
      </c>
      <c r="CE109" s="381">
        <v>0</v>
      </c>
      <c r="CF109" s="381">
        <v>8657</v>
      </c>
      <c r="CG109" s="389"/>
      <c r="CH109" s="381">
        <v>0</v>
      </c>
      <c r="CI109" s="381">
        <v>7482</v>
      </c>
      <c r="CJ109" s="381">
        <v>0</v>
      </c>
      <c r="CK109" s="381">
        <v>0</v>
      </c>
      <c r="CL109" s="381">
        <v>0</v>
      </c>
      <c r="CM109" s="381">
        <v>0</v>
      </c>
      <c r="CN109" s="381">
        <v>1657</v>
      </c>
      <c r="CO109" s="381">
        <v>0</v>
      </c>
      <c r="CP109" s="381">
        <v>9139</v>
      </c>
      <c r="CQ109" s="390"/>
      <c r="CR109" s="381">
        <v>-187940.03000000044</v>
      </c>
      <c r="CS109" s="381">
        <v>0</v>
      </c>
      <c r="CT109" s="381">
        <v>0</v>
      </c>
      <c r="CU109" s="381">
        <v>0.16999999999825377</v>
      </c>
      <c r="CV109" s="381">
        <v>0</v>
      </c>
      <c r="CW109" s="381">
        <v>163.35000000012224</v>
      </c>
      <c r="CX109" s="381">
        <v>-187776.51000000033</v>
      </c>
      <c r="CY109" s="381"/>
      <c r="CZ109" s="117"/>
      <c r="DA109" s="384"/>
      <c r="DB109" s="117"/>
      <c r="DC109" s="384"/>
      <c r="DD109" s="385"/>
      <c r="DE109" s="117"/>
      <c r="DF109" s="117"/>
      <c r="DG109" s="381"/>
      <c r="DH109" s="386"/>
      <c r="DI109" s="387"/>
      <c r="DJ109" s="381"/>
      <c r="DK109" s="381">
        <v>56201.319999999687</v>
      </c>
      <c r="DL109" s="381">
        <v>482.16999999999825</v>
      </c>
      <c r="DM109" s="381">
        <v>56683.489999999685</v>
      </c>
      <c r="DN109" s="381">
        <v>-187776.68000000031</v>
      </c>
      <c r="DO109" s="381">
        <v>0.16999999999825377</v>
      </c>
      <c r="DP109" s="381">
        <v>-187776.5100000003</v>
      </c>
      <c r="DQ109" s="383"/>
      <c r="DR109" s="381"/>
      <c r="DS109" s="388"/>
      <c r="DT109" s="388"/>
    </row>
    <row r="110" spans="1:124" ht="14.25">
      <c r="A110" s="380">
        <v>593</v>
      </c>
      <c r="B110" s="391">
        <v>9162142</v>
      </c>
      <c r="C110" s="68">
        <v>2142</v>
      </c>
      <c r="D110" s="120"/>
      <c r="E110" s="120" t="s">
        <v>200</v>
      </c>
      <c r="F110" s="120"/>
      <c r="G110" s="120"/>
      <c r="H110" s="68"/>
      <c r="I110" s="381">
        <v>-21643.859999999979</v>
      </c>
      <c r="J110" s="381">
        <v>2956.42</v>
      </c>
      <c r="K110" s="381">
        <v>0</v>
      </c>
      <c r="L110" s="381">
        <v>-8353.6099999999988</v>
      </c>
      <c r="M110" s="381">
        <v>0</v>
      </c>
      <c r="N110" s="381">
        <v>0</v>
      </c>
      <c r="O110" s="381">
        <v>-27041.049999999981</v>
      </c>
      <c r="P110" s="381"/>
      <c r="Q110" s="381">
        <v>1088717</v>
      </c>
      <c r="R110" s="381">
        <v>0</v>
      </c>
      <c r="S110" s="381">
        <v>180914</v>
      </c>
      <c r="T110" s="381">
        <v>0</v>
      </c>
      <c r="U110" s="381">
        <v>54180</v>
      </c>
      <c r="V110" s="381">
        <v>85788</v>
      </c>
      <c r="W110" s="381">
        <v>2000</v>
      </c>
      <c r="X110" s="381">
        <v>10000</v>
      </c>
      <c r="Y110" s="381">
        <v>1500</v>
      </c>
      <c r="Z110" s="381">
        <v>41420</v>
      </c>
      <c r="AA110" s="381">
        <v>1500</v>
      </c>
      <c r="AB110" s="381">
        <v>2000</v>
      </c>
      <c r="AC110" s="381">
        <v>32727</v>
      </c>
      <c r="AD110" s="381">
        <v>11780</v>
      </c>
      <c r="AE110" s="381">
        <v>0</v>
      </c>
      <c r="AF110" s="381">
        <v>0</v>
      </c>
      <c r="AG110" s="381">
        <v>0</v>
      </c>
      <c r="AH110" s="381">
        <v>0</v>
      </c>
      <c r="AI110" s="381">
        <v>0</v>
      </c>
      <c r="AJ110" s="381">
        <v>0</v>
      </c>
      <c r="AK110" s="381">
        <v>0</v>
      </c>
      <c r="AL110" s="381">
        <v>1512526</v>
      </c>
      <c r="AM110" s="381"/>
      <c r="AN110" s="381">
        <v>761781</v>
      </c>
      <c r="AO110" s="381">
        <v>12400</v>
      </c>
      <c r="AP110" s="381">
        <v>365572</v>
      </c>
      <c r="AQ110" s="381">
        <v>17655</v>
      </c>
      <c r="AR110" s="381">
        <v>57213</v>
      </c>
      <c r="AS110" s="381">
        <v>66571</v>
      </c>
      <c r="AT110" s="381">
        <v>39241</v>
      </c>
      <c r="AU110" s="381">
        <v>5680</v>
      </c>
      <c r="AV110" s="381">
        <v>2420</v>
      </c>
      <c r="AW110" s="381">
        <v>7828</v>
      </c>
      <c r="AX110" s="381">
        <v>1800</v>
      </c>
      <c r="AY110" s="381">
        <v>14842</v>
      </c>
      <c r="AZ110" s="381">
        <v>5474</v>
      </c>
      <c r="BA110" s="381">
        <v>26887</v>
      </c>
      <c r="BB110" s="381">
        <v>5000</v>
      </c>
      <c r="BC110" s="381">
        <v>22251</v>
      </c>
      <c r="BD110" s="381">
        <v>14959</v>
      </c>
      <c r="BE110" s="381">
        <v>4405</v>
      </c>
      <c r="BF110" s="381">
        <v>52572</v>
      </c>
      <c r="BG110" s="381">
        <v>2400</v>
      </c>
      <c r="BH110" s="381">
        <v>0</v>
      </c>
      <c r="BI110" s="381">
        <v>4005</v>
      </c>
      <c r="BJ110" s="381">
        <v>0</v>
      </c>
      <c r="BK110" s="381">
        <v>0</v>
      </c>
      <c r="BL110" s="381">
        <v>3700</v>
      </c>
      <c r="BM110" s="381">
        <v>4663</v>
      </c>
      <c r="BN110" s="381">
        <v>0</v>
      </c>
      <c r="BO110" s="381">
        <v>1273</v>
      </c>
      <c r="BP110" s="381">
        <v>11120</v>
      </c>
      <c r="BQ110" s="381">
        <v>0</v>
      </c>
      <c r="BR110" s="381">
        <v>37320</v>
      </c>
      <c r="BS110" s="381">
        <v>200</v>
      </c>
      <c r="BT110" s="381">
        <v>23746</v>
      </c>
      <c r="BU110" s="381">
        <v>17435</v>
      </c>
      <c r="BV110" s="381">
        <v>0</v>
      </c>
      <c r="BW110" s="381">
        <v>0</v>
      </c>
      <c r="BX110" s="381">
        <v>0</v>
      </c>
      <c r="BY110" s="382">
        <v>0</v>
      </c>
      <c r="BZ110" s="382">
        <v>0</v>
      </c>
      <c r="CA110" s="382">
        <v>1590413</v>
      </c>
      <c r="CB110" s="381"/>
      <c r="CC110" s="381">
        <v>6329</v>
      </c>
      <c r="CD110" s="381">
        <v>0</v>
      </c>
      <c r="CE110" s="381">
        <v>0</v>
      </c>
      <c r="CF110" s="381">
        <v>6329</v>
      </c>
      <c r="CG110" s="381"/>
      <c r="CH110" s="381">
        <v>0</v>
      </c>
      <c r="CI110" s="381">
        <v>-7341</v>
      </c>
      <c r="CJ110" s="381">
        <v>0</v>
      </c>
      <c r="CK110" s="381">
        <v>0</v>
      </c>
      <c r="CL110" s="381">
        <v>0</v>
      </c>
      <c r="CM110" s="381">
        <v>0</v>
      </c>
      <c r="CN110" s="381">
        <v>5316</v>
      </c>
      <c r="CO110" s="381">
        <v>0</v>
      </c>
      <c r="CP110" s="381">
        <v>-2025</v>
      </c>
      <c r="CQ110" s="381"/>
      <c r="CR110" s="381">
        <v>-96574.439999999973</v>
      </c>
      <c r="CS110" s="381">
        <v>0</v>
      </c>
      <c r="CT110" s="381">
        <v>0</v>
      </c>
      <c r="CU110" s="381">
        <v>0.39000000000123691</v>
      </c>
      <c r="CV110" s="381">
        <v>0</v>
      </c>
      <c r="CW110" s="381">
        <v>0</v>
      </c>
      <c r="CX110" s="381">
        <v>-96574.049999999974</v>
      </c>
      <c r="CY110" s="381"/>
      <c r="CZ110" s="117"/>
      <c r="DA110" s="384"/>
      <c r="DB110" s="117"/>
      <c r="DC110" s="384"/>
      <c r="DD110" s="385"/>
      <c r="DE110" s="117"/>
      <c r="DF110" s="117"/>
      <c r="DG110" s="381"/>
      <c r="DH110" s="386"/>
      <c r="DI110" s="387"/>
      <c r="DJ110" s="381"/>
      <c r="DK110" s="381">
        <v>-18687.439999999981</v>
      </c>
      <c r="DL110" s="381">
        <v>-8353.6099999999988</v>
      </c>
      <c r="DM110" s="381">
        <v>-27041.049999999981</v>
      </c>
      <c r="DN110" s="381">
        <v>-96574.439999999973</v>
      </c>
      <c r="DO110" s="381">
        <v>0.39000000000123691</v>
      </c>
      <c r="DP110" s="381">
        <v>-96574.049999999974</v>
      </c>
      <c r="DQ110" s="383"/>
      <c r="DR110" s="381"/>
      <c r="DS110" s="388"/>
      <c r="DT110" s="388"/>
    </row>
    <row r="111" spans="1:124" ht="14.25">
      <c r="A111" s="380">
        <v>779</v>
      </c>
      <c r="B111" s="391">
        <v>9163068</v>
      </c>
      <c r="C111" s="68">
        <v>3068</v>
      </c>
      <c r="D111" s="120"/>
      <c r="E111" s="120" t="s">
        <v>205</v>
      </c>
      <c r="F111" s="120"/>
      <c r="G111" s="120"/>
      <c r="H111" s="68"/>
      <c r="I111" s="381">
        <v>-83901.929999999877</v>
      </c>
      <c r="J111" s="381">
        <v>4899.37</v>
      </c>
      <c r="K111" s="381">
        <v>0</v>
      </c>
      <c r="L111" s="381">
        <v>253.01999999999862</v>
      </c>
      <c r="M111" s="381">
        <v>0</v>
      </c>
      <c r="N111" s="381">
        <v>0</v>
      </c>
      <c r="O111" s="381">
        <v>-78749.539999999877</v>
      </c>
      <c r="P111" s="381"/>
      <c r="Q111" s="381">
        <v>1131565</v>
      </c>
      <c r="R111" s="381">
        <v>0</v>
      </c>
      <c r="S111" s="381">
        <v>66897</v>
      </c>
      <c r="T111" s="381">
        <v>0</v>
      </c>
      <c r="U111" s="381">
        <v>74026</v>
      </c>
      <c r="V111" s="381">
        <v>51079</v>
      </c>
      <c r="W111" s="381">
        <v>0</v>
      </c>
      <c r="X111" s="381">
        <v>2000</v>
      </c>
      <c r="Y111" s="381">
        <v>33500</v>
      </c>
      <c r="Z111" s="381">
        <v>3000</v>
      </c>
      <c r="AA111" s="381">
        <v>0</v>
      </c>
      <c r="AB111" s="381">
        <v>6000</v>
      </c>
      <c r="AC111" s="381">
        <v>3000</v>
      </c>
      <c r="AD111" s="381">
        <v>4000</v>
      </c>
      <c r="AE111" s="381">
        <v>0</v>
      </c>
      <c r="AF111" s="381">
        <v>0</v>
      </c>
      <c r="AG111" s="381">
        <v>0</v>
      </c>
      <c r="AH111" s="381">
        <v>0</v>
      </c>
      <c r="AI111" s="381">
        <v>0</v>
      </c>
      <c r="AJ111" s="381">
        <v>0</v>
      </c>
      <c r="AK111" s="381">
        <v>0</v>
      </c>
      <c r="AL111" s="381">
        <v>1375067</v>
      </c>
      <c r="AM111" s="381"/>
      <c r="AN111" s="381">
        <v>685283</v>
      </c>
      <c r="AO111" s="381">
        <v>26000</v>
      </c>
      <c r="AP111" s="381">
        <v>265026</v>
      </c>
      <c r="AQ111" s="381">
        <v>22419</v>
      </c>
      <c r="AR111" s="381">
        <v>43764</v>
      </c>
      <c r="AS111" s="381">
        <v>0</v>
      </c>
      <c r="AT111" s="381">
        <v>59468</v>
      </c>
      <c r="AU111" s="381">
        <v>6129</v>
      </c>
      <c r="AV111" s="381">
        <v>2674</v>
      </c>
      <c r="AW111" s="381">
        <v>6613</v>
      </c>
      <c r="AX111" s="381">
        <v>3437</v>
      </c>
      <c r="AY111" s="381">
        <v>7109</v>
      </c>
      <c r="AZ111" s="381">
        <v>9606</v>
      </c>
      <c r="BA111" s="381">
        <v>3707</v>
      </c>
      <c r="BB111" s="381">
        <v>7470</v>
      </c>
      <c r="BC111" s="381">
        <v>17877</v>
      </c>
      <c r="BD111" s="381">
        <v>26817</v>
      </c>
      <c r="BE111" s="381">
        <v>4242</v>
      </c>
      <c r="BF111" s="381">
        <v>41871</v>
      </c>
      <c r="BG111" s="381">
        <v>2562</v>
      </c>
      <c r="BH111" s="381">
        <v>0</v>
      </c>
      <c r="BI111" s="381">
        <v>2000</v>
      </c>
      <c r="BJ111" s="381">
        <v>2632</v>
      </c>
      <c r="BK111" s="381">
        <v>0</v>
      </c>
      <c r="BL111" s="381">
        <v>0</v>
      </c>
      <c r="BM111" s="381">
        <v>900</v>
      </c>
      <c r="BN111" s="381">
        <v>0</v>
      </c>
      <c r="BO111" s="381">
        <v>2900</v>
      </c>
      <c r="BP111" s="381">
        <v>11111</v>
      </c>
      <c r="BQ111" s="381">
        <v>0</v>
      </c>
      <c r="BR111" s="381">
        <v>54337</v>
      </c>
      <c r="BS111" s="381">
        <v>4000</v>
      </c>
      <c r="BT111" s="381">
        <v>4431</v>
      </c>
      <c r="BU111" s="381">
        <v>32967</v>
      </c>
      <c r="BV111" s="381">
        <v>0</v>
      </c>
      <c r="BW111" s="381">
        <v>0</v>
      </c>
      <c r="BX111" s="381">
        <v>0</v>
      </c>
      <c r="BY111" s="382">
        <v>0</v>
      </c>
      <c r="BZ111" s="382">
        <v>0</v>
      </c>
      <c r="CA111" s="382">
        <v>1357352</v>
      </c>
      <c r="CB111" s="381"/>
      <c r="CC111" s="381">
        <v>6278</v>
      </c>
      <c r="CD111" s="381">
        <v>0</v>
      </c>
      <c r="CE111" s="381">
        <v>0</v>
      </c>
      <c r="CF111" s="381">
        <v>6278</v>
      </c>
      <c r="CG111" s="381"/>
      <c r="CH111" s="381">
        <v>0</v>
      </c>
      <c r="CI111" s="381">
        <v>6531</v>
      </c>
      <c r="CJ111" s="381">
        <v>0</v>
      </c>
      <c r="CK111" s="381">
        <v>0</v>
      </c>
      <c r="CL111" s="381">
        <v>0</v>
      </c>
      <c r="CM111" s="381">
        <v>0</v>
      </c>
      <c r="CN111" s="381">
        <v>0</v>
      </c>
      <c r="CO111" s="381">
        <v>0</v>
      </c>
      <c r="CP111" s="381">
        <v>6531</v>
      </c>
      <c r="CQ111" s="381"/>
      <c r="CR111" s="381">
        <v>-61287.559999999881</v>
      </c>
      <c r="CS111" s="381">
        <v>0</v>
      </c>
      <c r="CT111" s="381">
        <v>0</v>
      </c>
      <c r="CU111" s="381">
        <v>1.9999999998617568E-2</v>
      </c>
      <c r="CV111" s="381">
        <v>0</v>
      </c>
      <c r="CW111" s="381">
        <v>0</v>
      </c>
      <c r="CX111" s="381">
        <v>-61287.539999999884</v>
      </c>
      <c r="CY111" s="381"/>
      <c r="CZ111" s="117"/>
      <c r="DA111" s="384"/>
      <c r="DB111" s="117"/>
      <c r="DC111" s="384"/>
      <c r="DD111" s="385"/>
      <c r="DE111" s="117"/>
      <c r="DF111" s="117"/>
      <c r="DG111" s="381"/>
      <c r="DH111" s="386"/>
      <c r="DI111" s="387"/>
      <c r="DJ111" s="381"/>
      <c r="DK111" s="381">
        <v>-79002.559999999881</v>
      </c>
      <c r="DL111" s="381">
        <v>253.01999999999862</v>
      </c>
      <c r="DM111" s="381">
        <v>-78749.539999999877</v>
      </c>
      <c r="DN111" s="381">
        <v>-61287.559999999881</v>
      </c>
      <c r="DO111" s="381">
        <v>1.9999999998617568E-2</v>
      </c>
      <c r="DP111" s="381">
        <v>-61287.539999999884</v>
      </c>
      <c r="DQ111" s="383"/>
      <c r="DR111" s="381"/>
      <c r="DS111" s="388"/>
      <c r="DT111" s="388"/>
    </row>
    <row r="112" spans="1:124" ht="14.25">
      <c r="A112" s="380">
        <v>768</v>
      </c>
      <c r="B112" s="391">
        <v>9163360</v>
      </c>
      <c r="C112" s="68">
        <v>3360</v>
      </c>
      <c r="D112" s="120"/>
      <c r="E112" s="120" t="s">
        <v>737</v>
      </c>
      <c r="F112" s="120"/>
      <c r="G112" s="120"/>
      <c r="H112" s="68"/>
      <c r="I112" s="381">
        <v>60412.640000000058</v>
      </c>
      <c r="J112" s="381">
        <v>0</v>
      </c>
      <c r="K112" s="381">
        <v>0</v>
      </c>
      <c r="L112" s="381">
        <v>-1617.08</v>
      </c>
      <c r="M112" s="381">
        <v>0</v>
      </c>
      <c r="N112" s="381">
        <v>0</v>
      </c>
      <c r="O112" s="381">
        <v>58795.560000000056</v>
      </c>
      <c r="P112" s="381"/>
      <c r="Q112" s="381">
        <v>951668</v>
      </c>
      <c r="R112" s="381">
        <v>0</v>
      </c>
      <c r="S112" s="381">
        <v>36445</v>
      </c>
      <c r="T112" s="381">
        <v>0</v>
      </c>
      <c r="U112" s="381">
        <v>29160</v>
      </c>
      <c r="V112" s="381">
        <v>81661</v>
      </c>
      <c r="W112" s="381">
        <v>0</v>
      </c>
      <c r="X112" s="381">
        <v>0</v>
      </c>
      <c r="Y112" s="381">
        <v>48000</v>
      </c>
      <c r="Z112" s="381">
        <v>4000</v>
      </c>
      <c r="AA112" s="381">
        <v>0</v>
      </c>
      <c r="AB112" s="381">
        <v>0</v>
      </c>
      <c r="AC112" s="381">
        <v>2500</v>
      </c>
      <c r="AD112" s="381">
        <v>2000</v>
      </c>
      <c r="AE112" s="381">
        <v>0</v>
      </c>
      <c r="AF112" s="381">
        <v>0</v>
      </c>
      <c r="AG112" s="381">
        <v>0</v>
      </c>
      <c r="AH112" s="381">
        <v>0</v>
      </c>
      <c r="AI112" s="381">
        <v>0</v>
      </c>
      <c r="AJ112" s="381">
        <v>0</v>
      </c>
      <c r="AK112" s="381">
        <v>0</v>
      </c>
      <c r="AL112" s="381">
        <v>1155434</v>
      </c>
      <c r="AM112" s="381"/>
      <c r="AN112" s="381">
        <v>562268</v>
      </c>
      <c r="AO112" s="381">
        <v>12000</v>
      </c>
      <c r="AP112" s="381">
        <v>250530</v>
      </c>
      <c r="AQ112" s="381">
        <v>0</v>
      </c>
      <c r="AR112" s="381">
        <v>42431</v>
      </c>
      <c r="AS112" s="381">
        <v>0</v>
      </c>
      <c r="AT112" s="381">
        <v>34344</v>
      </c>
      <c r="AU112" s="381">
        <v>400</v>
      </c>
      <c r="AV112" s="381">
        <v>3600</v>
      </c>
      <c r="AW112" s="381">
        <v>540</v>
      </c>
      <c r="AX112" s="381">
        <v>0</v>
      </c>
      <c r="AY112" s="381">
        <v>17533</v>
      </c>
      <c r="AZ112" s="381">
        <v>6159</v>
      </c>
      <c r="BA112" s="381">
        <v>28900</v>
      </c>
      <c r="BB112" s="381">
        <v>4000</v>
      </c>
      <c r="BC112" s="381">
        <v>32000</v>
      </c>
      <c r="BD112" s="381">
        <v>3343</v>
      </c>
      <c r="BE112" s="381">
        <v>0</v>
      </c>
      <c r="BF112" s="381">
        <v>35256</v>
      </c>
      <c r="BG112" s="381">
        <v>2250</v>
      </c>
      <c r="BH112" s="381">
        <v>0</v>
      </c>
      <c r="BI112" s="381">
        <v>2000</v>
      </c>
      <c r="BJ112" s="381">
        <v>6000</v>
      </c>
      <c r="BK112" s="381">
        <v>0</v>
      </c>
      <c r="BL112" s="381">
        <v>0</v>
      </c>
      <c r="BM112" s="381">
        <v>1850</v>
      </c>
      <c r="BN112" s="381">
        <v>0</v>
      </c>
      <c r="BO112" s="381">
        <v>7200</v>
      </c>
      <c r="BP112" s="381">
        <v>9554</v>
      </c>
      <c r="BQ112" s="381">
        <v>0</v>
      </c>
      <c r="BR112" s="381">
        <v>74067</v>
      </c>
      <c r="BS112" s="381">
        <v>2000</v>
      </c>
      <c r="BT112" s="381">
        <v>3540</v>
      </c>
      <c r="BU112" s="381">
        <v>8683</v>
      </c>
      <c r="BV112" s="381">
        <v>0</v>
      </c>
      <c r="BW112" s="381">
        <v>0</v>
      </c>
      <c r="BX112" s="381">
        <v>0</v>
      </c>
      <c r="BY112" s="382">
        <v>0</v>
      </c>
      <c r="BZ112" s="382">
        <v>0</v>
      </c>
      <c r="CA112" s="382">
        <v>1150448</v>
      </c>
      <c r="CB112" s="381"/>
      <c r="CC112" s="381">
        <v>0</v>
      </c>
      <c r="CD112" s="381">
        <v>0</v>
      </c>
      <c r="CE112" s="381">
        <v>0</v>
      </c>
      <c r="CF112" s="381">
        <v>0</v>
      </c>
      <c r="CG112" s="381"/>
      <c r="CH112" s="381">
        <v>0</v>
      </c>
      <c r="CI112" s="381">
        <v>0</v>
      </c>
      <c r="CJ112" s="381">
        <v>0</v>
      </c>
      <c r="CK112" s="381">
        <v>0</v>
      </c>
      <c r="CL112" s="381">
        <v>0</v>
      </c>
      <c r="CM112" s="381">
        <v>0</v>
      </c>
      <c r="CN112" s="381">
        <v>0</v>
      </c>
      <c r="CO112" s="381">
        <v>0</v>
      </c>
      <c r="CP112" s="381">
        <v>0</v>
      </c>
      <c r="CQ112" s="381"/>
      <c r="CR112" s="381">
        <v>65398.640000000058</v>
      </c>
      <c r="CS112" s="381">
        <v>0</v>
      </c>
      <c r="CT112" s="381">
        <v>0</v>
      </c>
      <c r="CU112" s="381">
        <v>-1617.08</v>
      </c>
      <c r="CV112" s="381">
        <v>0</v>
      </c>
      <c r="CW112" s="381">
        <v>0</v>
      </c>
      <c r="CX112" s="381">
        <v>63781.560000000056</v>
      </c>
      <c r="CY112" s="381"/>
      <c r="CZ112" s="117"/>
      <c r="DA112" s="384"/>
      <c r="DB112" s="117"/>
      <c r="DC112" s="384"/>
      <c r="DD112" s="385"/>
      <c r="DE112" s="117"/>
      <c r="DF112" s="117"/>
      <c r="DG112" s="381"/>
      <c r="DH112" s="386"/>
      <c r="DI112" s="387"/>
      <c r="DJ112" s="381"/>
      <c r="DK112" s="381">
        <v>60412.640000000058</v>
      </c>
      <c r="DL112" s="381">
        <v>-1617.08</v>
      </c>
      <c r="DM112" s="381">
        <v>58795.560000000056</v>
      </c>
      <c r="DN112" s="381">
        <v>65398.640000000058</v>
      </c>
      <c r="DO112" s="381">
        <v>-1617.08</v>
      </c>
      <c r="DP112" s="381">
        <v>63781.560000000056</v>
      </c>
      <c r="DQ112" s="383"/>
      <c r="DR112" s="381"/>
      <c r="DS112" s="388"/>
      <c r="DT112" s="388"/>
    </row>
    <row r="113" spans="1:124" ht="14.25">
      <c r="A113" s="380">
        <v>754</v>
      </c>
      <c r="B113" s="391">
        <v>9163343</v>
      </c>
      <c r="C113" s="68">
        <v>3343</v>
      </c>
      <c r="D113" s="120"/>
      <c r="E113" s="120" t="s">
        <v>749</v>
      </c>
      <c r="F113" s="120"/>
      <c r="G113" s="120"/>
      <c r="H113" s="68"/>
      <c r="I113" s="381">
        <v>20350.739999999845</v>
      </c>
      <c r="J113" s="381">
        <v>3217</v>
      </c>
      <c r="K113" s="381">
        <v>0</v>
      </c>
      <c r="L113" s="381">
        <v>0</v>
      </c>
      <c r="M113" s="381">
        <v>0</v>
      </c>
      <c r="N113" s="381">
        <v>0</v>
      </c>
      <c r="O113" s="381">
        <v>23567.739999999845</v>
      </c>
      <c r="P113" s="381"/>
      <c r="Q113" s="381">
        <v>1387319</v>
      </c>
      <c r="R113" s="381">
        <v>0</v>
      </c>
      <c r="S113" s="381">
        <v>79055</v>
      </c>
      <c r="T113" s="381">
        <v>0</v>
      </c>
      <c r="U113" s="381">
        <v>69440</v>
      </c>
      <c r="V113" s="381">
        <v>18650</v>
      </c>
      <c r="W113" s="381">
        <v>0</v>
      </c>
      <c r="X113" s="381">
        <v>0</v>
      </c>
      <c r="Y113" s="381">
        <v>35000</v>
      </c>
      <c r="Z113" s="381">
        <v>0</v>
      </c>
      <c r="AA113" s="381">
        <v>0</v>
      </c>
      <c r="AB113" s="381">
        <v>0</v>
      </c>
      <c r="AC113" s="381">
        <v>0</v>
      </c>
      <c r="AD113" s="381">
        <v>0</v>
      </c>
      <c r="AE113" s="381">
        <v>0</v>
      </c>
      <c r="AF113" s="381">
        <v>0</v>
      </c>
      <c r="AG113" s="381">
        <v>0</v>
      </c>
      <c r="AH113" s="381">
        <v>0</v>
      </c>
      <c r="AI113" s="381">
        <v>0</v>
      </c>
      <c r="AJ113" s="381">
        <v>0</v>
      </c>
      <c r="AK113" s="381">
        <v>0</v>
      </c>
      <c r="AL113" s="381">
        <v>1589464</v>
      </c>
      <c r="AM113" s="381"/>
      <c r="AN113" s="381">
        <v>900404</v>
      </c>
      <c r="AO113" s="381">
        <v>10000</v>
      </c>
      <c r="AP113" s="381">
        <v>292013</v>
      </c>
      <c r="AQ113" s="381">
        <v>9761</v>
      </c>
      <c r="AR113" s="381">
        <v>73417</v>
      </c>
      <c r="AS113" s="381">
        <v>0</v>
      </c>
      <c r="AT113" s="381">
        <v>70547</v>
      </c>
      <c r="AU113" s="381">
        <v>500</v>
      </c>
      <c r="AV113" s="381">
        <v>4018</v>
      </c>
      <c r="AW113" s="381">
        <v>808</v>
      </c>
      <c r="AX113" s="381">
        <v>0</v>
      </c>
      <c r="AY113" s="381">
        <v>13807</v>
      </c>
      <c r="AZ113" s="381">
        <v>10507</v>
      </c>
      <c r="BA113" s="381">
        <v>20900</v>
      </c>
      <c r="BB113" s="381">
        <v>5000</v>
      </c>
      <c r="BC113" s="381">
        <v>18000</v>
      </c>
      <c r="BD113" s="381">
        <v>5039</v>
      </c>
      <c r="BE113" s="381">
        <v>0</v>
      </c>
      <c r="BF113" s="381">
        <v>59729</v>
      </c>
      <c r="BG113" s="381">
        <v>0</v>
      </c>
      <c r="BH113" s="381">
        <v>0</v>
      </c>
      <c r="BI113" s="381">
        <v>0</v>
      </c>
      <c r="BJ113" s="381">
        <v>10000</v>
      </c>
      <c r="BK113" s="381">
        <v>0</v>
      </c>
      <c r="BL113" s="381">
        <v>0</v>
      </c>
      <c r="BM113" s="381">
        <v>2750</v>
      </c>
      <c r="BN113" s="381">
        <v>0</v>
      </c>
      <c r="BO113" s="381">
        <v>2000</v>
      </c>
      <c r="BP113" s="381">
        <v>14304</v>
      </c>
      <c r="BQ113" s="381">
        <v>0</v>
      </c>
      <c r="BR113" s="381">
        <v>26090</v>
      </c>
      <c r="BS113" s="381">
        <v>11000</v>
      </c>
      <c r="BT113" s="381">
        <v>0</v>
      </c>
      <c r="BU113" s="381">
        <v>13505</v>
      </c>
      <c r="BV113" s="381">
        <v>0</v>
      </c>
      <c r="BW113" s="381">
        <v>0</v>
      </c>
      <c r="BX113" s="381">
        <v>0</v>
      </c>
      <c r="BY113" s="382">
        <v>0</v>
      </c>
      <c r="BZ113" s="382">
        <v>0</v>
      </c>
      <c r="CA113" s="382">
        <v>1574099</v>
      </c>
      <c r="CB113" s="381"/>
      <c r="CC113" s="381">
        <v>0</v>
      </c>
      <c r="CD113" s="381">
        <v>0</v>
      </c>
      <c r="CE113" s="381">
        <v>0</v>
      </c>
      <c r="CF113" s="381">
        <v>0</v>
      </c>
      <c r="CG113" s="381"/>
      <c r="CH113" s="381">
        <v>0</v>
      </c>
      <c r="CI113" s="381">
        <v>0</v>
      </c>
      <c r="CJ113" s="381">
        <v>0</v>
      </c>
      <c r="CK113" s="381">
        <v>0</v>
      </c>
      <c r="CL113" s="381">
        <v>0</v>
      </c>
      <c r="CM113" s="381">
        <v>0</v>
      </c>
      <c r="CN113" s="381">
        <v>0</v>
      </c>
      <c r="CO113" s="381">
        <v>0</v>
      </c>
      <c r="CP113" s="381">
        <v>0</v>
      </c>
      <c r="CQ113" s="381"/>
      <c r="CR113" s="381">
        <v>38932.739999999845</v>
      </c>
      <c r="CS113" s="381">
        <v>0</v>
      </c>
      <c r="CT113" s="381">
        <v>0</v>
      </c>
      <c r="CU113" s="381">
        <v>0</v>
      </c>
      <c r="CV113" s="381">
        <v>0</v>
      </c>
      <c r="CW113" s="381">
        <v>0</v>
      </c>
      <c r="CX113" s="381">
        <v>38932.739999999845</v>
      </c>
      <c r="CY113" s="381"/>
      <c r="CZ113" s="117"/>
      <c r="DA113" s="384"/>
      <c r="DB113" s="117"/>
      <c r="DC113" s="384"/>
      <c r="DD113" s="385"/>
      <c r="DE113" s="117"/>
      <c r="DF113" s="117"/>
      <c r="DG113" s="381"/>
      <c r="DH113" s="386"/>
      <c r="DI113" s="387"/>
      <c r="DJ113" s="381"/>
      <c r="DK113" s="381">
        <v>23567.739999999845</v>
      </c>
      <c r="DL113" s="381">
        <v>0</v>
      </c>
      <c r="DM113" s="381">
        <v>23567.739999999845</v>
      </c>
      <c r="DN113" s="381">
        <v>38932.739999999845</v>
      </c>
      <c r="DO113" s="381">
        <v>0</v>
      </c>
      <c r="DP113" s="381">
        <v>38932.739999999845</v>
      </c>
      <c r="DQ113" s="383"/>
      <c r="DR113" s="381"/>
      <c r="DS113" s="388"/>
      <c r="DT113" s="388"/>
    </row>
    <row r="114" spans="1:124" ht="15">
      <c r="A114" s="380">
        <v>735</v>
      </c>
      <c r="B114" s="391">
        <v>9163310</v>
      </c>
      <c r="C114" s="68">
        <v>3310</v>
      </c>
      <c r="D114" s="120"/>
      <c r="E114" s="120" t="s">
        <v>211</v>
      </c>
      <c r="F114" s="120"/>
      <c r="G114" s="120"/>
      <c r="H114" s="68"/>
      <c r="I114" s="381">
        <v>38148.580000000031</v>
      </c>
      <c r="J114" s="381">
        <v>3817</v>
      </c>
      <c r="K114" s="381">
        <v>0</v>
      </c>
      <c r="L114" s="381">
        <v>0</v>
      </c>
      <c r="M114" s="381">
        <v>0</v>
      </c>
      <c r="N114" s="381">
        <v>0</v>
      </c>
      <c r="O114" s="381">
        <v>41965.580000000031</v>
      </c>
      <c r="P114" s="389"/>
      <c r="Q114" s="381">
        <v>366456</v>
      </c>
      <c r="R114" s="381">
        <v>0</v>
      </c>
      <c r="S114" s="381">
        <v>0</v>
      </c>
      <c r="T114" s="381">
        <v>0</v>
      </c>
      <c r="U114" s="381">
        <v>9090</v>
      </c>
      <c r="V114" s="381">
        <v>19701</v>
      </c>
      <c r="W114" s="381">
        <v>0</v>
      </c>
      <c r="X114" s="381">
        <v>0</v>
      </c>
      <c r="Y114" s="381">
        <v>1000</v>
      </c>
      <c r="Z114" s="381">
        <v>0</v>
      </c>
      <c r="AA114" s="381">
        <v>0</v>
      </c>
      <c r="AB114" s="381">
        <v>0</v>
      </c>
      <c r="AC114" s="381">
        <v>0</v>
      </c>
      <c r="AD114" s="381">
        <v>0</v>
      </c>
      <c r="AE114" s="381">
        <v>0</v>
      </c>
      <c r="AF114" s="381">
        <v>0</v>
      </c>
      <c r="AG114" s="381">
        <v>0</v>
      </c>
      <c r="AH114" s="381">
        <v>0</v>
      </c>
      <c r="AI114" s="381">
        <v>0</v>
      </c>
      <c r="AJ114" s="381">
        <v>0</v>
      </c>
      <c r="AK114" s="381">
        <v>0</v>
      </c>
      <c r="AL114" s="381">
        <v>396247</v>
      </c>
      <c r="AM114" s="389"/>
      <c r="AN114" s="381">
        <v>196321</v>
      </c>
      <c r="AO114" s="381">
        <v>10000</v>
      </c>
      <c r="AP114" s="381">
        <v>81887</v>
      </c>
      <c r="AQ114" s="381">
        <v>0</v>
      </c>
      <c r="AR114" s="381">
        <v>23645</v>
      </c>
      <c r="AS114" s="381">
        <v>0</v>
      </c>
      <c r="AT114" s="381">
        <v>12481</v>
      </c>
      <c r="AU114" s="381">
        <v>300</v>
      </c>
      <c r="AV114" s="381">
        <v>1300</v>
      </c>
      <c r="AW114" s="381">
        <v>1165</v>
      </c>
      <c r="AX114" s="381">
        <v>582</v>
      </c>
      <c r="AY114" s="381">
        <v>4845</v>
      </c>
      <c r="AZ114" s="381">
        <v>0</v>
      </c>
      <c r="BA114" s="381">
        <v>7271</v>
      </c>
      <c r="BB114" s="381">
        <v>600</v>
      </c>
      <c r="BC114" s="381">
        <v>8900</v>
      </c>
      <c r="BD114" s="381">
        <v>558</v>
      </c>
      <c r="BE114" s="381">
        <v>1200</v>
      </c>
      <c r="BF114" s="381">
        <v>14872</v>
      </c>
      <c r="BG114" s="381">
        <v>0</v>
      </c>
      <c r="BH114" s="381">
        <v>0</v>
      </c>
      <c r="BI114" s="381">
        <v>2500</v>
      </c>
      <c r="BJ114" s="381">
        <v>0</v>
      </c>
      <c r="BK114" s="381">
        <v>0</v>
      </c>
      <c r="BL114" s="381">
        <v>0</v>
      </c>
      <c r="BM114" s="381">
        <v>0</v>
      </c>
      <c r="BN114" s="381">
        <v>0</v>
      </c>
      <c r="BO114" s="381">
        <v>3874</v>
      </c>
      <c r="BP114" s="381">
        <v>500</v>
      </c>
      <c r="BQ114" s="381">
        <v>1763</v>
      </c>
      <c r="BR114" s="381">
        <v>0</v>
      </c>
      <c r="BS114" s="381">
        <v>9335</v>
      </c>
      <c r="BT114" s="381">
        <v>13005</v>
      </c>
      <c r="BU114" s="381">
        <v>9739</v>
      </c>
      <c r="BV114" s="381">
        <v>0</v>
      </c>
      <c r="BW114" s="381">
        <v>0</v>
      </c>
      <c r="BX114" s="381">
        <v>0</v>
      </c>
      <c r="BY114" s="382">
        <v>0</v>
      </c>
      <c r="BZ114" s="382">
        <v>0</v>
      </c>
      <c r="CA114" s="382">
        <v>406643</v>
      </c>
      <c r="CB114" s="389"/>
      <c r="CC114" s="381">
        <v>0</v>
      </c>
      <c r="CD114" s="381">
        <v>0</v>
      </c>
      <c r="CE114" s="381">
        <v>0</v>
      </c>
      <c r="CF114" s="381">
        <v>0</v>
      </c>
      <c r="CG114" s="389"/>
      <c r="CH114" s="381">
        <v>0</v>
      </c>
      <c r="CI114" s="381">
        <v>0</v>
      </c>
      <c r="CJ114" s="381">
        <v>0</v>
      </c>
      <c r="CK114" s="381">
        <v>0</v>
      </c>
      <c r="CL114" s="381">
        <v>0</v>
      </c>
      <c r="CM114" s="381">
        <v>0</v>
      </c>
      <c r="CN114" s="381">
        <v>0</v>
      </c>
      <c r="CO114" s="381">
        <v>0</v>
      </c>
      <c r="CP114" s="381">
        <v>0</v>
      </c>
      <c r="CQ114" s="390"/>
      <c r="CR114" s="381">
        <v>31569.580000000031</v>
      </c>
      <c r="CS114" s="381">
        <v>0</v>
      </c>
      <c r="CT114" s="381">
        <v>0</v>
      </c>
      <c r="CU114" s="381">
        <v>0</v>
      </c>
      <c r="CV114" s="381">
        <v>0</v>
      </c>
      <c r="CW114" s="381">
        <v>0</v>
      </c>
      <c r="CX114" s="381">
        <v>31569.580000000031</v>
      </c>
      <c r="CY114" s="381"/>
      <c r="CZ114" s="117"/>
      <c r="DA114" s="384"/>
      <c r="DB114" s="117"/>
      <c r="DC114" s="384"/>
      <c r="DD114" s="385"/>
      <c r="DE114" s="117"/>
      <c r="DF114" s="117"/>
      <c r="DG114" s="381"/>
      <c r="DH114" s="386"/>
      <c r="DI114" s="387"/>
      <c r="DJ114" s="381"/>
      <c r="DK114" s="381">
        <v>41965.580000000031</v>
      </c>
      <c r="DL114" s="381">
        <v>0</v>
      </c>
      <c r="DM114" s="381">
        <v>41965.580000000031</v>
      </c>
      <c r="DN114" s="381">
        <v>31569.580000000031</v>
      </c>
      <c r="DO114" s="381">
        <v>0</v>
      </c>
      <c r="DP114" s="381">
        <v>31569.580000000031</v>
      </c>
      <c r="DQ114" s="383"/>
      <c r="DR114" s="381"/>
      <c r="DS114" s="388"/>
      <c r="DT114" s="388"/>
    </row>
    <row r="115" spans="1:124" ht="14.25">
      <c r="A115" s="380">
        <v>833</v>
      </c>
      <c r="B115" s="391">
        <v>9163077</v>
      </c>
      <c r="C115" s="68">
        <v>3077</v>
      </c>
      <c r="D115" s="120"/>
      <c r="E115" s="120" t="s">
        <v>739</v>
      </c>
      <c r="F115" s="120"/>
      <c r="G115" s="120"/>
      <c r="H115" s="68"/>
      <c r="I115" s="381">
        <v>199653.30999999988</v>
      </c>
      <c r="J115" s="381">
        <v>7657.57</v>
      </c>
      <c r="K115" s="381">
        <v>0</v>
      </c>
      <c r="L115" s="381">
        <v>6566.2100000000137</v>
      </c>
      <c r="M115" s="381">
        <v>0</v>
      </c>
      <c r="N115" s="381">
        <v>0</v>
      </c>
      <c r="O115" s="381">
        <v>213877.08999999991</v>
      </c>
      <c r="P115" s="381"/>
      <c r="Q115" s="381">
        <v>2172002</v>
      </c>
      <c r="R115" s="381">
        <v>0</v>
      </c>
      <c r="S115" s="381">
        <v>170192</v>
      </c>
      <c r="T115" s="381">
        <v>0</v>
      </c>
      <c r="U115" s="381">
        <v>82221</v>
      </c>
      <c r="V115" s="381">
        <v>95280</v>
      </c>
      <c r="W115" s="381">
        <v>1000</v>
      </c>
      <c r="X115" s="381">
        <v>0</v>
      </c>
      <c r="Y115" s="381">
        <v>128112</v>
      </c>
      <c r="Z115" s="381">
        <v>46700</v>
      </c>
      <c r="AA115" s="381">
        <v>0</v>
      </c>
      <c r="AB115" s="381">
        <v>0</v>
      </c>
      <c r="AC115" s="381">
        <v>5784</v>
      </c>
      <c r="AD115" s="381">
        <v>1760</v>
      </c>
      <c r="AE115" s="381">
        <v>0</v>
      </c>
      <c r="AF115" s="381">
        <v>0</v>
      </c>
      <c r="AG115" s="381">
        <v>0</v>
      </c>
      <c r="AH115" s="381">
        <v>0</v>
      </c>
      <c r="AI115" s="381">
        <v>0</v>
      </c>
      <c r="AJ115" s="381">
        <v>0</v>
      </c>
      <c r="AK115" s="381">
        <v>0</v>
      </c>
      <c r="AL115" s="381">
        <v>2703051</v>
      </c>
      <c r="AM115" s="381"/>
      <c r="AN115" s="381">
        <v>1176674</v>
      </c>
      <c r="AO115" s="381">
        <v>27287</v>
      </c>
      <c r="AP115" s="381">
        <v>615317</v>
      </c>
      <c r="AQ115" s="381">
        <v>90633</v>
      </c>
      <c r="AR115" s="381">
        <v>109512</v>
      </c>
      <c r="AS115" s="381">
        <v>75410</v>
      </c>
      <c r="AT115" s="381">
        <v>161059</v>
      </c>
      <c r="AU115" s="381">
        <v>12586</v>
      </c>
      <c r="AV115" s="381">
        <v>13700</v>
      </c>
      <c r="AW115" s="381">
        <v>7921</v>
      </c>
      <c r="AX115" s="381">
        <v>1659</v>
      </c>
      <c r="AY115" s="381">
        <v>22042</v>
      </c>
      <c r="AZ115" s="381">
        <v>15000</v>
      </c>
      <c r="BA115" s="381">
        <v>39922</v>
      </c>
      <c r="BB115" s="381">
        <v>8000</v>
      </c>
      <c r="BC115" s="381">
        <v>29000</v>
      </c>
      <c r="BD115" s="381">
        <v>41896</v>
      </c>
      <c r="BE115" s="381">
        <v>11500</v>
      </c>
      <c r="BF115" s="381">
        <v>124455</v>
      </c>
      <c r="BG115" s="381">
        <v>2000</v>
      </c>
      <c r="BH115" s="381">
        <v>0</v>
      </c>
      <c r="BI115" s="381">
        <v>1750</v>
      </c>
      <c r="BJ115" s="381">
        <v>5900</v>
      </c>
      <c r="BK115" s="381">
        <v>0</v>
      </c>
      <c r="BL115" s="381">
        <v>2000</v>
      </c>
      <c r="BM115" s="381">
        <v>23280</v>
      </c>
      <c r="BN115" s="381">
        <v>0</v>
      </c>
      <c r="BO115" s="381">
        <v>8410</v>
      </c>
      <c r="BP115" s="381">
        <v>22780</v>
      </c>
      <c r="BQ115" s="381">
        <v>0</v>
      </c>
      <c r="BR115" s="381">
        <v>55012</v>
      </c>
      <c r="BS115" s="381">
        <v>19900</v>
      </c>
      <c r="BT115" s="381">
        <v>18749</v>
      </c>
      <c r="BU115" s="381">
        <v>18632</v>
      </c>
      <c r="BV115" s="381">
        <v>0</v>
      </c>
      <c r="BW115" s="381">
        <v>0</v>
      </c>
      <c r="BX115" s="381">
        <v>0</v>
      </c>
      <c r="BY115" s="382">
        <v>0</v>
      </c>
      <c r="BZ115" s="382">
        <v>0</v>
      </c>
      <c r="CA115" s="382">
        <v>2761986</v>
      </c>
      <c r="CB115" s="381"/>
      <c r="CC115" s="381">
        <v>6275</v>
      </c>
      <c r="CD115" s="381">
        <v>0</v>
      </c>
      <c r="CE115" s="381">
        <v>0</v>
      </c>
      <c r="CF115" s="381">
        <v>6275</v>
      </c>
      <c r="CG115" s="381"/>
      <c r="CH115" s="381">
        <v>0</v>
      </c>
      <c r="CI115" s="381">
        <v>12841</v>
      </c>
      <c r="CJ115" s="381">
        <v>0</v>
      </c>
      <c r="CK115" s="381">
        <v>0</v>
      </c>
      <c r="CL115" s="381">
        <v>0</v>
      </c>
      <c r="CM115" s="381">
        <v>0</v>
      </c>
      <c r="CN115" s="381">
        <v>0</v>
      </c>
      <c r="CO115" s="381">
        <v>0</v>
      </c>
      <c r="CP115" s="381">
        <v>12841</v>
      </c>
      <c r="CQ115" s="381"/>
      <c r="CR115" s="381">
        <v>148375.87999999989</v>
      </c>
      <c r="CS115" s="381">
        <v>0</v>
      </c>
      <c r="CT115" s="381">
        <v>0</v>
      </c>
      <c r="CU115" s="381">
        <v>0.2100000000136788</v>
      </c>
      <c r="CV115" s="381">
        <v>0</v>
      </c>
      <c r="CW115" s="381">
        <v>0</v>
      </c>
      <c r="CX115" s="381">
        <v>148376.08999999991</v>
      </c>
      <c r="CY115" s="381"/>
      <c r="CZ115" s="117"/>
      <c r="DA115" s="384"/>
      <c r="DB115" s="117"/>
      <c r="DC115" s="384"/>
      <c r="DD115" s="385"/>
      <c r="DE115" s="117"/>
      <c r="DF115" s="117"/>
      <c r="DG115" s="381"/>
      <c r="DH115" s="386"/>
      <c r="DI115" s="387"/>
      <c r="DJ115" s="381"/>
      <c r="DK115" s="381">
        <v>207310.87999999989</v>
      </c>
      <c r="DL115" s="381">
        <v>6566.2100000000137</v>
      </c>
      <c r="DM115" s="381">
        <v>213877.08999999991</v>
      </c>
      <c r="DN115" s="381">
        <v>148375.87999999989</v>
      </c>
      <c r="DO115" s="381">
        <v>0.2100000000136788</v>
      </c>
      <c r="DP115" s="381">
        <v>148376.08999999991</v>
      </c>
      <c r="DQ115" s="383"/>
      <c r="DR115" s="381"/>
      <c r="DS115" s="388"/>
      <c r="DT115" s="388"/>
    </row>
    <row r="116" spans="1:124" ht="14.25">
      <c r="A116" s="380">
        <v>604</v>
      </c>
      <c r="B116" s="391">
        <v>9163319</v>
      </c>
      <c r="C116" s="68">
        <v>3319</v>
      </c>
      <c r="D116" s="120"/>
      <c r="E116" s="120" t="s">
        <v>721</v>
      </c>
      <c r="F116" s="120"/>
      <c r="G116" s="120"/>
      <c r="H116" s="68"/>
      <c r="I116" s="381">
        <v>383719.37999999832</v>
      </c>
      <c r="J116" s="381">
        <v>15761.57</v>
      </c>
      <c r="K116" s="381">
        <v>0</v>
      </c>
      <c r="L116" s="381">
        <v>1.1368683772161603E-13</v>
      </c>
      <c r="M116" s="381">
        <v>0</v>
      </c>
      <c r="N116" s="381">
        <v>0</v>
      </c>
      <c r="O116" s="381">
        <v>399480.94999999832</v>
      </c>
      <c r="P116" s="381"/>
      <c r="Q116" s="381">
        <v>2143723</v>
      </c>
      <c r="R116" s="381">
        <v>0</v>
      </c>
      <c r="S116" s="381">
        <v>128873</v>
      </c>
      <c r="T116" s="381">
        <v>0</v>
      </c>
      <c r="U116" s="381">
        <v>45460</v>
      </c>
      <c r="V116" s="381">
        <v>90679</v>
      </c>
      <c r="W116" s="381">
        <v>1709</v>
      </c>
      <c r="X116" s="381">
        <v>2000</v>
      </c>
      <c r="Y116" s="381">
        <v>9063</v>
      </c>
      <c r="Z116" s="381">
        <v>0</v>
      </c>
      <c r="AA116" s="381">
        <v>0</v>
      </c>
      <c r="AB116" s="381">
        <v>0</v>
      </c>
      <c r="AC116" s="381">
        <v>39400</v>
      </c>
      <c r="AD116" s="381">
        <v>6000</v>
      </c>
      <c r="AE116" s="381">
        <v>0</v>
      </c>
      <c r="AF116" s="381">
        <v>0</v>
      </c>
      <c r="AG116" s="381">
        <v>0</v>
      </c>
      <c r="AH116" s="381">
        <v>0</v>
      </c>
      <c r="AI116" s="381">
        <v>0</v>
      </c>
      <c r="AJ116" s="381">
        <v>0</v>
      </c>
      <c r="AK116" s="381">
        <v>0</v>
      </c>
      <c r="AL116" s="381">
        <v>2466907</v>
      </c>
      <c r="AM116" s="381"/>
      <c r="AN116" s="381">
        <v>1147254</v>
      </c>
      <c r="AO116" s="381">
        <v>32500</v>
      </c>
      <c r="AP116" s="381">
        <v>570798</v>
      </c>
      <c r="AQ116" s="381">
        <v>90443</v>
      </c>
      <c r="AR116" s="381">
        <v>123082</v>
      </c>
      <c r="AS116" s="381">
        <v>0</v>
      </c>
      <c r="AT116" s="381">
        <v>86070</v>
      </c>
      <c r="AU116" s="381">
        <v>1300</v>
      </c>
      <c r="AV116" s="381">
        <v>7500</v>
      </c>
      <c r="AW116" s="381">
        <v>7579</v>
      </c>
      <c r="AX116" s="381">
        <v>0</v>
      </c>
      <c r="AY116" s="381">
        <v>31269</v>
      </c>
      <c r="AZ116" s="381">
        <v>8362</v>
      </c>
      <c r="BA116" s="381">
        <v>6500</v>
      </c>
      <c r="BB116" s="381">
        <v>5831</v>
      </c>
      <c r="BC116" s="381">
        <v>42000</v>
      </c>
      <c r="BD116" s="381">
        <v>8299</v>
      </c>
      <c r="BE116" s="381">
        <v>6500</v>
      </c>
      <c r="BF116" s="381">
        <v>183113</v>
      </c>
      <c r="BG116" s="381">
        <v>5500</v>
      </c>
      <c r="BH116" s="381">
        <v>0</v>
      </c>
      <c r="BI116" s="381">
        <v>3000</v>
      </c>
      <c r="BJ116" s="381">
        <v>7000</v>
      </c>
      <c r="BK116" s="381">
        <v>0</v>
      </c>
      <c r="BL116" s="381">
        <v>0</v>
      </c>
      <c r="BM116" s="381">
        <v>3780</v>
      </c>
      <c r="BN116" s="381">
        <v>0</v>
      </c>
      <c r="BO116" s="381">
        <v>12300</v>
      </c>
      <c r="BP116" s="381">
        <v>22672</v>
      </c>
      <c r="BQ116" s="381">
        <v>0</v>
      </c>
      <c r="BR116" s="381">
        <v>85377</v>
      </c>
      <c r="BS116" s="381">
        <v>4800</v>
      </c>
      <c r="BT116" s="381">
        <v>11000</v>
      </c>
      <c r="BU116" s="381">
        <v>30735</v>
      </c>
      <c r="BV116" s="381">
        <v>0</v>
      </c>
      <c r="BW116" s="381">
        <v>0</v>
      </c>
      <c r="BX116" s="381">
        <v>10000</v>
      </c>
      <c r="BY116" s="382">
        <v>0</v>
      </c>
      <c r="BZ116" s="382">
        <v>0</v>
      </c>
      <c r="CA116" s="382">
        <v>2554564</v>
      </c>
      <c r="CB116" s="381"/>
      <c r="CC116" s="381">
        <v>0</v>
      </c>
      <c r="CD116" s="381">
        <v>0</v>
      </c>
      <c r="CE116" s="381">
        <v>0</v>
      </c>
      <c r="CF116" s="381">
        <v>0</v>
      </c>
      <c r="CG116" s="381"/>
      <c r="CH116" s="381">
        <v>0</v>
      </c>
      <c r="CI116" s="381">
        <v>0</v>
      </c>
      <c r="CJ116" s="381">
        <v>0</v>
      </c>
      <c r="CK116" s="381">
        <v>0</v>
      </c>
      <c r="CL116" s="381">
        <v>0</v>
      </c>
      <c r="CM116" s="381">
        <v>0</v>
      </c>
      <c r="CN116" s="381">
        <v>0</v>
      </c>
      <c r="CO116" s="381">
        <v>0</v>
      </c>
      <c r="CP116" s="381">
        <v>0</v>
      </c>
      <c r="CQ116" s="381"/>
      <c r="CR116" s="381">
        <v>311823.94999999832</v>
      </c>
      <c r="CS116" s="381">
        <v>0</v>
      </c>
      <c r="CT116" s="381">
        <v>0</v>
      </c>
      <c r="CU116" s="381">
        <v>1.1368683772161603E-13</v>
      </c>
      <c r="CV116" s="381">
        <v>0</v>
      </c>
      <c r="CW116" s="381">
        <v>0</v>
      </c>
      <c r="CX116" s="381">
        <v>311823.94999999832</v>
      </c>
      <c r="CY116" s="381"/>
      <c r="CZ116" s="117"/>
      <c r="DA116" s="384"/>
      <c r="DB116" s="117"/>
      <c r="DC116" s="384"/>
      <c r="DD116" s="385"/>
      <c r="DE116" s="117"/>
      <c r="DF116" s="117"/>
      <c r="DG116" s="381"/>
      <c r="DH116" s="386"/>
      <c r="DI116" s="387"/>
      <c r="DJ116" s="381"/>
      <c r="DK116" s="381">
        <v>399480.94999999832</v>
      </c>
      <c r="DL116" s="381">
        <v>1.1368683772161603E-13</v>
      </c>
      <c r="DM116" s="381">
        <v>399480.94999999832</v>
      </c>
      <c r="DN116" s="381">
        <v>311823.94999999832</v>
      </c>
      <c r="DO116" s="381">
        <v>1.1368683772161603E-13</v>
      </c>
      <c r="DP116" s="381">
        <v>311823.94999999832</v>
      </c>
      <c r="DQ116" s="383"/>
      <c r="DR116" s="381"/>
      <c r="DS116" s="388"/>
      <c r="DT116" s="388"/>
    </row>
    <row r="117" spans="1:124" ht="15">
      <c r="A117" s="380">
        <v>720</v>
      </c>
      <c r="B117" s="391">
        <v>9163337</v>
      </c>
      <c r="C117" s="68">
        <v>3337</v>
      </c>
      <c r="D117" s="120"/>
      <c r="E117" s="120" t="s">
        <v>233</v>
      </c>
      <c r="F117" s="120"/>
      <c r="G117" s="120"/>
      <c r="H117" s="68"/>
      <c r="I117" s="381">
        <v>-97492.349999999933</v>
      </c>
      <c r="J117" s="381">
        <v>3056.0600000000004</v>
      </c>
      <c r="K117" s="381">
        <v>0</v>
      </c>
      <c r="L117" s="381">
        <v>0</v>
      </c>
      <c r="M117" s="381">
        <v>0</v>
      </c>
      <c r="N117" s="381">
        <v>-2713.8699999999953</v>
      </c>
      <c r="O117" s="381">
        <v>-97150.159999999931</v>
      </c>
      <c r="P117" s="389"/>
      <c r="Q117" s="381">
        <v>350381</v>
      </c>
      <c r="R117" s="381">
        <v>0</v>
      </c>
      <c r="S117" s="381">
        <v>635</v>
      </c>
      <c r="T117" s="381">
        <v>0</v>
      </c>
      <c r="U117" s="381">
        <v>8490</v>
      </c>
      <c r="V117" s="381">
        <v>23608</v>
      </c>
      <c r="W117" s="381">
        <v>0</v>
      </c>
      <c r="X117" s="381">
        <v>0</v>
      </c>
      <c r="Y117" s="381">
        <v>6000</v>
      </c>
      <c r="Z117" s="381">
        <v>0</v>
      </c>
      <c r="AA117" s="381">
        <v>13500</v>
      </c>
      <c r="AB117" s="381">
        <v>0</v>
      </c>
      <c r="AC117" s="381">
        <v>0</v>
      </c>
      <c r="AD117" s="381">
        <v>0</v>
      </c>
      <c r="AE117" s="381">
        <v>0</v>
      </c>
      <c r="AF117" s="381">
        <v>18000</v>
      </c>
      <c r="AG117" s="381">
        <v>0</v>
      </c>
      <c r="AH117" s="381">
        <v>0</v>
      </c>
      <c r="AI117" s="381">
        <v>0</v>
      </c>
      <c r="AJ117" s="381">
        <v>0</v>
      </c>
      <c r="AK117" s="381">
        <v>0</v>
      </c>
      <c r="AL117" s="381">
        <v>420614</v>
      </c>
      <c r="AM117" s="389"/>
      <c r="AN117" s="381">
        <v>245226</v>
      </c>
      <c r="AO117" s="381">
        <v>800</v>
      </c>
      <c r="AP117" s="381">
        <v>40812</v>
      </c>
      <c r="AQ117" s="381">
        <v>0</v>
      </c>
      <c r="AR117" s="381">
        <v>39954</v>
      </c>
      <c r="AS117" s="381">
        <v>0</v>
      </c>
      <c r="AT117" s="381">
        <v>18669</v>
      </c>
      <c r="AU117" s="381">
        <v>250</v>
      </c>
      <c r="AV117" s="381">
        <v>1200</v>
      </c>
      <c r="AW117" s="381">
        <v>9844</v>
      </c>
      <c r="AX117" s="381">
        <v>770</v>
      </c>
      <c r="AY117" s="381">
        <v>6826</v>
      </c>
      <c r="AZ117" s="381">
        <v>4045</v>
      </c>
      <c r="BA117" s="381">
        <v>10500</v>
      </c>
      <c r="BB117" s="381">
        <v>1300</v>
      </c>
      <c r="BC117" s="381">
        <v>17665</v>
      </c>
      <c r="BD117" s="381">
        <v>1529</v>
      </c>
      <c r="BE117" s="381">
        <v>1770</v>
      </c>
      <c r="BF117" s="381">
        <v>13182</v>
      </c>
      <c r="BG117" s="381">
        <v>2400</v>
      </c>
      <c r="BH117" s="381">
        <v>0</v>
      </c>
      <c r="BI117" s="381">
        <v>2100</v>
      </c>
      <c r="BJ117" s="381">
        <v>0</v>
      </c>
      <c r="BK117" s="381">
        <v>0</v>
      </c>
      <c r="BL117" s="381">
        <v>0</v>
      </c>
      <c r="BM117" s="381">
        <v>3290</v>
      </c>
      <c r="BN117" s="381">
        <v>0</v>
      </c>
      <c r="BO117" s="381">
        <v>4800</v>
      </c>
      <c r="BP117" s="381">
        <v>1566</v>
      </c>
      <c r="BQ117" s="381">
        <v>0</v>
      </c>
      <c r="BR117" s="381">
        <v>10766</v>
      </c>
      <c r="BS117" s="381">
        <v>3500</v>
      </c>
      <c r="BT117" s="381">
        <v>600</v>
      </c>
      <c r="BU117" s="381">
        <v>10726</v>
      </c>
      <c r="BV117" s="381">
        <v>0</v>
      </c>
      <c r="BW117" s="381">
        <v>0</v>
      </c>
      <c r="BX117" s="381">
        <v>0</v>
      </c>
      <c r="BY117" s="382">
        <v>17250</v>
      </c>
      <c r="BZ117" s="382">
        <v>0</v>
      </c>
      <c r="CA117" s="382">
        <v>471340</v>
      </c>
      <c r="CB117" s="389"/>
      <c r="CC117" s="381">
        <v>0</v>
      </c>
      <c r="CD117" s="381">
        <v>0</v>
      </c>
      <c r="CE117" s="381">
        <v>0</v>
      </c>
      <c r="CF117" s="381">
        <v>0</v>
      </c>
      <c r="CG117" s="389"/>
      <c r="CH117" s="381">
        <v>0</v>
      </c>
      <c r="CI117" s="381">
        <v>0</v>
      </c>
      <c r="CJ117" s="381">
        <v>0</v>
      </c>
      <c r="CK117" s="381">
        <v>0</v>
      </c>
      <c r="CL117" s="381">
        <v>0</v>
      </c>
      <c r="CM117" s="381">
        <v>0</v>
      </c>
      <c r="CN117" s="381">
        <v>0</v>
      </c>
      <c r="CO117" s="381">
        <v>0</v>
      </c>
      <c r="CP117" s="381">
        <v>0</v>
      </c>
      <c r="CQ117" s="390"/>
      <c r="CR117" s="381">
        <v>-145912.28999999992</v>
      </c>
      <c r="CS117" s="381">
        <v>0</v>
      </c>
      <c r="CT117" s="381">
        <v>0</v>
      </c>
      <c r="CU117" s="381">
        <v>0</v>
      </c>
      <c r="CV117" s="381">
        <v>0</v>
      </c>
      <c r="CW117" s="381">
        <v>-1963.8699999999953</v>
      </c>
      <c r="CX117" s="381">
        <v>-147876.15999999992</v>
      </c>
      <c r="CY117" s="381"/>
      <c r="CZ117" s="117"/>
      <c r="DA117" s="384"/>
      <c r="DB117" s="117"/>
      <c r="DC117" s="384"/>
      <c r="DD117" s="385"/>
      <c r="DE117" s="117"/>
      <c r="DF117" s="117"/>
      <c r="DG117" s="381"/>
      <c r="DH117" s="386"/>
      <c r="DI117" s="387"/>
      <c r="DJ117" s="381"/>
      <c r="DK117" s="381">
        <v>-97150.159999999931</v>
      </c>
      <c r="DL117" s="381">
        <v>0</v>
      </c>
      <c r="DM117" s="381">
        <v>-97150.159999999931</v>
      </c>
      <c r="DN117" s="381">
        <v>-147876.15999999992</v>
      </c>
      <c r="DO117" s="381">
        <v>0</v>
      </c>
      <c r="DP117" s="381">
        <v>-147876.15999999992</v>
      </c>
      <c r="DQ117" s="383"/>
      <c r="DR117" s="381"/>
      <c r="DS117" s="388"/>
      <c r="DT117" s="388"/>
    </row>
    <row r="118" spans="1:124" ht="14.25">
      <c r="A118" s="380">
        <v>620</v>
      </c>
      <c r="B118" s="391">
        <v>9162106</v>
      </c>
      <c r="C118" s="68">
        <v>2106</v>
      </c>
      <c r="D118" s="120"/>
      <c r="E118" s="120" t="s">
        <v>249</v>
      </c>
      <c r="F118" s="120"/>
      <c r="G118" s="120"/>
      <c r="H118" s="68"/>
      <c r="I118" s="381">
        <v>-18991.819999999781</v>
      </c>
      <c r="J118" s="381">
        <v>12267.400000000001</v>
      </c>
      <c r="K118" s="381">
        <v>0</v>
      </c>
      <c r="L118" s="381">
        <v>14922.26</v>
      </c>
      <c r="M118" s="381">
        <v>0</v>
      </c>
      <c r="N118" s="381">
        <v>0</v>
      </c>
      <c r="O118" s="381">
        <v>8197.8400000002202</v>
      </c>
      <c r="P118" s="381"/>
      <c r="Q118" s="381">
        <v>659541</v>
      </c>
      <c r="R118" s="381">
        <v>0</v>
      </c>
      <c r="S118" s="381">
        <v>70053</v>
      </c>
      <c r="T118" s="381">
        <v>0</v>
      </c>
      <c r="U118" s="381">
        <v>26152</v>
      </c>
      <c r="V118" s="381">
        <v>51953</v>
      </c>
      <c r="W118" s="381">
        <v>0</v>
      </c>
      <c r="X118" s="381">
        <v>0</v>
      </c>
      <c r="Y118" s="381">
        <v>500</v>
      </c>
      <c r="Z118" s="381">
        <v>0</v>
      </c>
      <c r="AA118" s="381">
        <v>6000</v>
      </c>
      <c r="AB118" s="381">
        <v>0</v>
      </c>
      <c r="AC118" s="381">
        <v>0</v>
      </c>
      <c r="AD118" s="381">
        <v>0</v>
      </c>
      <c r="AE118" s="381">
        <v>0</v>
      </c>
      <c r="AF118" s="381">
        <v>0</v>
      </c>
      <c r="AG118" s="381">
        <v>0</v>
      </c>
      <c r="AH118" s="381">
        <v>0</v>
      </c>
      <c r="AI118" s="381">
        <v>0</v>
      </c>
      <c r="AJ118" s="381">
        <v>0</v>
      </c>
      <c r="AK118" s="381">
        <v>0</v>
      </c>
      <c r="AL118" s="381">
        <v>814199</v>
      </c>
      <c r="AM118" s="381"/>
      <c r="AN118" s="381">
        <v>485269</v>
      </c>
      <c r="AO118" s="381">
        <v>10000</v>
      </c>
      <c r="AP118" s="381">
        <v>215359</v>
      </c>
      <c r="AQ118" s="381">
        <v>765</v>
      </c>
      <c r="AR118" s="381">
        <v>55726</v>
      </c>
      <c r="AS118" s="381">
        <v>0</v>
      </c>
      <c r="AT118" s="381">
        <v>17601</v>
      </c>
      <c r="AU118" s="381">
        <v>3714</v>
      </c>
      <c r="AV118" s="381">
        <v>3150</v>
      </c>
      <c r="AW118" s="381">
        <v>15302</v>
      </c>
      <c r="AX118" s="381">
        <v>0</v>
      </c>
      <c r="AY118" s="381">
        <v>15339</v>
      </c>
      <c r="AZ118" s="381">
        <v>1362</v>
      </c>
      <c r="BA118" s="381">
        <v>25584</v>
      </c>
      <c r="BB118" s="381">
        <v>4000</v>
      </c>
      <c r="BC118" s="381">
        <v>18000</v>
      </c>
      <c r="BD118" s="381">
        <v>21332</v>
      </c>
      <c r="BE118" s="381">
        <v>1250</v>
      </c>
      <c r="BF118" s="381">
        <v>28739</v>
      </c>
      <c r="BG118" s="381">
        <v>1750</v>
      </c>
      <c r="BH118" s="381">
        <v>500</v>
      </c>
      <c r="BI118" s="381">
        <v>6000</v>
      </c>
      <c r="BJ118" s="381">
        <v>7000</v>
      </c>
      <c r="BK118" s="381">
        <v>2500</v>
      </c>
      <c r="BL118" s="381">
        <v>2500</v>
      </c>
      <c r="BM118" s="381">
        <v>2500</v>
      </c>
      <c r="BN118" s="381">
        <v>0</v>
      </c>
      <c r="BO118" s="381">
        <v>8500</v>
      </c>
      <c r="BP118" s="381">
        <v>5344</v>
      </c>
      <c r="BQ118" s="381">
        <v>0</v>
      </c>
      <c r="BR118" s="381">
        <v>44614</v>
      </c>
      <c r="BS118" s="381">
        <v>5000</v>
      </c>
      <c r="BT118" s="381">
        <v>7326</v>
      </c>
      <c r="BU118" s="381">
        <v>14982</v>
      </c>
      <c r="BV118" s="381">
        <v>0</v>
      </c>
      <c r="BW118" s="381">
        <v>0</v>
      </c>
      <c r="BX118" s="381">
        <v>0</v>
      </c>
      <c r="BY118" s="382">
        <v>0</v>
      </c>
      <c r="BZ118" s="382">
        <v>0</v>
      </c>
      <c r="CA118" s="382">
        <v>1031008</v>
      </c>
      <c r="CB118" s="381"/>
      <c r="CC118" s="381">
        <v>5283</v>
      </c>
      <c r="CD118" s="381">
        <v>0</v>
      </c>
      <c r="CE118" s="381">
        <v>0</v>
      </c>
      <c r="CF118" s="381">
        <v>5283</v>
      </c>
      <c r="CG118" s="381"/>
      <c r="CH118" s="381">
        <v>0</v>
      </c>
      <c r="CI118" s="381">
        <v>20205</v>
      </c>
      <c r="CJ118" s="381">
        <v>0</v>
      </c>
      <c r="CK118" s="381">
        <v>0</v>
      </c>
      <c r="CL118" s="381">
        <v>0</v>
      </c>
      <c r="CM118" s="381">
        <v>0</v>
      </c>
      <c r="CN118" s="381">
        <v>0</v>
      </c>
      <c r="CO118" s="381">
        <v>0</v>
      </c>
      <c r="CP118" s="381">
        <v>20205</v>
      </c>
      <c r="CQ118" s="381"/>
      <c r="CR118" s="381">
        <v>-223533.41999999978</v>
      </c>
      <c r="CS118" s="381">
        <v>0</v>
      </c>
      <c r="CT118" s="381">
        <v>0</v>
      </c>
      <c r="CU118" s="381">
        <v>0.26000000000021828</v>
      </c>
      <c r="CV118" s="381">
        <v>0</v>
      </c>
      <c r="CW118" s="381">
        <v>0</v>
      </c>
      <c r="CX118" s="381">
        <v>-223533.15999999977</v>
      </c>
      <c r="CY118" s="381"/>
      <c r="CZ118" s="117"/>
      <c r="DA118" s="384"/>
      <c r="DB118" s="117"/>
      <c r="DC118" s="384"/>
      <c r="DD118" s="385"/>
      <c r="DE118" s="117"/>
      <c r="DF118" s="117"/>
      <c r="DG118" s="381"/>
      <c r="DH118" s="386"/>
      <c r="DI118" s="387"/>
      <c r="DJ118" s="381"/>
      <c r="DK118" s="381">
        <v>-6724.41999999978</v>
      </c>
      <c r="DL118" s="381">
        <v>14922.26</v>
      </c>
      <c r="DM118" s="381">
        <v>8197.8400000002202</v>
      </c>
      <c r="DN118" s="381">
        <v>-223533.41999999978</v>
      </c>
      <c r="DO118" s="381">
        <v>0.26000000000021828</v>
      </c>
      <c r="DP118" s="381">
        <v>-223533.15999999977</v>
      </c>
      <c r="DQ118" s="383"/>
      <c r="DR118" s="381"/>
      <c r="DS118" s="388"/>
      <c r="DT118" s="388"/>
    </row>
    <row r="119" spans="1:124" ht="14.25">
      <c r="A119" s="380">
        <v>937</v>
      </c>
      <c r="B119" s="391">
        <v>9162028</v>
      </c>
      <c r="C119" s="68">
        <v>2028</v>
      </c>
      <c r="D119" s="120"/>
      <c r="E119" s="120" t="s">
        <v>224</v>
      </c>
      <c r="F119" s="120"/>
      <c r="G119" s="120"/>
      <c r="H119" s="68"/>
      <c r="I119" s="381">
        <v>53385.650000000023</v>
      </c>
      <c r="J119" s="381">
        <v>2834.5299999999997</v>
      </c>
      <c r="K119" s="381">
        <v>0</v>
      </c>
      <c r="L119" s="381">
        <v>2988.7700000000004</v>
      </c>
      <c r="M119" s="381">
        <v>0</v>
      </c>
      <c r="N119" s="381">
        <v>16018.639999999956</v>
      </c>
      <c r="O119" s="381">
        <v>75227.589999999982</v>
      </c>
      <c r="P119" s="381"/>
      <c r="Q119" s="381">
        <v>1137906</v>
      </c>
      <c r="R119" s="381">
        <v>0</v>
      </c>
      <c r="S119" s="381">
        <v>73054</v>
      </c>
      <c r="T119" s="381">
        <v>0</v>
      </c>
      <c r="U119" s="381">
        <v>51545</v>
      </c>
      <c r="V119" s="381">
        <v>36428</v>
      </c>
      <c r="W119" s="381">
        <v>0</v>
      </c>
      <c r="X119" s="381">
        <v>1000</v>
      </c>
      <c r="Y119" s="381">
        <v>55000</v>
      </c>
      <c r="Z119" s="381">
        <v>0</v>
      </c>
      <c r="AA119" s="381">
        <v>8000</v>
      </c>
      <c r="AB119" s="381">
        <v>0</v>
      </c>
      <c r="AC119" s="381">
        <v>24790</v>
      </c>
      <c r="AD119" s="381">
        <v>1000</v>
      </c>
      <c r="AE119" s="381">
        <v>0</v>
      </c>
      <c r="AF119" s="381">
        <v>120000</v>
      </c>
      <c r="AG119" s="381">
        <v>10000</v>
      </c>
      <c r="AH119" s="381">
        <v>0</v>
      </c>
      <c r="AI119" s="381">
        <v>0</v>
      </c>
      <c r="AJ119" s="381">
        <v>0</v>
      </c>
      <c r="AK119" s="381">
        <v>0</v>
      </c>
      <c r="AL119" s="381">
        <v>1518723</v>
      </c>
      <c r="AM119" s="381"/>
      <c r="AN119" s="381">
        <v>702638</v>
      </c>
      <c r="AO119" s="381">
        <v>2000</v>
      </c>
      <c r="AP119" s="381">
        <v>325204</v>
      </c>
      <c r="AQ119" s="381">
        <v>42207</v>
      </c>
      <c r="AR119" s="381">
        <v>55465</v>
      </c>
      <c r="AS119" s="381">
        <v>0</v>
      </c>
      <c r="AT119" s="381">
        <v>66166</v>
      </c>
      <c r="AU119" s="381">
        <v>6000</v>
      </c>
      <c r="AV119" s="381">
        <v>1955</v>
      </c>
      <c r="AW119" s="381">
        <v>0</v>
      </c>
      <c r="AX119" s="381">
        <v>12136</v>
      </c>
      <c r="AY119" s="381">
        <v>7339</v>
      </c>
      <c r="AZ119" s="381">
        <v>2862</v>
      </c>
      <c r="BA119" s="381">
        <v>2000</v>
      </c>
      <c r="BB119" s="381">
        <v>6000</v>
      </c>
      <c r="BC119" s="381">
        <v>17500</v>
      </c>
      <c r="BD119" s="381">
        <v>20334</v>
      </c>
      <c r="BE119" s="381">
        <v>4100</v>
      </c>
      <c r="BF119" s="381">
        <v>77575</v>
      </c>
      <c r="BG119" s="381">
        <v>2000</v>
      </c>
      <c r="BH119" s="381">
        <v>0</v>
      </c>
      <c r="BI119" s="381">
        <v>2250</v>
      </c>
      <c r="BJ119" s="381">
        <v>5000</v>
      </c>
      <c r="BK119" s="381">
        <v>0</v>
      </c>
      <c r="BL119" s="381">
        <v>0</v>
      </c>
      <c r="BM119" s="381">
        <v>8649</v>
      </c>
      <c r="BN119" s="381">
        <v>0</v>
      </c>
      <c r="BO119" s="381">
        <v>3322</v>
      </c>
      <c r="BP119" s="381">
        <v>11918</v>
      </c>
      <c r="BQ119" s="381">
        <v>0</v>
      </c>
      <c r="BR119" s="381">
        <v>34910</v>
      </c>
      <c r="BS119" s="381">
        <v>2000</v>
      </c>
      <c r="BT119" s="381">
        <v>0</v>
      </c>
      <c r="BU119" s="381">
        <v>22173</v>
      </c>
      <c r="BV119" s="381">
        <v>0</v>
      </c>
      <c r="BW119" s="381">
        <v>0</v>
      </c>
      <c r="BX119" s="381">
        <v>0</v>
      </c>
      <c r="BY119" s="382">
        <v>119252</v>
      </c>
      <c r="BZ119" s="382">
        <v>8176</v>
      </c>
      <c r="CA119" s="382">
        <v>1571131</v>
      </c>
      <c r="CB119" s="381"/>
      <c r="CC119" s="381">
        <v>6362</v>
      </c>
      <c r="CD119" s="381">
        <v>0</v>
      </c>
      <c r="CE119" s="381">
        <v>0</v>
      </c>
      <c r="CF119" s="381">
        <v>6362</v>
      </c>
      <c r="CG119" s="381"/>
      <c r="CH119" s="381">
        <v>0</v>
      </c>
      <c r="CI119" s="381">
        <v>9351</v>
      </c>
      <c r="CJ119" s="381">
        <v>0</v>
      </c>
      <c r="CK119" s="381">
        <v>0</v>
      </c>
      <c r="CL119" s="381">
        <v>0</v>
      </c>
      <c r="CM119" s="381">
        <v>0</v>
      </c>
      <c r="CN119" s="381">
        <v>0</v>
      </c>
      <c r="CO119" s="381">
        <v>0</v>
      </c>
      <c r="CP119" s="381">
        <v>9351</v>
      </c>
      <c r="CQ119" s="381"/>
      <c r="CR119" s="381">
        <v>1240.1800000000221</v>
      </c>
      <c r="CS119" s="381">
        <v>0</v>
      </c>
      <c r="CT119" s="381">
        <v>0</v>
      </c>
      <c r="CU119" s="381">
        <v>-0.22999999999956344</v>
      </c>
      <c r="CV119" s="381">
        <v>0</v>
      </c>
      <c r="CW119" s="381">
        <v>18590.639999999956</v>
      </c>
      <c r="CX119" s="381">
        <v>19830.589999999978</v>
      </c>
      <c r="CY119" s="381"/>
      <c r="CZ119" s="117"/>
      <c r="DA119" s="384"/>
      <c r="DB119" s="117"/>
      <c r="DC119" s="384"/>
      <c r="DD119" s="385"/>
      <c r="DE119" s="117"/>
      <c r="DF119" s="117"/>
      <c r="DG119" s="381"/>
      <c r="DH119" s="386"/>
      <c r="DI119" s="387"/>
      <c r="DJ119" s="381"/>
      <c r="DK119" s="381">
        <v>72238.819999999978</v>
      </c>
      <c r="DL119" s="381">
        <v>2988.7700000000004</v>
      </c>
      <c r="DM119" s="381">
        <v>75227.589999999982</v>
      </c>
      <c r="DN119" s="381">
        <v>19830.819999999978</v>
      </c>
      <c r="DO119" s="381">
        <v>-0.22999999999956344</v>
      </c>
      <c r="DP119" s="381">
        <v>19830.589999999978</v>
      </c>
      <c r="DQ119" s="383"/>
      <c r="DR119" s="381"/>
      <c r="DS119" s="388"/>
      <c r="DT119" s="388"/>
    </row>
    <row r="120" spans="1:124" ht="14.25">
      <c r="A120" s="380">
        <v>683</v>
      </c>
      <c r="B120" s="391">
        <v>9162145</v>
      </c>
      <c r="C120" s="68">
        <v>2145</v>
      </c>
      <c r="D120" s="120"/>
      <c r="E120" s="120" t="s">
        <v>244</v>
      </c>
      <c r="F120" s="120"/>
      <c r="G120" s="120"/>
      <c r="H120" s="68"/>
      <c r="I120" s="381">
        <v>220790.55000000005</v>
      </c>
      <c r="J120" s="381">
        <v>17775.650000000001</v>
      </c>
      <c r="K120" s="381">
        <v>0</v>
      </c>
      <c r="L120" s="381">
        <v>25763.059999999998</v>
      </c>
      <c r="M120" s="381">
        <v>0</v>
      </c>
      <c r="N120" s="381">
        <v>0</v>
      </c>
      <c r="O120" s="381">
        <v>264329.26</v>
      </c>
      <c r="P120" s="381"/>
      <c r="Q120" s="381">
        <v>807088</v>
      </c>
      <c r="R120" s="381">
        <v>0</v>
      </c>
      <c r="S120" s="381">
        <v>64871</v>
      </c>
      <c r="T120" s="381">
        <v>0</v>
      </c>
      <c r="U120" s="381">
        <v>46496</v>
      </c>
      <c r="V120" s="381">
        <v>61024</v>
      </c>
      <c r="W120" s="381">
        <v>0</v>
      </c>
      <c r="X120" s="381">
        <v>0</v>
      </c>
      <c r="Y120" s="381">
        <v>450</v>
      </c>
      <c r="Z120" s="381">
        <v>0</v>
      </c>
      <c r="AA120" s="381">
        <v>0</v>
      </c>
      <c r="AB120" s="381">
        <v>0</v>
      </c>
      <c r="AC120" s="381">
        <v>0</v>
      </c>
      <c r="AD120" s="381">
        <v>0</v>
      </c>
      <c r="AE120" s="381">
        <v>0</v>
      </c>
      <c r="AF120" s="381">
        <v>0</v>
      </c>
      <c r="AG120" s="381">
        <v>0</v>
      </c>
      <c r="AH120" s="381">
        <v>0</v>
      </c>
      <c r="AI120" s="381">
        <v>0</v>
      </c>
      <c r="AJ120" s="381">
        <v>0</v>
      </c>
      <c r="AK120" s="381">
        <v>0</v>
      </c>
      <c r="AL120" s="381">
        <v>979929</v>
      </c>
      <c r="AM120" s="381"/>
      <c r="AN120" s="381">
        <v>499461</v>
      </c>
      <c r="AO120" s="381">
        <v>0</v>
      </c>
      <c r="AP120" s="381">
        <v>236612</v>
      </c>
      <c r="AQ120" s="381">
        <v>15564</v>
      </c>
      <c r="AR120" s="381">
        <v>38381</v>
      </c>
      <c r="AS120" s="381">
        <v>0</v>
      </c>
      <c r="AT120" s="381">
        <v>15760</v>
      </c>
      <c r="AU120" s="381">
        <v>4270</v>
      </c>
      <c r="AV120" s="381">
        <v>2515</v>
      </c>
      <c r="AW120" s="381">
        <v>400</v>
      </c>
      <c r="AX120" s="381">
        <v>0</v>
      </c>
      <c r="AY120" s="381">
        <v>29969</v>
      </c>
      <c r="AZ120" s="381">
        <v>4082</v>
      </c>
      <c r="BA120" s="381">
        <v>18097</v>
      </c>
      <c r="BB120" s="381">
        <v>3808</v>
      </c>
      <c r="BC120" s="381">
        <v>14400</v>
      </c>
      <c r="BD120" s="381">
        <v>15095</v>
      </c>
      <c r="BE120" s="381">
        <v>4030</v>
      </c>
      <c r="BF120" s="381">
        <v>51681</v>
      </c>
      <c r="BG120" s="381">
        <v>4675</v>
      </c>
      <c r="BH120" s="381">
        <v>0</v>
      </c>
      <c r="BI120" s="381">
        <v>500</v>
      </c>
      <c r="BJ120" s="381">
        <v>16910</v>
      </c>
      <c r="BK120" s="381">
        <v>0</v>
      </c>
      <c r="BL120" s="381">
        <v>0</v>
      </c>
      <c r="BM120" s="381">
        <v>3126</v>
      </c>
      <c r="BN120" s="381">
        <v>0</v>
      </c>
      <c r="BO120" s="381">
        <v>3716</v>
      </c>
      <c r="BP120" s="381">
        <v>2697</v>
      </c>
      <c r="BQ120" s="381">
        <v>0</v>
      </c>
      <c r="BR120" s="381">
        <v>63423</v>
      </c>
      <c r="BS120" s="381">
        <v>8500</v>
      </c>
      <c r="BT120" s="381">
        <v>17020</v>
      </c>
      <c r="BU120" s="381">
        <v>11411</v>
      </c>
      <c r="BV120" s="381">
        <v>0</v>
      </c>
      <c r="BW120" s="381">
        <v>0</v>
      </c>
      <c r="BX120" s="381">
        <v>0</v>
      </c>
      <c r="BY120" s="382">
        <v>0</v>
      </c>
      <c r="BZ120" s="382">
        <v>0</v>
      </c>
      <c r="CA120" s="382">
        <v>1086103</v>
      </c>
      <c r="CB120" s="381"/>
      <c r="CC120" s="381">
        <v>5406</v>
      </c>
      <c r="CD120" s="381">
        <v>0</v>
      </c>
      <c r="CE120" s="381">
        <v>0</v>
      </c>
      <c r="CF120" s="381">
        <v>5406</v>
      </c>
      <c r="CG120" s="381"/>
      <c r="CH120" s="381">
        <v>0</v>
      </c>
      <c r="CI120" s="381">
        <v>31169</v>
      </c>
      <c r="CJ120" s="381">
        <v>0</v>
      </c>
      <c r="CK120" s="381">
        <v>0</v>
      </c>
      <c r="CL120" s="381">
        <v>0</v>
      </c>
      <c r="CM120" s="381">
        <v>0</v>
      </c>
      <c r="CN120" s="381">
        <v>0</v>
      </c>
      <c r="CO120" s="381">
        <v>0</v>
      </c>
      <c r="CP120" s="381">
        <v>31169</v>
      </c>
      <c r="CQ120" s="381"/>
      <c r="CR120" s="381">
        <v>132392.20000000004</v>
      </c>
      <c r="CS120" s="381">
        <v>0</v>
      </c>
      <c r="CT120" s="381">
        <v>0</v>
      </c>
      <c r="CU120" s="381">
        <v>5.9999999997671694E-2</v>
      </c>
      <c r="CV120" s="381">
        <v>0</v>
      </c>
      <c r="CW120" s="381">
        <v>0</v>
      </c>
      <c r="CX120" s="381">
        <v>132392.26000000004</v>
      </c>
      <c r="CY120" s="381"/>
      <c r="CZ120" s="117"/>
      <c r="DA120" s="384"/>
      <c r="DB120" s="117"/>
      <c r="DC120" s="384"/>
      <c r="DD120" s="385"/>
      <c r="DE120" s="117"/>
      <c r="DF120" s="117"/>
      <c r="DG120" s="381"/>
      <c r="DH120" s="386"/>
      <c r="DI120" s="387"/>
      <c r="DJ120" s="381"/>
      <c r="DK120" s="381">
        <v>238566.20000000004</v>
      </c>
      <c r="DL120" s="381">
        <v>25763.059999999998</v>
      </c>
      <c r="DM120" s="381">
        <v>264329.26</v>
      </c>
      <c r="DN120" s="381">
        <v>132392.20000000004</v>
      </c>
      <c r="DO120" s="381">
        <v>5.9999999997671694E-2</v>
      </c>
      <c r="DP120" s="381">
        <v>132392.26000000004</v>
      </c>
      <c r="DQ120" s="383"/>
      <c r="DR120" s="381"/>
      <c r="DS120" s="388"/>
      <c r="DT120" s="388"/>
    </row>
    <row r="121" spans="1:124" ht="14.25">
      <c r="A121" s="380">
        <v>767</v>
      </c>
      <c r="B121" s="391">
        <v>9162065</v>
      </c>
      <c r="C121" s="68">
        <v>2065</v>
      </c>
      <c r="D121" s="120"/>
      <c r="E121" s="120" t="s">
        <v>765</v>
      </c>
      <c r="F121" s="120"/>
      <c r="G121" s="120"/>
      <c r="H121" s="68"/>
      <c r="I121" s="381">
        <v>586601.81000000017</v>
      </c>
      <c r="J121" s="381">
        <v>21497</v>
      </c>
      <c r="K121" s="381">
        <v>0</v>
      </c>
      <c r="L121" s="381">
        <v>17105.620000000003</v>
      </c>
      <c r="M121" s="381">
        <v>0</v>
      </c>
      <c r="N121" s="381">
        <v>0</v>
      </c>
      <c r="O121" s="381">
        <v>625204.43000000017</v>
      </c>
      <c r="P121" s="381"/>
      <c r="Q121" s="381">
        <v>1450970</v>
      </c>
      <c r="R121" s="381">
        <v>0</v>
      </c>
      <c r="S121" s="381">
        <v>87872</v>
      </c>
      <c r="T121" s="381">
        <v>0</v>
      </c>
      <c r="U121" s="381">
        <v>101340</v>
      </c>
      <c r="V121" s="381">
        <v>45755</v>
      </c>
      <c r="W121" s="381">
        <v>1000</v>
      </c>
      <c r="X121" s="381">
        <v>0</v>
      </c>
      <c r="Y121" s="381">
        <v>50800</v>
      </c>
      <c r="Z121" s="381">
        <v>4000</v>
      </c>
      <c r="AA121" s="381">
        <v>0</v>
      </c>
      <c r="AB121" s="381">
        <v>0</v>
      </c>
      <c r="AC121" s="381">
        <v>0</v>
      </c>
      <c r="AD121" s="381">
        <v>0</v>
      </c>
      <c r="AE121" s="381">
        <v>0</v>
      </c>
      <c r="AF121" s="381">
        <v>0</v>
      </c>
      <c r="AG121" s="381">
        <v>0</v>
      </c>
      <c r="AH121" s="381">
        <v>0</v>
      </c>
      <c r="AI121" s="381">
        <v>0</v>
      </c>
      <c r="AJ121" s="381">
        <v>0</v>
      </c>
      <c r="AK121" s="381">
        <v>0</v>
      </c>
      <c r="AL121" s="381">
        <v>1741737</v>
      </c>
      <c r="AM121" s="381"/>
      <c r="AN121" s="381">
        <v>860959</v>
      </c>
      <c r="AO121" s="381">
        <v>0</v>
      </c>
      <c r="AP121" s="381">
        <v>393540</v>
      </c>
      <c r="AQ121" s="381">
        <v>54800</v>
      </c>
      <c r="AR121" s="381">
        <v>99966</v>
      </c>
      <c r="AS121" s="381">
        <v>0</v>
      </c>
      <c r="AT121" s="381">
        <v>70836</v>
      </c>
      <c r="AU121" s="381">
        <v>8000</v>
      </c>
      <c r="AV121" s="381">
        <v>7750</v>
      </c>
      <c r="AW121" s="381">
        <v>3013</v>
      </c>
      <c r="AX121" s="381">
        <v>0</v>
      </c>
      <c r="AY121" s="381">
        <v>17292</v>
      </c>
      <c r="AZ121" s="381">
        <v>3255</v>
      </c>
      <c r="BA121" s="381">
        <v>4000</v>
      </c>
      <c r="BB121" s="381">
        <v>5000</v>
      </c>
      <c r="BC121" s="381">
        <v>37000</v>
      </c>
      <c r="BD121" s="381">
        <v>61255</v>
      </c>
      <c r="BE121" s="381">
        <v>5000</v>
      </c>
      <c r="BF121" s="381">
        <v>87296</v>
      </c>
      <c r="BG121" s="381">
        <v>3150</v>
      </c>
      <c r="BH121" s="381">
        <v>0</v>
      </c>
      <c r="BI121" s="381">
        <v>8500</v>
      </c>
      <c r="BJ121" s="381">
        <v>6000</v>
      </c>
      <c r="BK121" s="381">
        <v>0</v>
      </c>
      <c r="BL121" s="381">
        <v>0</v>
      </c>
      <c r="BM121" s="381">
        <v>6679</v>
      </c>
      <c r="BN121" s="381">
        <v>0</v>
      </c>
      <c r="BO121" s="381">
        <v>8450</v>
      </c>
      <c r="BP121" s="381">
        <v>13495</v>
      </c>
      <c r="BQ121" s="381">
        <v>0</v>
      </c>
      <c r="BR121" s="381">
        <v>70958</v>
      </c>
      <c r="BS121" s="381">
        <v>18000</v>
      </c>
      <c r="BT121" s="381">
        <v>12500</v>
      </c>
      <c r="BU121" s="381">
        <v>22571</v>
      </c>
      <c r="BV121" s="381">
        <v>0</v>
      </c>
      <c r="BW121" s="381">
        <v>0</v>
      </c>
      <c r="BX121" s="381">
        <v>6803</v>
      </c>
      <c r="BY121" s="382">
        <v>0</v>
      </c>
      <c r="BZ121" s="382">
        <v>0</v>
      </c>
      <c r="CA121" s="382">
        <v>1896068</v>
      </c>
      <c r="CB121" s="381"/>
      <c r="CC121" s="381">
        <v>7038</v>
      </c>
      <c r="CD121" s="381">
        <v>0</v>
      </c>
      <c r="CE121" s="381">
        <v>6803</v>
      </c>
      <c r="CF121" s="381">
        <v>13841</v>
      </c>
      <c r="CG121" s="381"/>
      <c r="CH121" s="381">
        <v>0</v>
      </c>
      <c r="CI121" s="381">
        <v>265947</v>
      </c>
      <c r="CJ121" s="381">
        <v>0</v>
      </c>
      <c r="CK121" s="381">
        <v>0</v>
      </c>
      <c r="CL121" s="381">
        <v>0</v>
      </c>
      <c r="CM121" s="381">
        <v>0</v>
      </c>
      <c r="CN121" s="381">
        <v>15000</v>
      </c>
      <c r="CO121" s="381">
        <v>0</v>
      </c>
      <c r="CP121" s="381">
        <v>280947</v>
      </c>
      <c r="CQ121" s="381"/>
      <c r="CR121" s="381">
        <v>453767.81000000017</v>
      </c>
      <c r="CS121" s="381">
        <v>0</v>
      </c>
      <c r="CT121" s="381">
        <v>0</v>
      </c>
      <c r="CU121" s="381">
        <v>-250000.38</v>
      </c>
      <c r="CV121" s="381">
        <v>0</v>
      </c>
      <c r="CW121" s="381">
        <v>0</v>
      </c>
      <c r="CX121" s="381">
        <v>203767.43000000017</v>
      </c>
      <c r="CY121" s="381"/>
      <c r="CZ121" s="117"/>
      <c r="DA121" s="384"/>
      <c r="DB121" s="117"/>
      <c r="DC121" s="384"/>
      <c r="DD121" s="385"/>
      <c r="DE121" s="117"/>
      <c r="DF121" s="117"/>
      <c r="DG121" s="381"/>
      <c r="DH121" s="386"/>
      <c r="DI121" s="387"/>
      <c r="DJ121" s="381"/>
      <c r="DK121" s="381">
        <v>608098.81000000017</v>
      </c>
      <c r="DL121" s="381">
        <v>17105.620000000003</v>
      </c>
      <c r="DM121" s="381">
        <v>625204.43000000017</v>
      </c>
      <c r="DN121" s="381">
        <v>453767.81000000017</v>
      </c>
      <c r="DO121" s="381">
        <v>-250000.38</v>
      </c>
      <c r="DP121" s="381">
        <v>203767.43000000017</v>
      </c>
      <c r="DQ121" s="383"/>
      <c r="DR121" s="381"/>
      <c r="DS121" s="388"/>
      <c r="DT121" s="388"/>
    </row>
    <row r="122" spans="1:124" ht="15">
      <c r="A122" s="380">
        <v>881</v>
      </c>
      <c r="B122" s="391">
        <v>9162165</v>
      </c>
      <c r="C122" s="68">
        <v>2165</v>
      </c>
      <c r="D122" s="120"/>
      <c r="E122" s="120" t="s">
        <v>243</v>
      </c>
      <c r="F122" s="120"/>
      <c r="G122" s="120"/>
      <c r="H122" s="68"/>
      <c r="I122" s="381">
        <v>-90755.099999999977</v>
      </c>
      <c r="J122" s="381">
        <v>0</v>
      </c>
      <c r="K122" s="381">
        <v>0</v>
      </c>
      <c r="L122" s="381">
        <v>14102.76</v>
      </c>
      <c r="M122" s="381">
        <v>0</v>
      </c>
      <c r="N122" s="381">
        <v>69122.94</v>
      </c>
      <c r="O122" s="381">
        <v>-7529.3999999999796</v>
      </c>
      <c r="P122" s="389"/>
      <c r="Q122" s="381">
        <v>998266</v>
      </c>
      <c r="R122" s="381">
        <v>0</v>
      </c>
      <c r="S122" s="381">
        <v>57965</v>
      </c>
      <c r="T122" s="381">
        <v>0</v>
      </c>
      <c r="U122" s="381">
        <v>25655</v>
      </c>
      <c r="V122" s="381">
        <v>96088</v>
      </c>
      <c r="W122" s="381">
        <v>0</v>
      </c>
      <c r="X122" s="381">
        <v>2600</v>
      </c>
      <c r="Y122" s="381">
        <v>43475</v>
      </c>
      <c r="Z122" s="381">
        <v>0</v>
      </c>
      <c r="AA122" s="381">
        <v>0</v>
      </c>
      <c r="AB122" s="381">
        <v>0</v>
      </c>
      <c r="AC122" s="381">
        <v>0</v>
      </c>
      <c r="AD122" s="381">
        <v>1100</v>
      </c>
      <c r="AE122" s="381">
        <v>0</v>
      </c>
      <c r="AF122" s="381">
        <v>180000</v>
      </c>
      <c r="AG122" s="381">
        <v>15000</v>
      </c>
      <c r="AH122" s="381">
        <v>0</v>
      </c>
      <c r="AI122" s="381">
        <v>0</v>
      </c>
      <c r="AJ122" s="381">
        <v>0</v>
      </c>
      <c r="AK122" s="381">
        <v>0</v>
      </c>
      <c r="AL122" s="381">
        <v>1420149</v>
      </c>
      <c r="AM122" s="389"/>
      <c r="AN122" s="381">
        <v>579460</v>
      </c>
      <c r="AO122" s="381">
        <v>7000</v>
      </c>
      <c r="AP122" s="381">
        <v>245390</v>
      </c>
      <c r="AQ122" s="381">
        <v>26869</v>
      </c>
      <c r="AR122" s="381">
        <v>70415</v>
      </c>
      <c r="AS122" s="381">
        <v>0</v>
      </c>
      <c r="AT122" s="381">
        <v>58249</v>
      </c>
      <c r="AU122" s="381">
        <v>5000</v>
      </c>
      <c r="AV122" s="381">
        <v>3000</v>
      </c>
      <c r="AW122" s="381">
        <v>552</v>
      </c>
      <c r="AX122" s="381">
        <v>0</v>
      </c>
      <c r="AY122" s="381">
        <v>13718</v>
      </c>
      <c r="AZ122" s="381">
        <v>1050</v>
      </c>
      <c r="BA122" s="381">
        <v>2500</v>
      </c>
      <c r="BB122" s="381">
        <v>2500</v>
      </c>
      <c r="BC122" s="381">
        <v>13600</v>
      </c>
      <c r="BD122" s="381">
        <v>20709</v>
      </c>
      <c r="BE122" s="381">
        <v>1500</v>
      </c>
      <c r="BF122" s="381">
        <v>15600</v>
      </c>
      <c r="BG122" s="381">
        <v>3000</v>
      </c>
      <c r="BH122" s="381">
        <v>0</v>
      </c>
      <c r="BI122" s="381">
        <v>6000</v>
      </c>
      <c r="BJ122" s="381">
        <v>7950</v>
      </c>
      <c r="BK122" s="381">
        <v>0</v>
      </c>
      <c r="BL122" s="381">
        <v>1500</v>
      </c>
      <c r="BM122" s="381">
        <v>1901</v>
      </c>
      <c r="BN122" s="381">
        <v>0</v>
      </c>
      <c r="BO122" s="381">
        <v>1800</v>
      </c>
      <c r="BP122" s="381">
        <v>9771</v>
      </c>
      <c r="BQ122" s="381">
        <v>0</v>
      </c>
      <c r="BR122" s="381">
        <v>89935</v>
      </c>
      <c r="BS122" s="381">
        <v>6500</v>
      </c>
      <c r="BT122" s="381">
        <v>34809</v>
      </c>
      <c r="BU122" s="381">
        <v>30191</v>
      </c>
      <c r="BV122" s="381">
        <v>0</v>
      </c>
      <c r="BW122" s="381">
        <v>0</v>
      </c>
      <c r="BX122" s="381">
        <v>0</v>
      </c>
      <c r="BY122" s="382">
        <v>171268</v>
      </c>
      <c r="BZ122" s="382">
        <v>25280</v>
      </c>
      <c r="CA122" s="382">
        <v>1457017</v>
      </c>
      <c r="CB122" s="389"/>
      <c r="CC122" s="381">
        <v>6014</v>
      </c>
      <c r="CD122" s="381">
        <v>0</v>
      </c>
      <c r="CE122" s="381">
        <v>0</v>
      </c>
      <c r="CF122" s="381">
        <v>6014</v>
      </c>
      <c r="CG122" s="389"/>
      <c r="CH122" s="381">
        <v>0</v>
      </c>
      <c r="CI122" s="381">
        <v>20117</v>
      </c>
      <c r="CJ122" s="381">
        <v>0</v>
      </c>
      <c r="CK122" s="381">
        <v>0</v>
      </c>
      <c r="CL122" s="381">
        <v>0</v>
      </c>
      <c r="CM122" s="381">
        <v>0</v>
      </c>
      <c r="CN122" s="381">
        <v>0</v>
      </c>
      <c r="CO122" s="381">
        <v>0</v>
      </c>
      <c r="CP122" s="381">
        <v>20117</v>
      </c>
      <c r="CQ122" s="390"/>
      <c r="CR122" s="381">
        <v>-126075.09999999998</v>
      </c>
      <c r="CS122" s="381">
        <v>0</v>
      </c>
      <c r="CT122" s="381">
        <v>0</v>
      </c>
      <c r="CU122" s="381">
        <v>-0.23999999999978172</v>
      </c>
      <c r="CV122" s="381">
        <v>0</v>
      </c>
      <c r="CW122" s="381">
        <v>67574.94</v>
      </c>
      <c r="CX122" s="381">
        <v>-58500.39999999998</v>
      </c>
      <c r="CY122" s="381"/>
      <c r="CZ122" s="117"/>
      <c r="DA122" s="384"/>
      <c r="DB122" s="117"/>
      <c r="DC122" s="384"/>
      <c r="DD122" s="385"/>
      <c r="DE122" s="117"/>
      <c r="DF122" s="117"/>
      <c r="DG122" s="381"/>
      <c r="DH122" s="386"/>
      <c r="DI122" s="387"/>
      <c r="DJ122" s="381"/>
      <c r="DK122" s="381">
        <v>-21632.159999999974</v>
      </c>
      <c r="DL122" s="381">
        <v>14102.76</v>
      </c>
      <c r="DM122" s="381">
        <v>-7529.3999999999742</v>
      </c>
      <c r="DN122" s="381">
        <v>-58500.159999999974</v>
      </c>
      <c r="DO122" s="381">
        <v>-0.23999999999978172</v>
      </c>
      <c r="DP122" s="381">
        <v>-58500.399999999972</v>
      </c>
      <c r="DQ122" s="383"/>
      <c r="DR122" s="381"/>
      <c r="DS122" s="388"/>
      <c r="DT122" s="388"/>
    </row>
    <row r="123" spans="1:124" ht="14.25">
      <c r="A123" s="380">
        <v>900</v>
      </c>
      <c r="B123" s="391">
        <v>9165221</v>
      </c>
      <c r="C123" s="68">
        <v>5221</v>
      </c>
      <c r="D123" s="120"/>
      <c r="E123" s="120" t="s">
        <v>256</v>
      </c>
      <c r="F123" s="120"/>
      <c r="G123" s="120"/>
      <c r="H123" s="68"/>
      <c r="I123" s="381">
        <v>208581.72999999969</v>
      </c>
      <c r="J123" s="381">
        <v>6690.55</v>
      </c>
      <c r="K123" s="381">
        <v>0</v>
      </c>
      <c r="L123" s="381">
        <v>11200</v>
      </c>
      <c r="M123" s="381">
        <v>0</v>
      </c>
      <c r="N123" s="381">
        <v>0</v>
      </c>
      <c r="O123" s="381">
        <v>226472.27999999968</v>
      </c>
      <c r="P123" s="381"/>
      <c r="Q123" s="381">
        <v>2175979</v>
      </c>
      <c r="R123" s="381">
        <v>0</v>
      </c>
      <c r="S123" s="381">
        <v>170456</v>
      </c>
      <c r="T123" s="381">
        <v>0</v>
      </c>
      <c r="U123" s="381">
        <v>209380</v>
      </c>
      <c r="V123" s="381">
        <v>45436</v>
      </c>
      <c r="W123" s="381">
        <v>0</v>
      </c>
      <c r="X123" s="381">
        <v>0</v>
      </c>
      <c r="Y123" s="381">
        <v>10500</v>
      </c>
      <c r="Z123" s="381">
        <v>4000</v>
      </c>
      <c r="AA123" s="381">
        <v>0</v>
      </c>
      <c r="AB123" s="381">
        <v>0</v>
      </c>
      <c r="AC123" s="381">
        <v>0</v>
      </c>
      <c r="AD123" s="381">
        <v>10000</v>
      </c>
      <c r="AE123" s="381">
        <v>0</v>
      </c>
      <c r="AF123" s="381">
        <v>0</v>
      </c>
      <c r="AG123" s="381">
        <v>0</v>
      </c>
      <c r="AH123" s="381">
        <v>0</v>
      </c>
      <c r="AI123" s="381">
        <v>0</v>
      </c>
      <c r="AJ123" s="381">
        <v>0</v>
      </c>
      <c r="AK123" s="381">
        <v>0</v>
      </c>
      <c r="AL123" s="381">
        <v>2625751</v>
      </c>
      <c r="AM123" s="381"/>
      <c r="AN123" s="381">
        <v>1214619</v>
      </c>
      <c r="AO123" s="381">
        <v>6997</v>
      </c>
      <c r="AP123" s="381">
        <v>874808</v>
      </c>
      <c r="AQ123" s="381">
        <v>39492</v>
      </c>
      <c r="AR123" s="381">
        <v>80796</v>
      </c>
      <c r="AS123" s="381">
        <v>0</v>
      </c>
      <c r="AT123" s="381">
        <v>71671</v>
      </c>
      <c r="AU123" s="381">
        <v>400</v>
      </c>
      <c r="AV123" s="381">
        <v>10000</v>
      </c>
      <c r="AW123" s="381">
        <v>1077</v>
      </c>
      <c r="AX123" s="381">
        <v>0</v>
      </c>
      <c r="AY123" s="381">
        <v>29689</v>
      </c>
      <c r="AZ123" s="381">
        <v>8362</v>
      </c>
      <c r="BA123" s="381">
        <v>48059</v>
      </c>
      <c r="BB123" s="381">
        <v>14500</v>
      </c>
      <c r="BC123" s="381">
        <v>68000</v>
      </c>
      <c r="BD123" s="381">
        <v>13432</v>
      </c>
      <c r="BE123" s="381">
        <v>5100</v>
      </c>
      <c r="BF123" s="381">
        <v>113055</v>
      </c>
      <c r="BG123" s="381">
        <v>3500</v>
      </c>
      <c r="BH123" s="381">
        <v>0</v>
      </c>
      <c r="BI123" s="381">
        <v>2500</v>
      </c>
      <c r="BJ123" s="381">
        <v>2000</v>
      </c>
      <c r="BK123" s="381">
        <v>0</v>
      </c>
      <c r="BL123" s="381">
        <v>0</v>
      </c>
      <c r="BM123" s="381">
        <v>3707</v>
      </c>
      <c r="BN123" s="381">
        <v>0</v>
      </c>
      <c r="BO123" s="381">
        <v>12050</v>
      </c>
      <c r="BP123" s="381">
        <v>19055</v>
      </c>
      <c r="BQ123" s="381">
        <v>0</v>
      </c>
      <c r="BR123" s="381">
        <v>100324</v>
      </c>
      <c r="BS123" s="381">
        <v>49364</v>
      </c>
      <c r="BT123" s="381">
        <v>1690</v>
      </c>
      <c r="BU123" s="381">
        <v>130713</v>
      </c>
      <c r="BV123" s="381">
        <v>0</v>
      </c>
      <c r="BW123" s="381">
        <v>0</v>
      </c>
      <c r="BX123" s="381">
        <v>0</v>
      </c>
      <c r="BY123" s="382">
        <v>0</v>
      </c>
      <c r="BZ123" s="382">
        <v>0</v>
      </c>
      <c r="CA123" s="382">
        <v>2924960</v>
      </c>
      <c r="CB123" s="381"/>
      <c r="CC123" s="381">
        <v>8005</v>
      </c>
      <c r="CD123" s="381">
        <v>0</v>
      </c>
      <c r="CE123" s="381">
        <v>0</v>
      </c>
      <c r="CF123" s="381">
        <v>8005</v>
      </c>
      <c r="CG123" s="381"/>
      <c r="CH123" s="381">
        <v>0</v>
      </c>
      <c r="CI123" s="381">
        <v>19205</v>
      </c>
      <c r="CJ123" s="381">
        <v>0</v>
      </c>
      <c r="CK123" s="381">
        <v>0</v>
      </c>
      <c r="CL123" s="381">
        <v>0</v>
      </c>
      <c r="CM123" s="381">
        <v>0</v>
      </c>
      <c r="CN123" s="381">
        <v>0</v>
      </c>
      <c r="CO123" s="381">
        <v>0</v>
      </c>
      <c r="CP123" s="381">
        <v>19205</v>
      </c>
      <c r="CQ123" s="381"/>
      <c r="CR123" s="381">
        <v>-83936.720000000321</v>
      </c>
      <c r="CS123" s="381">
        <v>0</v>
      </c>
      <c r="CT123" s="381">
        <v>0</v>
      </c>
      <c r="CU123" s="381">
        <v>0</v>
      </c>
      <c r="CV123" s="381">
        <v>0</v>
      </c>
      <c r="CW123" s="381">
        <v>0</v>
      </c>
      <c r="CX123" s="381">
        <v>-83936.720000000321</v>
      </c>
      <c r="CY123" s="381"/>
      <c r="CZ123" s="117"/>
      <c r="DA123" s="384"/>
      <c r="DB123" s="117"/>
      <c r="DC123" s="384"/>
      <c r="DD123" s="385"/>
      <c r="DE123" s="117"/>
      <c r="DF123" s="117"/>
      <c r="DG123" s="381"/>
      <c r="DH123" s="386"/>
      <c r="DI123" s="387"/>
      <c r="DJ123" s="381"/>
      <c r="DK123" s="381">
        <v>215272.27999999968</v>
      </c>
      <c r="DL123" s="381">
        <v>11200</v>
      </c>
      <c r="DM123" s="381">
        <v>226472.27999999968</v>
      </c>
      <c r="DN123" s="381">
        <v>-83936.720000000321</v>
      </c>
      <c r="DO123" s="381">
        <v>0</v>
      </c>
      <c r="DP123" s="381">
        <v>-83936.720000000321</v>
      </c>
      <c r="DQ123" s="383"/>
      <c r="DR123" s="381"/>
      <c r="DS123" s="388"/>
      <c r="DT123" s="388"/>
    </row>
    <row r="124" spans="1:124" ht="14.25">
      <c r="A124" s="380">
        <v>610</v>
      </c>
      <c r="B124" s="391">
        <v>9162122</v>
      </c>
      <c r="C124" s="68">
        <v>2122</v>
      </c>
      <c r="D124" s="120"/>
      <c r="E124" s="120" t="s">
        <v>747</v>
      </c>
      <c r="F124" s="120"/>
      <c r="G124" s="120"/>
      <c r="H124" s="68"/>
      <c r="I124" s="381">
        <v>-171680.97999999975</v>
      </c>
      <c r="J124" s="381">
        <v>0</v>
      </c>
      <c r="K124" s="381">
        <v>0</v>
      </c>
      <c r="L124" s="381">
        <v>2329.9699999999989</v>
      </c>
      <c r="M124" s="381">
        <v>0</v>
      </c>
      <c r="N124" s="381">
        <v>-24303.180000000037</v>
      </c>
      <c r="O124" s="381">
        <v>-193654.18999999977</v>
      </c>
      <c r="P124" s="381"/>
      <c r="Q124" s="381">
        <v>2094691</v>
      </c>
      <c r="R124" s="381">
        <v>0</v>
      </c>
      <c r="S124" s="381">
        <v>214312</v>
      </c>
      <c r="T124" s="381">
        <v>0</v>
      </c>
      <c r="U124" s="381">
        <v>125820</v>
      </c>
      <c r="V124" s="381">
        <v>124033</v>
      </c>
      <c r="W124" s="381">
        <v>0</v>
      </c>
      <c r="X124" s="381">
        <v>0</v>
      </c>
      <c r="Y124" s="381">
        <v>52000</v>
      </c>
      <c r="Z124" s="381">
        <v>94842</v>
      </c>
      <c r="AA124" s="381">
        <v>0</v>
      </c>
      <c r="AB124" s="381">
        <v>0</v>
      </c>
      <c r="AC124" s="381">
        <v>24000</v>
      </c>
      <c r="AD124" s="381">
        <v>7000</v>
      </c>
      <c r="AE124" s="381">
        <v>0</v>
      </c>
      <c r="AF124" s="381">
        <v>123539</v>
      </c>
      <c r="AG124" s="381">
        <v>15718</v>
      </c>
      <c r="AH124" s="381">
        <v>0</v>
      </c>
      <c r="AI124" s="381">
        <v>0</v>
      </c>
      <c r="AJ124" s="381">
        <v>0</v>
      </c>
      <c r="AK124" s="381">
        <v>0</v>
      </c>
      <c r="AL124" s="381">
        <v>2875955</v>
      </c>
      <c r="AM124" s="381"/>
      <c r="AN124" s="381">
        <v>1268835</v>
      </c>
      <c r="AO124" s="381">
        <v>6000</v>
      </c>
      <c r="AP124" s="381">
        <v>710531</v>
      </c>
      <c r="AQ124" s="381">
        <v>42578</v>
      </c>
      <c r="AR124" s="381">
        <v>152472</v>
      </c>
      <c r="AS124" s="381">
        <v>0</v>
      </c>
      <c r="AT124" s="381">
        <v>90162</v>
      </c>
      <c r="AU124" s="381">
        <v>12988</v>
      </c>
      <c r="AV124" s="381">
        <v>2413</v>
      </c>
      <c r="AW124" s="381">
        <v>1202</v>
      </c>
      <c r="AX124" s="381">
        <v>0</v>
      </c>
      <c r="AY124" s="381">
        <v>30369</v>
      </c>
      <c r="AZ124" s="381">
        <v>16929</v>
      </c>
      <c r="BA124" s="381">
        <v>74345</v>
      </c>
      <c r="BB124" s="381">
        <v>7900</v>
      </c>
      <c r="BC124" s="381">
        <v>47000</v>
      </c>
      <c r="BD124" s="381">
        <v>20318</v>
      </c>
      <c r="BE124" s="381">
        <v>8000</v>
      </c>
      <c r="BF124" s="381">
        <v>68763</v>
      </c>
      <c r="BG124" s="381">
        <v>4420</v>
      </c>
      <c r="BH124" s="381">
        <v>0</v>
      </c>
      <c r="BI124" s="381">
        <v>1500</v>
      </c>
      <c r="BJ124" s="381">
        <v>0</v>
      </c>
      <c r="BK124" s="381">
        <v>0</v>
      </c>
      <c r="BL124" s="381">
        <v>0</v>
      </c>
      <c r="BM124" s="381">
        <v>9515</v>
      </c>
      <c r="BN124" s="381">
        <v>0</v>
      </c>
      <c r="BO124" s="381">
        <v>18872</v>
      </c>
      <c r="BP124" s="381">
        <v>21268</v>
      </c>
      <c r="BQ124" s="381">
        <v>0</v>
      </c>
      <c r="BR124" s="381">
        <v>168759</v>
      </c>
      <c r="BS124" s="381">
        <v>56030</v>
      </c>
      <c r="BT124" s="381">
        <v>83434</v>
      </c>
      <c r="BU124" s="381">
        <v>30699</v>
      </c>
      <c r="BV124" s="381">
        <v>0</v>
      </c>
      <c r="BW124" s="381">
        <v>0</v>
      </c>
      <c r="BX124" s="381">
        <v>0</v>
      </c>
      <c r="BY124" s="382">
        <v>103968</v>
      </c>
      <c r="BZ124" s="382">
        <v>16200</v>
      </c>
      <c r="CA124" s="382">
        <v>3075470</v>
      </c>
      <c r="CB124" s="381"/>
      <c r="CC124" s="381">
        <v>12432</v>
      </c>
      <c r="CD124" s="381">
        <v>0</v>
      </c>
      <c r="CE124" s="381">
        <v>0</v>
      </c>
      <c r="CF124" s="381">
        <v>12432</v>
      </c>
      <c r="CG124" s="381"/>
      <c r="CH124" s="381">
        <v>0</v>
      </c>
      <c r="CI124" s="381">
        <v>14762</v>
      </c>
      <c r="CJ124" s="381">
        <v>0</v>
      </c>
      <c r="CK124" s="381">
        <v>0</v>
      </c>
      <c r="CL124" s="381">
        <v>0</v>
      </c>
      <c r="CM124" s="381">
        <v>0</v>
      </c>
      <c r="CN124" s="381">
        <v>0</v>
      </c>
      <c r="CO124" s="381">
        <v>0</v>
      </c>
      <c r="CP124" s="381">
        <v>14762</v>
      </c>
      <c r="CQ124" s="381"/>
      <c r="CR124" s="381">
        <v>-390284.97999999975</v>
      </c>
      <c r="CS124" s="381">
        <v>0</v>
      </c>
      <c r="CT124" s="381">
        <v>0</v>
      </c>
      <c r="CU124" s="381">
        <v>-3.0000000001109584E-2</v>
      </c>
      <c r="CV124" s="381">
        <v>0</v>
      </c>
      <c r="CW124" s="381">
        <v>-5214.1800000000367</v>
      </c>
      <c r="CX124" s="381">
        <v>-395499.18999999983</v>
      </c>
      <c r="CY124" s="381"/>
      <c r="CZ124" s="117"/>
      <c r="DA124" s="384"/>
      <c r="DB124" s="117"/>
      <c r="DC124" s="384"/>
      <c r="DD124" s="385"/>
      <c r="DE124" s="117"/>
      <c r="DF124" s="117"/>
      <c r="DG124" s="381"/>
      <c r="DH124" s="386"/>
      <c r="DI124" s="387"/>
      <c r="DJ124" s="381"/>
      <c r="DK124" s="381">
        <v>-195984.1599999998</v>
      </c>
      <c r="DL124" s="381">
        <v>2329.9699999999989</v>
      </c>
      <c r="DM124" s="381">
        <v>-193654.1899999998</v>
      </c>
      <c r="DN124" s="381">
        <v>-395499.1599999998</v>
      </c>
      <c r="DO124" s="381">
        <v>-3.0000000001109584E-2</v>
      </c>
      <c r="DP124" s="381">
        <v>-395499.18999999983</v>
      </c>
      <c r="DQ124" s="383"/>
      <c r="DR124" s="381"/>
      <c r="DS124" s="388"/>
      <c r="DT124" s="388"/>
    </row>
    <row r="125" spans="1:124" ht="15">
      <c r="A125" s="380">
        <v>553</v>
      </c>
      <c r="B125" s="391">
        <v>9163020</v>
      </c>
      <c r="C125" s="68">
        <v>3020</v>
      </c>
      <c r="D125" s="120"/>
      <c r="E125" s="120" t="s">
        <v>241</v>
      </c>
      <c r="F125" s="120"/>
      <c r="G125" s="120"/>
      <c r="H125" s="68"/>
      <c r="I125" s="381">
        <v>95580.759999999762</v>
      </c>
      <c r="J125" s="381">
        <v>14030</v>
      </c>
      <c r="K125" s="381">
        <v>0</v>
      </c>
      <c r="L125" s="381">
        <v>410.06999999999971</v>
      </c>
      <c r="M125" s="381">
        <v>0</v>
      </c>
      <c r="N125" s="381">
        <v>25866.349999999995</v>
      </c>
      <c r="O125" s="381">
        <v>135887.17999999976</v>
      </c>
      <c r="P125" s="389"/>
      <c r="Q125" s="381">
        <v>475433</v>
      </c>
      <c r="R125" s="381">
        <v>0</v>
      </c>
      <c r="S125" s="381">
        <v>12233</v>
      </c>
      <c r="T125" s="381">
        <v>0</v>
      </c>
      <c r="U125" s="381">
        <v>16965</v>
      </c>
      <c r="V125" s="381">
        <v>21594</v>
      </c>
      <c r="W125" s="381">
        <v>0</v>
      </c>
      <c r="X125" s="381">
        <v>0</v>
      </c>
      <c r="Y125" s="381">
        <v>17500</v>
      </c>
      <c r="Z125" s="381">
        <v>0</v>
      </c>
      <c r="AA125" s="381">
        <v>0</v>
      </c>
      <c r="AB125" s="381">
        <v>0</v>
      </c>
      <c r="AC125" s="381">
        <v>0</v>
      </c>
      <c r="AD125" s="381">
        <v>0</v>
      </c>
      <c r="AE125" s="381">
        <v>0</v>
      </c>
      <c r="AF125" s="381">
        <v>0</v>
      </c>
      <c r="AG125" s="381">
        <v>30284</v>
      </c>
      <c r="AH125" s="381">
        <v>0</v>
      </c>
      <c r="AI125" s="381">
        <v>0</v>
      </c>
      <c r="AJ125" s="381">
        <v>0</v>
      </c>
      <c r="AK125" s="381">
        <v>0</v>
      </c>
      <c r="AL125" s="381">
        <v>574009</v>
      </c>
      <c r="AM125" s="389"/>
      <c r="AN125" s="381">
        <v>280926</v>
      </c>
      <c r="AO125" s="381">
        <v>4295</v>
      </c>
      <c r="AP125" s="381">
        <v>91624</v>
      </c>
      <c r="AQ125" s="381">
        <v>0</v>
      </c>
      <c r="AR125" s="381">
        <v>37927</v>
      </c>
      <c r="AS125" s="381">
        <v>0</v>
      </c>
      <c r="AT125" s="381">
        <v>40805</v>
      </c>
      <c r="AU125" s="381">
        <v>3346</v>
      </c>
      <c r="AV125" s="381">
        <v>5400</v>
      </c>
      <c r="AW125" s="381">
        <v>3256</v>
      </c>
      <c r="AX125" s="381">
        <v>772</v>
      </c>
      <c r="AY125" s="381">
        <v>33143</v>
      </c>
      <c r="AZ125" s="381">
        <v>2825</v>
      </c>
      <c r="BA125" s="381">
        <v>16273</v>
      </c>
      <c r="BB125" s="381">
        <v>1300</v>
      </c>
      <c r="BC125" s="381">
        <v>14095</v>
      </c>
      <c r="BD125" s="381">
        <v>3842</v>
      </c>
      <c r="BE125" s="381">
        <v>1475</v>
      </c>
      <c r="BF125" s="381">
        <v>38362</v>
      </c>
      <c r="BG125" s="381">
        <v>2743</v>
      </c>
      <c r="BH125" s="381">
        <v>0</v>
      </c>
      <c r="BI125" s="381">
        <v>550</v>
      </c>
      <c r="BJ125" s="381">
        <v>0</v>
      </c>
      <c r="BK125" s="381">
        <v>600</v>
      </c>
      <c r="BL125" s="381">
        <v>0</v>
      </c>
      <c r="BM125" s="381">
        <v>2494</v>
      </c>
      <c r="BN125" s="381">
        <v>0</v>
      </c>
      <c r="BO125" s="381">
        <v>3482</v>
      </c>
      <c r="BP125" s="381">
        <v>2915</v>
      </c>
      <c r="BQ125" s="381">
        <v>0</v>
      </c>
      <c r="BR125" s="381">
        <v>10189</v>
      </c>
      <c r="BS125" s="381">
        <v>10000</v>
      </c>
      <c r="BT125" s="381">
        <v>28490</v>
      </c>
      <c r="BU125" s="381">
        <v>12207</v>
      </c>
      <c r="BV125" s="381">
        <v>0</v>
      </c>
      <c r="BW125" s="381">
        <v>0</v>
      </c>
      <c r="BX125" s="381">
        <v>0</v>
      </c>
      <c r="BY125" s="382">
        <v>38752</v>
      </c>
      <c r="BZ125" s="382">
        <v>17398</v>
      </c>
      <c r="CA125" s="382">
        <v>709486</v>
      </c>
      <c r="CB125" s="389"/>
      <c r="CC125" s="381">
        <v>4743</v>
      </c>
      <c r="CD125" s="381">
        <v>0</v>
      </c>
      <c r="CE125" s="381">
        <v>0</v>
      </c>
      <c r="CF125" s="381">
        <v>4743</v>
      </c>
      <c r="CG125" s="389"/>
      <c r="CH125" s="381">
        <v>0</v>
      </c>
      <c r="CI125" s="381">
        <v>5153</v>
      </c>
      <c r="CJ125" s="381">
        <v>0</v>
      </c>
      <c r="CK125" s="381">
        <v>0</v>
      </c>
      <c r="CL125" s="381">
        <v>0</v>
      </c>
      <c r="CM125" s="381">
        <v>0</v>
      </c>
      <c r="CN125" s="381">
        <v>0</v>
      </c>
      <c r="CO125" s="381">
        <v>0</v>
      </c>
      <c r="CP125" s="381">
        <v>5153</v>
      </c>
      <c r="CQ125" s="390"/>
      <c r="CR125" s="381">
        <v>-0.24000000023806933</v>
      </c>
      <c r="CS125" s="381">
        <v>0</v>
      </c>
      <c r="CT125" s="381">
        <v>0</v>
      </c>
      <c r="CU125" s="381">
        <v>6.9999999999708962E-2</v>
      </c>
      <c r="CV125" s="381">
        <v>0</v>
      </c>
      <c r="CW125" s="381">
        <v>0.34999999999126885</v>
      </c>
      <c r="CX125" s="381">
        <v>0.17999999975290848</v>
      </c>
      <c r="CY125" s="381"/>
      <c r="CZ125" s="117"/>
      <c r="DA125" s="384"/>
      <c r="DB125" s="117"/>
      <c r="DC125" s="384"/>
      <c r="DD125" s="385"/>
      <c r="DE125" s="117"/>
      <c r="DF125" s="117"/>
      <c r="DG125" s="381"/>
      <c r="DH125" s="386"/>
      <c r="DI125" s="387"/>
      <c r="DJ125" s="381"/>
      <c r="DK125" s="381">
        <v>135477.10999999975</v>
      </c>
      <c r="DL125" s="381">
        <v>410.06999999999971</v>
      </c>
      <c r="DM125" s="381">
        <v>135887.17999999976</v>
      </c>
      <c r="DN125" s="381">
        <v>0.10999999975319952</v>
      </c>
      <c r="DO125" s="381">
        <v>6.9999999999708962E-2</v>
      </c>
      <c r="DP125" s="381">
        <v>0.17999999975290848</v>
      </c>
      <c r="DQ125" s="383"/>
      <c r="DR125" s="381"/>
      <c r="DS125" s="388"/>
      <c r="DT125" s="388"/>
    </row>
    <row r="126" spans="1:124" ht="14.25">
      <c r="A126" s="380">
        <v>686</v>
      </c>
      <c r="B126" s="391">
        <v>9163372</v>
      </c>
      <c r="C126" s="68">
        <v>3372</v>
      </c>
      <c r="D126" s="120"/>
      <c r="E126" s="120" t="s">
        <v>754</v>
      </c>
      <c r="F126" s="120"/>
      <c r="G126" s="120"/>
      <c r="H126" s="68"/>
      <c r="I126" s="381">
        <v>106754.45999999986</v>
      </c>
      <c r="J126" s="381">
        <v>2368.369999999999</v>
      </c>
      <c r="K126" s="381">
        <v>0</v>
      </c>
      <c r="L126" s="381">
        <v>9703.8199999999979</v>
      </c>
      <c r="M126" s="381">
        <v>0</v>
      </c>
      <c r="N126" s="381">
        <v>0</v>
      </c>
      <c r="O126" s="381">
        <v>118826.64999999985</v>
      </c>
      <c r="P126" s="381"/>
      <c r="Q126" s="381">
        <v>1059224</v>
      </c>
      <c r="R126" s="381">
        <v>0</v>
      </c>
      <c r="S126" s="381">
        <v>84508</v>
      </c>
      <c r="T126" s="381">
        <v>0</v>
      </c>
      <c r="U126" s="381">
        <v>21395</v>
      </c>
      <c r="V126" s="381">
        <v>67546</v>
      </c>
      <c r="W126" s="381">
        <v>0</v>
      </c>
      <c r="X126" s="381">
        <v>0</v>
      </c>
      <c r="Y126" s="381">
        <v>59156</v>
      </c>
      <c r="Z126" s="381">
        <v>2500</v>
      </c>
      <c r="AA126" s="381">
        <v>13885</v>
      </c>
      <c r="AB126" s="381">
        <v>0</v>
      </c>
      <c r="AC126" s="381">
        <v>14000</v>
      </c>
      <c r="AD126" s="381">
        <v>1000</v>
      </c>
      <c r="AE126" s="381">
        <v>0</v>
      </c>
      <c r="AF126" s="381">
        <v>0</v>
      </c>
      <c r="AG126" s="381">
        <v>0</v>
      </c>
      <c r="AH126" s="381">
        <v>0</v>
      </c>
      <c r="AI126" s="381">
        <v>0</v>
      </c>
      <c r="AJ126" s="381">
        <v>0</v>
      </c>
      <c r="AK126" s="381">
        <v>0</v>
      </c>
      <c r="AL126" s="381">
        <v>1323214</v>
      </c>
      <c r="AM126" s="381"/>
      <c r="AN126" s="381">
        <v>700058</v>
      </c>
      <c r="AO126" s="381">
        <v>8200</v>
      </c>
      <c r="AP126" s="381">
        <v>232765</v>
      </c>
      <c r="AQ126" s="381">
        <v>46325</v>
      </c>
      <c r="AR126" s="381">
        <v>71541</v>
      </c>
      <c r="AS126" s="381">
        <v>0</v>
      </c>
      <c r="AT126" s="381">
        <v>80848</v>
      </c>
      <c r="AU126" s="381">
        <v>4750</v>
      </c>
      <c r="AV126" s="381">
        <v>5700</v>
      </c>
      <c r="AW126" s="381">
        <v>8916</v>
      </c>
      <c r="AX126" s="381">
        <v>0</v>
      </c>
      <c r="AY126" s="381">
        <v>13150</v>
      </c>
      <c r="AZ126" s="381">
        <v>2943</v>
      </c>
      <c r="BA126" s="381">
        <v>2700</v>
      </c>
      <c r="BB126" s="381">
        <v>920</v>
      </c>
      <c r="BC126" s="381">
        <v>25333</v>
      </c>
      <c r="BD126" s="381">
        <v>7485</v>
      </c>
      <c r="BE126" s="381">
        <v>5250</v>
      </c>
      <c r="BF126" s="381">
        <v>77865</v>
      </c>
      <c r="BG126" s="381">
        <v>2650</v>
      </c>
      <c r="BH126" s="381">
        <v>0</v>
      </c>
      <c r="BI126" s="381">
        <v>5492</v>
      </c>
      <c r="BJ126" s="381">
        <v>0</v>
      </c>
      <c r="BK126" s="381">
        <v>0</v>
      </c>
      <c r="BL126" s="381">
        <v>700</v>
      </c>
      <c r="BM126" s="381">
        <v>5235</v>
      </c>
      <c r="BN126" s="381">
        <v>0</v>
      </c>
      <c r="BO126" s="381">
        <v>3450</v>
      </c>
      <c r="BP126" s="381">
        <v>11805</v>
      </c>
      <c r="BQ126" s="381">
        <v>0</v>
      </c>
      <c r="BR126" s="381">
        <v>41831</v>
      </c>
      <c r="BS126" s="381">
        <v>10300</v>
      </c>
      <c r="BT126" s="381">
        <v>13406</v>
      </c>
      <c r="BU126" s="381">
        <v>23882</v>
      </c>
      <c r="BV126" s="381">
        <v>0</v>
      </c>
      <c r="BW126" s="381">
        <v>0</v>
      </c>
      <c r="BX126" s="381">
        <v>0</v>
      </c>
      <c r="BY126" s="382">
        <v>0</v>
      </c>
      <c r="BZ126" s="382">
        <v>0</v>
      </c>
      <c r="CA126" s="382">
        <v>1413500</v>
      </c>
      <c r="CB126" s="381"/>
      <c r="CC126" s="381">
        <v>6328</v>
      </c>
      <c r="CD126" s="381">
        <v>0</v>
      </c>
      <c r="CE126" s="381">
        <v>0</v>
      </c>
      <c r="CF126" s="381">
        <v>6328</v>
      </c>
      <c r="CG126" s="381"/>
      <c r="CH126" s="381">
        <v>0</v>
      </c>
      <c r="CI126" s="381">
        <v>9328</v>
      </c>
      <c r="CJ126" s="381">
        <v>0</v>
      </c>
      <c r="CK126" s="381">
        <v>0</v>
      </c>
      <c r="CL126" s="381">
        <v>0</v>
      </c>
      <c r="CM126" s="381">
        <v>0</v>
      </c>
      <c r="CN126" s="381">
        <v>6704</v>
      </c>
      <c r="CO126" s="381">
        <v>0</v>
      </c>
      <c r="CP126" s="381">
        <v>16032</v>
      </c>
      <c r="CQ126" s="381"/>
      <c r="CR126" s="381">
        <v>18836.829999999856</v>
      </c>
      <c r="CS126" s="381">
        <v>0</v>
      </c>
      <c r="CT126" s="381">
        <v>0</v>
      </c>
      <c r="CU126" s="381">
        <v>-0.18000000000211003</v>
      </c>
      <c r="CV126" s="381">
        <v>0</v>
      </c>
      <c r="CW126" s="381">
        <v>0</v>
      </c>
      <c r="CX126" s="381">
        <v>18836.649999999856</v>
      </c>
      <c r="CY126" s="381"/>
      <c r="CZ126" s="117"/>
      <c r="DA126" s="384"/>
      <c r="DB126" s="117"/>
      <c r="DC126" s="384"/>
      <c r="DD126" s="385"/>
      <c r="DE126" s="117"/>
      <c r="DF126" s="117"/>
      <c r="DG126" s="381"/>
      <c r="DH126" s="386"/>
      <c r="DI126" s="387"/>
      <c r="DJ126" s="381"/>
      <c r="DK126" s="381">
        <v>109122.82999999986</v>
      </c>
      <c r="DL126" s="381">
        <v>9703.8199999999979</v>
      </c>
      <c r="DM126" s="381">
        <v>118826.64999999985</v>
      </c>
      <c r="DN126" s="381">
        <v>18836.829999999856</v>
      </c>
      <c r="DO126" s="381">
        <v>-0.18000000000211003</v>
      </c>
      <c r="DP126" s="381">
        <v>18836.649999999856</v>
      </c>
      <c r="DQ126" s="383"/>
      <c r="DR126" s="381"/>
      <c r="DS126" s="388"/>
      <c r="DT126" s="388"/>
    </row>
    <row r="127" spans="1:124" ht="14.25">
      <c r="A127" s="380">
        <v>678</v>
      </c>
      <c r="B127" s="391">
        <v>9162118</v>
      </c>
      <c r="C127" s="68">
        <v>2118</v>
      </c>
      <c r="D127" s="120"/>
      <c r="E127" s="120" t="s">
        <v>248</v>
      </c>
      <c r="F127" s="120"/>
      <c r="G127" s="120"/>
      <c r="H127" s="68"/>
      <c r="I127" s="381">
        <v>273622.06000000017</v>
      </c>
      <c r="J127" s="381">
        <v>24491.689999999995</v>
      </c>
      <c r="K127" s="381">
        <v>0</v>
      </c>
      <c r="L127" s="381">
        <v>12734.619999999999</v>
      </c>
      <c r="M127" s="381">
        <v>0</v>
      </c>
      <c r="N127" s="381">
        <v>0</v>
      </c>
      <c r="O127" s="381">
        <v>310848.37000000017</v>
      </c>
      <c r="P127" s="381"/>
      <c r="Q127" s="381">
        <v>1192324</v>
      </c>
      <c r="R127" s="381">
        <v>0</v>
      </c>
      <c r="S127" s="381">
        <v>35537</v>
      </c>
      <c r="T127" s="381">
        <v>0</v>
      </c>
      <c r="U127" s="381">
        <v>108260</v>
      </c>
      <c r="V127" s="381">
        <v>17950</v>
      </c>
      <c r="W127" s="381">
        <v>0</v>
      </c>
      <c r="X127" s="381">
        <v>0</v>
      </c>
      <c r="Y127" s="381">
        <v>64838</v>
      </c>
      <c r="Z127" s="381">
        <v>5040</v>
      </c>
      <c r="AA127" s="381">
        <v>0</v>
      </c>
      <c r="AB127" s="381">
        <v>0</v>
      </c>
      <c r="AC127" s="381">
        <v>24460</v>
      </c>
      <c r="AD127" s="381">
        <v>1131</v>
      </c>
      <c r="AE127" s="381">
        <v>0</v>
      </c>
      <c r="AF127" s="381">
        <v>0</v>
      </c>
      <c r="AG127" s="381">
        <v>0</v>
      </c>
      <c r="AH127" s="381">
        <v>0</v>
      </c>
      <c r="AI127" s="381">
        <v>0</v>
      </c>
      <c r="AJ127" s="381">
        <v>0</v>
      </c>
      <c r="AK127" s="381">
        <v>0</v>
      </c>
      <c r="AL127" s="381">
        <v>1449540</v>
      </c>
      <c r="AM127" s="381"/>
      <c r="AN127" s="381">
        <v>773472</v>
      </c>
      <c r="AO127" s="381">
        <v>22500</v>
      </c>
      <c r="AP127" s="381">
        <v>255094</v>
      </c>
      <c r="AQ127" s="381">
        <v>41932</v>
      </c>
      <c r="AR127" s="381">
        <v>52660</v>
      </c>
      <c r="AS127" s="381">
        <v>0</v>
      </c>
      <c r="AT127" s="381">
        <v>48977</v>
      </c>
      <c r="AU127" s="381">
        <v>6109</v>
      </c>
      <c r="AV127" s="381">
        <v>3775</v>
      </c>
      <c r="AW127" s="381">
        <v>601</v>
      </c>
      <c r="AX127" s="381">
        <v>0</v>
      </c>
      <c r="AY127" s="381">
        <v>13194</v>
      </c>
      <c r="AZ127" s="381">
        <v>4586</v>
      </c>
      <c r="BA127" s="381">
        <v>2575</v>
      </c>
      <c r="BB127" s="381">
        <v>4340</v>
      </c>
      <c r="BC127" s="381">
        <v>21500</v>
      </c>
      <c r="BD127" s="381">
        <v>15095</v>
      </c>
      <c r="BE127" s="381">
        <v>5553</v>
      </c>
      <c r="BF127" s="381">
        <v>144917</v>
      </c>
      <c r="BG127" s="381">
        <v>4540</v>
      </c>
      <c r="BH127" s="381">
        <v>0</v>
      </c>
      <c r="BI127" s="381">
        <v>16000</v>
      </c>
      <c r="BJ127" s="381">
        <v>721</v>
      </c>
      <c r="BK127" s="381">
        <v>0</v>
      </c>
      <c r="BL127" s="381">
        <v>0</v>
      </c>
      <c r="BM127" s="381">
        <v>2500</v>
      </c>
      <c r="BN127" s="381">
        <v>0</v>
      </c>
      <c r="BO127" s="381">
        <v>1906</v>
      </c>
      <c r="BP127" s="381">
        <v>10409</v>
      </c>
      <c r="BQ127" s="381">
        <v>0</v>
      </c>
      <c r="BR127" s="381">
        <v>31803</v>
      </c>
      <c r="BS127" s="381">
        <v>22500</v>
      </c>
      <c r="BT127" s="381">
        <v>25021</v>
      </c>
      <c r="BU127" s="381">
        <v>15113</v>
      </c>
      <c r="BV127" s="381">
        <v>0</v>
      </c>
      <c r="BW127" s="381">
        <v>0</v>
      </c>
      <c r="BX127" s="381">
        <v>0</v>
      </c>
      <c r="BY127" s="382">
        <v>0</v>
      </c>
      <c r="BZ127" s="382">
        <v>0</v>
      </c>
      <c r="CA127" s="382">
        <v>1547393</v>
      </c>
      <c r="CB127" s="381"/>
      <c r="CC127" s="381">
        <v>5958</v>
      </c>
      <c r="CD127" s="381">
        <v>0</v>
      </c>
      <c r="CE127" s="381">
        <v>0</v>
      </c>
      <c r="CF127" s="381">
        <v>5958</v>
      </c>
      <c r="CG127" s="381"/>
      <c r="CH127" s="381">
        <v>0</v>
      </c>
      <c r="CI127" s="381">
        <v>18693</v>
      </c>
      <c r="CJ127" s="381">
        <v>0</v>
      </c>
      <c r="CK127" s="381">
        <v>0</v>
      </c>
      <c r="CL127" s="381">
        <v>0</v>
      </c>
      <c r="CM127" s="381">
        <v>0</v>
      </c>
      <c r="CN127" s="381">
        <v>0</v>
      </c>
      <c r="CO127" s="381">
        <v>0</v>
      </c>
      <c r="CP127" s="381">
        <v>18693</v>
      </c>
      <c r="CQ127" s="381"/>
      <c r="CR127" s="381">
        <v>200260.75000000017</v>
      </c>
      <c r="CS127" s="381">
        <v>0</v>
      </c>
      <c r="CT127" s="381">
        <v>0</v>
      </c>
      <c r="CU127" s="381">
        <v>-0.38000000000101863</v>
      </c>
      <c r="CV127" s="381">
        <v>0</v>
      </c>
      <c r="CW127" s="381">
        <v>0</v>
      </c>
      <c r="CX127" s="381">
        <v>200260.37000000017</v>
      </c>
      <c r="CY127" s="381"/>
      <c r="CZ127" s="117"/>
      <c r="DA127" s="384"/>
      <c r="DB127" s="117"/>
      <c r="DC127" s="384"/>
      <c r="DD127" s="385"/>
      <c r="DE127" s="117"/>
      <c r="DF127" s="117"/>
      <c r="DG127" s="381"/>
      <c r="DH127" s="386"/>
      <c r="DI127" s="387"/>
      <c r="DJ127" s="381"/>
      <c r="DK127" s="381">
        <v>298113.75000000017</v>
      </c>
      <c r="DL127" s="381">
        <v>12734.619999999999</v>
      </c>
      <c r="DM127" s="381">
        <v>310848.37000000017</v>
      </c>
      <c r="DN127" s="381">
        <v>200260.75000000017</v>
      </c>
      <c r="DO127" s="381">
        <v>-0.38000000000101863</v>
      </c>
      <c r="DP127" s="381">
        <v>200260.37000000017</v>
      </c>
      <c r="DQ127" s="383"/>
      <c r="DR127" s="381"/>
      <c r="DS127" s="388"/>
      <c r="DT127" s="388"/>
    </row>
    <row r="128" spans="1:124" ht="14.25">
      <c r="A128" s="380">
        <v>789</v>
      </c>
      <c r="B128" s="391">
        <v>9163374</v>
      </c>
      <c r="C128" s="68">
        <v>3374</v>
      </c>
      <c r="D128" s="120"/>
      <c r="E128" s="120" t="s">
        <v>764</v>
      </c>
      <c r="F128" s="120"/>
      <c r="G128" s="120"/>
      <c r="H128" s="68"/>
      <c r="I128" s="381">
        <v>2174.5600000000654</v>
      </c>
      <c r="J128" s="381">
        <v>1399.44</v>
      </c>
      <c r="K128" s="381">
        <v>0</v>
      </c>
      <c r="L128" s="381">
        <v>14580.17</v>
      </c>
      <c r="M128" s="381">
        <v>0</v>
      </c>
      <c r="N128" s="381">
        <v>0</v>
      </c>
      <c r="O128" s="381">
        <v>18154.170000000064</v>
      </c>
      <c r="P128" s="381"/>
      <c r="Q128" s="381">
        <v>572386</v>
      </c>
      <c r="R128" s="381">
        <v>0</v>
      </c>
      <c r="S128" s="381">
        <v>24667</v>
      </c>
      <c r="T128" s="381">
        <v>0</v>
      </c>
      <c r="U128" s="381">
        <v>13635</v>
      </c>
      <c r="V128" s="381">
        <v>32346</v>
      </c>
      <c r="W128" s="381">
        <v>0</v>
      </c>
      <c r="X128" s="381">
        <v>0</v>
      </c>
      <c r="Y128" s="381">
        <v>0</v>
      </c>
      <c r="Z128" s="381">
        <v>0</v>
      </c>
      <c r="AA128" s="381">
        <v>0</v>
      </c>
      <c r="AB128" s="381">
        <v>0</v>
      </c>
      <c r="AC128" s="381">
        <v>11000</v>
      </c>
      <c r="AD128" s="381">
        <v>2000</v>
      </c>
      <c r="AE128" s="381">
        <v>0</v>
      </c>
      <c r="AF128" s="381">
        <v>0</v>
      </c>
      <c r="AG128" s="381">
        <v>0</v>
      </c>
      <c r="AH128" s="381">
        <v>0</v>
      </c>
      <c r="AI128" s="381">
        <v>0</v>
      </c>
      <c r="AJ128" s="381">
        <v>0</v>
      </c>
      <c r="AK128" s="381">
        <v>0</v>
      </c>
      <c r="AL128" s="381">
        <v>656034</v>
      </c>
      <c r="AM128" s="381"/>
      <c r="AN128" s="381">
        <v>369936</v>
      </c>
      <c r="AO128" s="381">
        <v>0</v>
      </c>
      <c r="AP128" s="381">
        <v>101189</v>
      </c>
      <c r="AQ128" s="381">
        <v>0</v>
      </c>
      <c r="AR128" s="381">
        <v>36622</v>
      </c>
      <c r="AS128" s="381">
        <v>0</v>
      </c>
      <c r="AT128" s="381">
        <v>16423</v>
      </c>
      <c r="AU128" s="381">
        <v>2686</v>
      </c>
      <c r="AV128" s="381">
        <v>4900</v>
      </c>
      <c r="AW128" s="381">
        <v>247</v>
      </c>
      <c r="AX128" s="381">
        <v>0</v>
      </c>
      <c r="AY128" s="381">
        <v>3804</v>
      </c>
      <c r="AZ128" s="381">
        <v>4181</v>
      </c>
      <c r="BA128" s="381">
        <v>18919</v>
      </c>
      <c r="BB128" s="381">
        <v>1943</v>
      </c>
      <c r="BC128" s="381">
        <v>21000</v>
      </c>
      <c r="BD128" s="381">
        <v>13224</v>
      </c>
      <c r="BE128" s="381">
        <v>3266</v>
      </c>
      <c r="BF128" s="381">
        <v>21740</v>
      </c>
      <c r="BG128" s="381">
        <v>1500</v>
      </c>
      <c r="BH128" s="381">
        <v>0</v>
      </c>
      <c r="BI128" s="381">
        <v>3500</v>
      </c>
      <c r="BJ128" s="381">
        <v>3000</v>
      </c>
      <c r="BK128" s="381">
        <v>0</v>
      </c>
      <c r="BL128" s="381">
        <v>0</v>
      </c>
      <c r="BM128" s="381">
        <v>4451</v>
      </c>
      <c r="BN128" s="381">
        <v>0</v>
      </c>
      <c r="BO128" s="381">
        <v>1729</v>
      </c>
      <c r="BP128" s="381">
        <v>4373</v>
      </c>
      <c r="BQ128" s="381">
        <v>0</v>
      </c>
      <c r="BR128" s="381">
        <v>21031</v>
      </c>
      <c r="BS128" s="381">
        <v>9471</v>
      </c>
      <c r="BT128" s="381">
        <v>11075</v>
      </c>
      <c r="BU128" s="381">
        <v>9378</v>
      </c>
      <c r="BV128" s="381">
        <v>0</v>
      </c>
      <c r="BW128" s="381">
        <v>0</v>
      </c>
      <c r="BX128" s="381">
        <v>0</v>
      </c>
      <c r="BY128" s="382">
        <v>0</v>
      </c>
      <c r="BZ128" s="382">
        <v>0</v>
      </c>
      <c r="CA128" s="382">
        <v>689588</v>
      </c>
      <c r="CB128" s="381"/>
      <c r="CC128" s="381">
        <v>4945</v>
      </c>
      <c r="CD128" s="381">
        <v>0</v>
      </c>
      <c r="CE128" s="381">
        <v>0</v>
      </c>
      <c r="CF128" s="381">
        <v>4945</v>
      </c>
      <c r="CG128" s="381"/>
      <c r="CH128" s="381">
        <v>0</v>
      </c>
      <c r="CI128" s="381">
        <v>19525</v>
      </c>
      <c r="CJ128" s="381">
        <v>0</v>
      </c>
      <c r="CK128" s="381">
        <v>0</v>
      </c>
      <c r="CL128" s="381">
        <v>0</v>
      </c>
      <c r="CM128" s="381">
        <v>0</v>
      </c>
      <c r="CN128" s="381">
        <v>0</v>
      </c>
      <c r="CO128" s="381">
        <v>0</v>
      </c>
      <c r="CP128" s="381">
        <v>19525</v>
      </c>
      <c r="CQ128" s="381"/>
      <c r="CR128" s="381">
        <v>-29979.999999999935</v>
      </c>
      <c r="CS128" s="381">
        <v>0</v>
      </c>
      <c r="CT128" s="381">
        <v>0</v>
      </c>
      <c r="CU128" s="381">
        <v>0.17000000000007276</v>
      </c>
      <c r="CV128" s="381">
        <v>0</v>
      </c>
      <c r="CW128" s="381">
        <v>0</v>
      </c>
      <c r="CX128" s="381">
        <v>-29979.829999999936</v>
      </c>
      <c r="CY128" s="381"/>
      <c r="CZ128" s="117"/>
      <c r="DA128" s="384"/>
      <c r="DB128" s="117"/>
      <c r="DC128" s="384"/>
      <c r="DD128" s="385"/>
      <c r="DE128" s="117"/>
      <c r="DF128" s="117"/>
      <c r="DG128" s="381"/>
      <c r="DH128" s="386"/>
      <c r="DI128" s="387"/>
      <c r="DJ128" s="381"/>
      <c r="DK128" s="381">
        <v>3574.0000000000655</v>
      </c>
      <c r="DL128" s="381">
        <v>14580.17</v>
      </c>
      <c r="DM128" s="381">
        <v>18154.170000000064</v>
      </c>
      <c r="DN128" s="381">
        <v>-29979.999999999935</v>
      </c>
      <c r="DO128" s="381">
        <v>0.17000000000007276</v>
      </c>
      <c r="DP128" s="381">
        <v>-29979.829999999936</v>
      </c>
      <c r="DQ128" s="383"/>
      <c r="DR128" s="381"/>
      <c r="DS128" s="388"/>
      <c r="DT128" s="388"/>
    </row>
    <row r="129" spans="1:124" ht="14.25">
      <c r="A129" s="380">
        <v>127</v>
      </c>
      <c r="B129" s="391">
        <v>9167015</v>
      </c>
      <c r="C129" s="68">
        <v>7015</v>
      </c>
      <c r="D129" s="120"/>
      <c r="E129" s="120" t="s">
        <v>744</v>
      </c>
      <c r="F129" s="120"/>
      <c r="G129" s="120"/>
      <c r="H129" s="68"/>
      <c r="I129" s="381">
        <v>-376687.12999999977</v>
      </c>
      <c r="J129" s="381">
        <v>-9240.5000000000018</v>
      </c>
      <c r="K129" s="381">
        <v>0</v>
      </c>
      <c r="L129" s="381">
        <v>26984.190000000006</v>
      </c>
      <c r="M129" s="381">
        <v>0</v>
      </c>
      <c r="N129" s="381">
        <v>0</v>
      </c>
      <c r="O129" s="381">
        <v>-358943.43999999977</v>
      </c>
      <c r="P129" s="381"/>
      <c r="Q129" s="381">
        <v>2004465</v>
      </c>
      <c r="R129" s="381">
        <v>0</v>
      </c>
      <c r="S129" s="381">
        <v>2802151</v>
      </c>
      <c r="T129" s="381">
        <v>0</v>
      </c>
      <c r="U129" s="381">
        <v>75360</v>
      </c>
      <c r="V129" s="381">
        <v>20106</v>
      </c>
      <c r="W129" s="381">
        <v>0</v>
      </c>
      <c r="X129" s="381">
        <v>57500</v>
      </c>
      <c r="Y129" s="381">
        <v>32175</v>
      </c>
      <c r="Z129" s="381">
        <v>-200</v>
      </c>
      <c r="AA129" s="381">
        <v>8448</v>
      </c>
      <c r="AB129" s="381">
        <v>26500</v>
      </c>
      <c r="AC129" s="381">
        <v>0</v>
      </c>
      <c r="AD129" s="381">
        <v>0</v>
      </c>
      <c r="AE129" s="381">
        <v>0</v>
      </c>
      <c r="AF129" s="381">
        <v>0</v>
      </c>
      <c r="AG129" s="381">
        <v>0</v>
      </c>
      <c r="AH129" s="381">
        <v>0</v>
      </c>
      <c r="AI129" s="381">
        <v>0</v>
      </c>
      <c r="AJ129" s="381">
        <v>0</v>
      </c>
      <c r="AK129" s="381">
        <v>0</v>
      </c>
      <c r="AL129" s="381">
        <v>5026505</v>
      </c>
      <c r="AM129" s="381"/>
      <c r="AN129" s="381">
        <v>1926773</v>
      </c>
      <c r="AO129" s="381">
        <v>12000</v>
      </c>
      <c r="AP129" s="381">
        <v>2068761</v>
      </c>
      <c r="AQ129" s="381">
        <v>206611</v>
      </c>
      <c r="AR129" s="381">
        <v>239976</v>
      </c>
      <c r="AS129" s="381">
        <v>0</v>
      </c>
      <c r="AT129" s="381">
        <v>18982</v>
      </c>
      <c r="AU129" s="381">
        <v>19000</v>
      </c>
      <c r="AV129" s="381">
        <v>19533</v>
      </c>
      <c r="AW129" s="381">
        <v>42086</v>
      </c>
      <c r="AX129" s="381">
        <v>10653</v>
      </c>
      <c r="AY129" s="381">
        <v>91981</v>
      </c>
      <c r="AZ129" s="381">
        <v>0</v>
      </c>
      <c r="BA129" s="381">
        <v>14200</v>
      </c>
      <c r="BB129" s="381">
        <v>8500</v>
      </c>
      <c r="BC129" s="381">
        <v>85000</v>
      </c>
      <c r="BD129" s="381">
        <v>0</v>
      </c>
      <c r="BE129" s="381">
        <v>2750</v>
      </c>
      <c r="BF129" s="381">
        <v>194866</v>
      </c>
      <c r="BG129" s="381">
        <v>0</v>
      </c>
      <c r="BH129" s="381">
        <v>0</v>
      </c>
      <c r="BI129" s="381">
        <v>0</v>
      </c>
      <c r="BJ129" s="381">
        <v>27610</v>
      </c>
      <c r="BK129" s="381">
        <v>1500</v>
      </c>
      <c r="BL129" s="381">
        <v>14400</v>
      </c>
      <c r="BM129" s="381">
        <v>0</v>
      </c>
      <c r="BN129" s="381">
        <v>20000</v>
      </c>
      <c r="BO129" s="381">
        <v>4562</v>
      </c>
      <c r="BP129" s="381">
        <v>32200</v>
      </c>
      <c r="BQ129" s="381">
        <v>25597</v>
      </c>
      <c r="BR129" s="381">
        <v>0</v>
      </c>
      <c r="BS129" s="381">
        <v>17421</v>
      </c>
      <c r="BT129" s="381">
        <v>271166</v>
      </c>
      <c r="BU129" s="381">
        <v>32527</v>
      </c>
      <c r="BV129" s="381">
        <v>0</v>
      </c>
      <c r="BW129" s="381">
        <v>0</v>
      </c>
      <c r="BX129" s="381">
        <v>0</v>
      </c>
      <c r="BY129" s="382">
        <v>0</v>
      </c>
      <c r="BZ129" s="382">
        <v>0</v>
      </c>
      <c r="CA129" s="382">
        <v>5408655</v>
      </c>
      <c r="CB129" s="381"/>
      <c r="CC129" s="381">
        <v>11239</v>
      </c>
      <c r="CD129" s="381">
        <v>0</v>
      </c>
      <c r="CE129" s="381">
        <v>0</v>
      </c>
      <c r="CF129" s="381">
        <v>11239</v>
      </c>
      <c r="CG129" s="381"/>
      <c r="CH129" s="381">
        <v>0</v>
      </c>
      <c r="CI129" s="381">
        <v>38223</v>
      </c>
      <c r="CJ129" s="381">
        <v>0</v>
      </c>
      <c r="CK129" s="381">
        <v>0</v>
      </c>
      <c r="CL129" s="381">
        <v>0</v>
      </c>
      <c r="CM129" s="381">
        <v>0</v>
      </c>
      <c r="CN129" s="381">
        <v>0</v>
      </c>
      <c r="CO129" s="381">
        <v>0</v>
      </c>
      <c r="CP129" s="381">
        <v>38223</v>
      </c>
      <c r="CQ129" s="381"/>
      <c r="CR129" s="381">
        <v>-768077.62999999977</v>
      </c>
      <c r="CS129" s="381">
        <v>0</v>
      </c>
      <c r="CT129" s="381">
        <v>0</v>
      </c>
      <c r="CU129" s="381">
        <v>0.19000000000596629</v>
      </c>
      <c r="CV129" s="381">
        <v>0</v>
      </c>
      <c r="CW129" s="381">
        <v>0</v>
      </c>
      <c r="CX129" s="381">
        <v>-768077.43999999971</v>
      </c>
      <c r="CY129" s="381"/>
      <c r="CZ129" s="117"/>
      <c r="DA129" s="384"/>
      <c r="DB129" s="117"/>
      <c r="DC129" s="384"/>
      <c r="DD129" s="385"/>
      <c r="DE129" s="117"/>
      <c r="DF129" s="117"/>
      <c r="DG129" s="381"/>
      <c r="DH129" s="386"/>
      <c r="DI129" s="387"/>
      <c r="DJ129" s="381"/>
      <c r="DK129" s="381">
        <v>-385927.62999999977</v>
      </c>
      <c r="DL129" s="381">
        <v>26984.190000000006</v>
      </c>
      <c r="DM129" s="381">
        <v>-358943.43999999977</v>
      </c>
      <c r="DN129" s="381">
        <v>-768077.62999999977</v>
      </c>
      <c r="DO129" s="381">
        <v>0.19000000000596629</v>
      </c>
      <c r="DP129" s="381">
        <v>-768077.43999999971</v>
      </c>
      <c r="DQ129" s="383"/>
      <c r="DR129" s="381"/>
      <c r="DS129" s="388"/>
      <c r="DT129" s="388"/>
    </row>
    <row r="130" spans="1:124" ht="15">
      <c r="A130" s="380">
        <v>771</v>
      </c>
      <c r="B130" s="391">
        <v>9163345</v>
      </c>
      <c r="C130" s="68">
        <v>3345</v>
      </c>
      <c r="D130" s="120"/>
      <c r="E130" s="120" t="s">
        <v>186</v>
      </c>
      <c r="F130" s="120"/>
      <c r="G130" s="120"/>
      <c r="H130" s="68"/>
      <c r="I130" s="381">
        <v>83788.729999999952</v>
      </c>
      <c r="J130" s="381">
        <v>11445.07</v>
      </c>
      <c r="K130" s="381">
        <v>0</v>
      </c>
      <c r="L130" s="381">
        <v>0</v>
      </c>
      <c r="M130" s="381">
        <v>0</v>
      </c>
      <c r="N130" s="381">
        <v>0</v>
      </c>
      <c r="O130" s="381">
        <v>95233.799999999959</v>
      </c>
      <c r="P130" s="389"/>
      <c r="Q130" s="381">
        <v>452838</v>
      </c>
      <c r="R130" s="381">
        <v>0</v>
      </c>
      <c r="S130" s="381">
        <v>7313</v>
      </c>
      <c r="T130" s="381">
        <v>0</v>
      </c>
      <c r="U130" s="381">
        <v>21200</v>
      </c>
      <c r="V130" s="381">
        <v>21871</v>
      </c>
      <c r="W130" s="381">
        <v>0</v>
      </c>
      <c r="X130" s="381">
        <v>0</v>
      </c>
      <c r="Y130" s="381">
        <v>11000</v>
      </c>
      <c r="Z130" s="381">
        <v>0</v>
      </c>
      <c r="AA130" s="381">
        <v>0</v>
      </c>
      <c r="AB130" s="381">
        <v>0</v>
      </c>
      <c r="AC130" s="381">
        <v>0</v>
      </c>
      <c r="AD130" s="381">
        <v>0</v>
      </c>
      <c r="AE130" s="381">
        <v>0</v>
      </c>
      <c r="AF130" s="381">
        <v>0</v>
      </c>
      <c r="AG130" s="381">
        <v>0</v>
      </c>
      <c r="AH130" s="381">
        <v>0</v>
      </c>
      <c r="AI130" s="381">
        <v>0</v>
      </c>
      <c r="AJ130" s="381">
        <v>0</v>
      </c>
      <c r="AK130" s="381">
        <v>0</v>
      </c>
      <c r="AL130" s="381">
        <v>514222</v>
      </c>
      <c r="AM130" s="389"/>
      <c r="AN130" s="381">
        <v>274526</v>
      </c>
      <c r="AO130" s="381">
        <v>12600</v>
      </c>
      <c r="AP130" s="381">
        <v>80318</v>
      </c>
      <c r="AQ130" s="381">
        <v>2007</v>
      </c>
      <c r="AR130" s="381">
        <v>49087</v>
      </c>
      <c r="AS130" s="381">
        <v>0</v>
      </c>
      <c r="AT130" s="381">
        <v>17737</v>
      </c>
      <c r="AU130" s="381">
        <v>2213</v>
      </c>
      <c r="AV130" s="381">
        <v>6250</v>
      </c>
      <c r="AW130" s="381">
        <v>155</v>
      </c>
      <c r="AX130" s="381">
        <v>2725</v>
      </c>
      <c r="AY130" s="381">
        <v>5780</v>
      </c>
      <c r="AZ130" s="381">
        <v>4638</v>
      </c>
      <c r="BA130" s="381">
        <v>1245</v>
      </c>
      <c r="BB130" s="381">
        <v>667</v>
      </c>
      <c r="BC130" s="381">
        <v>10151</v>
      </c>
      <c r="BD130" s="381">
        <v>938</v>
      </c>
      <c r="BE130" s="381">
        <v>4000</v>
      </c>
      <c r="BF130" s="381">
        <v>37501</v>
      </c>
      <c r="BG130" s="381">
        <v>0</v>
      </c>
      <c r="BH130" s="381">
        <v>0</v>
      </c>
      <c r="BI130" s="381">
        <v>840</v>
      </c>
      <c r="BJ130" s="381">
        <v>0</v>
      </c>
      <c r="BK130" s="381">
        <v>1500</v>
      </c>
      <c r="BL130" s="381">
        <v>0</v>
      </c>
      <c r="BM130" s="381">
        <v>0</v>
      </c>
      <c r="BN130" s="381">
        <v>0</v>
      </c>
      <c r="BO130" s="381">
        <v>790</v>
      </c>
      <c r="BP130" s="381">
        <v>2655</v>
      </c>
      <c r="BQ130" s="381">
        <v>2753</v>
      </c>
      <c r="BR130" s="381">
        <v>0</v>
      </c>
      <c r="BS130" s="381">
        <v>15447</v>
      </c>
      <c r="BT130" s="381">
        <v>1600</v>
      </c>
      <c r="BU130" s="381">
        <v>20921</v>
      </c>
      <c r="BV130" s="381">
        <v>0</v>
      </c>
      <c r="BW130" s="381">
        <v>0</v>
      </c>
      <c r="BX130" s="381">
        <v>500</v>
      </c>
      <c r="BY130" s="382">
        <v>0</v>
      </c>
      <c r="BZ130" s="382">
        <v>0</v>
      </c>
      <c r="CA130" s="382">
        <v>559544</v>
      </c>
      <c r="CB130" s="389"/>
      <c r="CC130" s="381">
        <v>0</v>
      </c>
      <c r="CD130" s="381">
        <v>0</v>
      </c>
      <c r="CE130" s="381">
        <v>0</v>
      </c>
      <c r="CF130" s="381">
        <v>0</v>
      </c>
      <c r="CG130" s="389"/>
      <c r="CH130" s="381">
        <v>0</v>
      </c>
      <c r="CI130" s="381">
        <v>0</v>
      </c>
      <c r="CJ130" s="381">
        <v>0</v>
      </c>
      <c r="CK130" s="381">
        <v>0</v>
      </c>
      <c r="CL130" s="381">
        <v>0</v>
      </c>
      <c r="CM130" s="381">
        <v>0</v>
      </c>
      <c r="CN130" s="381">
        <v>0</v>
      </c>
      <c r="CO130" s="381">
        <v>0</v>
      </c>
      <c r="CP130" s="381">
        <v>0</v>
      </c>
      <c r="CQ130" s="390"/>
      <c r="CR130" s="381">
        <v>49911.799999999959</v>
      </c>
      <c r="CS130" s="381">
        <v>0</v>
      </c>
      <c r="CT130" s="381">
        <v>0</v>
      </c>
      <c r="CU130" s="381">
        <v>0</v>
      </c>
      <c r="CV130" s="381">
        <v>0</v>
      </c>
      <c r="CW130" s="381">
        <v>0</v>
      </c>
      <c r="CX130" s="381">
        <v>49911.799999999959</v>
      </c>
      <c r="CY130" s="381"/>
      <c r="CZ130" s="117"/>
      <c r="DA130" s="384"/>
      <c r="DB130" s="117"/>
      <c r="DC130" s="384"/>
      <c r="DD130" s="385"/>
      <c r="DE130" s="117"/>
      <c r="DF130" s="117"/>
      <c r="DG130" s="381"/>
      <c r="DH130" s="386"/>
      <c r="DI130" s="387"/>
      <c r="DJ130" s="381"/>
      <c r="DK130" s="381">
        <v>95233.799999999959</v>
      </c>
      <c r="DL130" s="381">
        <v>0</v>
      </c>
      <c r="DM130" s="381">
        <v>95233.799999999959</v>
      </c>
      <c r="DN130" s="381">
        <v>49911.799999999959</v>
      </c>
      <c r="DO130" s="381">
        <v>0</v>
      </c>
      <c r="DP130" s="381">
        <v>49911.799999999959</v>
      </c>
      <c r="DQ130" s="383"/>
      <c r="DR130" s="381"/>
      <c r="DS130" s="388"/>
      <c r="DT130" s="388"/>
    </row>
    <row r="131" spans="1:124" ht="14.25">
      <c r="A131" s="380">
        <v>958</v>
      </c>
      <c r="B131" s="391">
        <v>9162185</v>
      </c>
      <c r="C131" s="68">
        <v>2185</v>
      </c>
      <c r="D131" s="120"/>
      <c r="E131" s="120" t="s">
        <v>756</v>
      </c>
      <c r="F131" s="120"/>
      <c r="G131" s="120"/>
      <c r="H131" s="68"/>
      <c r="I131" s="381">
        <v>248211.17999999985</v>
      </c>
      <c r="J131" s="381">
        <v>21586.649999999994</v>
      </c>
      <c r="K131" s="381">
        <v>0</v>
      </c>
      <c r="L131" s="381">
        <v>13300.089999999998</v>
      </c>
      <c r="M131" s="381">
        <v>0</v>
      </c>
      <c r="N131" s="381">
        <v>9548.4700000000012</v>
      </c>
      <c r="O131" s="381">
        <v>292646.3899999999</v>
      </c>
      <c r="P131" s="381"/>
      <c r="Q131" s="381">
        <v>2258554</v>
      </c>
      <c r="R131" s="381">
        <v>0</v>
      </c>
      <c r="S131" s="381">
        <v>220000</v>
      </c>
      <c r="T131" s="381">
        <v>0</v>
      </c>
      <c r="U131" s="381">
        <v>102410</v>
      </c>
      <c r="V131" s="381">
        <v>90324</v>
      </c>
      <c r="W131" s="381">
        <v>0</v>
      </c>
      <c r="X131" s="381">
        <v>10000</v>
      </c>
      <c r="Y131" s="381">
        <v>67250</v>
      </c>
      <c r="Z131" s="381">
        <v>23687</v>
      </c>
      <c r="AA131" s="381">
        <v>19400</v>
      </c>
      <c r="AB131" s="381">
        <v>0</v>
      </c>
      <c r="AC131" s="381">
        <v>46500</v>
      </c>
      <c r="AD131" s="381">
        <v>0</v>
      </c>
      <c r="AE131" s="381">
        <v>0</v>
      </c>
      <c r="AF131" s="381">
        <v>49920</v>
      </c>
      <c r="AG131" s="381">
        <v>0</v>
      </c>
      <c r="AH131" s="381">
        <v>0</v>
      </c>
      <c r="AI131" s="381">
        <v>0</v>
      </c>
      <c r="AJ131" s="381">
        <v>0</v>
      </c>
      <c r="AK131" s="381">
        <v>0</v>
      </c>
      <c r="AL131" s="381">
        <v>2888045</v>
      </c>
      <c r="AM131" s="381"/>
      <c r="AN131" s="381">
        <v>1372525</v>
      </c>
      <c r="AO131" s="381">
        <v>5000</v>
      </c>
      <c r="AP131" s="381">
        <v>773349</v>
      </c>
      <c r="AQ131" s="381">
        <v>81942</v>
      </c>
      <c r="AR131" s="381">
        <v>154013</v>
      </c>
      <c r="AS131" s="381">
        <v>71748</v>
      </c>
      <c r="AT131" s="381">
        <v>136572</v>
      </c>
      <c r="AU131" s="381">
        <v>400</v>
      </c>
      <c r="AV131" s="381">
        <v>7450</v>
      </c>
      <c r="AW131" s="381">
        <v>24882</v>
      </c>
      <c r="AX131" s="381">
        <v>0</v>
      </c>
      <c r="AY131" s="381">
        <v>22000</v>
      </c>
      <c r="AZ131" s="381">
        <v>5000</v>
      </c>
      <c r="BA131" s="381">
        <v>38000</v>
      </c>
      <c r="BB131" s="381">
        <v>5000</v>
      </c>
      <c r="BC131" s="381">
        <v>44000</v>
      </c>
      <c r="BD131" s="381">
        <v>14355</v>
      </c>
      <c r="BE131" s="381">
        <v>11000</v>
      </c>
      <c r="BF131" s="381">
        <v>121676</v>
      </c>
      <c r="BG131" s="381">
        <v>1250</v>
      </c>
      <c r="BH131" s="381">
        <v>0</v>
      </c>
      <c r="BI131" s="381">
        <v>15000</v>
      </c>
      <c r="BJ131" s="381">
        <v>4000</v>
      </c>
      <c r="BK131" s="381">
        <v>11000</v>
      </c>
      <c r="BL131" s="381">
        <v>0</v>
      </c>
      <c r="BM131" s="381">
        <v>14000</v>
      </c>
      <c r="BN131" s="381">
        <v>0</v>
      </c>
      <c r="BO131" s="381">
        <v>9450</v>
      </c>
      <c r="BP131" s="381">
        <v>21967</v>
      </c>
      <c r="BQ131" s="381">
        <v>0</v>
      </c>
      <c r="BR131" s="381">
        <v>36800</v>
      </c>
      <c r="BS131" s="381">
        <v>5000</v>
      </c>
      <c r="BT131" s="381">
        <v>11566</v>
      </c>
      <c r="BU131" s="381">
        <v>62203</v>
      </c>
      <c r="BV131" s="381">
        <v>0</v>
      </c>
      <c r="BW131" s="381">
        <v>0</v>
      </c>
      <c r="BX131" s="381">
        <v>0</v>
      </c>
      <c r="BY131" s="382">
        <v>49920</v>
      </c>
      <c r="BZ131" s="382">
        <v>0</v>
      </c>
      <c r="CA131" s="382">
        <v>3131068</v>
      </c>
      <c r="CB131" s="381"/>
      <c r="CC131" s="381">
        <v>8523</v>
      </c>
      <c r="CD131" s="381">
        <v>0</v>
      </c>
      <c r="CE131" s="381">
        <v>0</v>
      </c>
      <c r="CF131" s="381">
        <v>8523</v>
      </c>
      <c r="CG131" s="381"/>
      <c r="CH131" s="381">
        <v>0</v>
      </c>
      <c r="CI131" s="381">
        <v>13300</v>
      </c>
      <c r="CJ131" s="381">
        <v>0</v>
      </c>
      <c r="CK131" s="381">
        <v>0</v>
      </c>
      <c r="CL131" s="381">
        <v>0</v>
      </c>
      <c r="CM131" s="381">
        <v>0</v>
      </c>
      <c r="CN131" s="381">
        <v>8523</v>
      </c>
      <c r="CO131" s="381">
        <v>0</v>
      </c>
      <c r="CP131" s="381">
        <v>21823</v>
      </c>
      <c r="CQ131" s="381"/>
      <c r="CR131" s="381">
        <v>26774.829999999813</v>
      </c>
      <c r="CS131" s="381">
        <v>0</v>
      </c>
      <c r="CT131" s="381">
        <v>0</v>
      </c>
      <c r="CU131" s="381">
        <v>8.999999999832653E-2</v>
      </c>
      <c r="CV131" s="381">
        <v>0</v>
      </c>
      <c r="CW131" s="381">
        <v>9548.4700000000012</v>
      </c>
      <c r="CX131" s="381">
        <v>36323.38999999981</v>
      </c>
      <c r="CY131" s="381"/>
      <c r="CZ131" s="117"/>
      <c r="DA131" s="384"/>
      <c r="DB131" s="117"/>
      <c r="DC131" s="384"/>
      <c r="DD131" s="385"/>
      <c r="DE131" s="117"/>
      <c r="DF131" s="117"/>
      <c r="DG131" s="381"/>
      <c r="DH131" s="386"/>
      <c r="DI131" s="387"/>
      <c r="DJ131" s="381"/>
      <c r="DK131" s="381">
        <v>279346.29999999981</v>
      </c>
      <c r="DL131" s="381">
        <v>13300.089999999998</v>
      </c>
      <c r="DM131" s="381">
        <v>292646.38999999984</v>
      </c>
      <c r="DN131" s="381">
        <v>36323.299999999814</v>
      </c>
      <c r="DO131" s="381">
        <v>8.999999999832653E-2</v>
      </c>
      <c r="DP131" s="381">
        <v>36323.38999999981</v>
      </c>
      <c r="DQ131" s="383"/>
      <c r="DR131" s="381"/>
      <c r="DS131" s="388"/>
      <c r="DT131" s="388"/>
    </row>
    <row r="132" spans="1:124" ht="14.25">
      <c r="A132" s="380">
        <v>830</v>
      </c>
      <c r="B132" s="391">
        <v>9165208</v>
      </c>
      <c r="C132" s="68">
        <v>5208</v>
      </c>
      <c r="D132" s="120"/>
      <c r="E132" s="120" t="s">
        <v>725</v>
      </c>
      <c r="F132" s="120"/>
      <c r="G132" s="120"/>
      <c r="H132" s="68"/>
      <c r="I132" s="381">
        <v>-31007.710000000243</v>
      </c>
      <c r="J132" s="381">
        <v>2386.73</v>
      </c>
      <c r="K132" s="381">
        <v>0</v>
      </c>
      <c r="L132" s="381">
        <v>17330.98</v>
      </c>
      <c r="M132" s="381">
        <v>0</v>
      </c>
      <c r="N132" s="381">
        <v>-18219.540000000008</v>
      </c>
      <c r="O132" s="381">
        <v>-29509.540000000252</v>
      </c>
      <c r="P132" s="381"/>
      <c r="Q132" s="381">
        <v>1016959</v>
      </c>
      <c r="R132" s="381">
        <v>0</v>
      </c>
      <c r="S132" s="381">
        <v>76340</v>
      </c>
      <c r="T132" s="381">
        <v>0</v>
      </c>
      <c r="U132" s="381">
        <v>46410</v>
      </c>
      <c r="V132" s="381">
        <v>56055</v>
      </c>
      <c r="W132" s="381">
        <v>0</v>
      </c>
      <c r="X132" s="381">
        <v>0</v>
      </c>
      <c r="Y132" s="381">
        <v>33770</v>
      </c>
      <c r="Z132" s="381">
        <v>13000</v>
      </c>
      <c r="AA132" s="381">
        <v>0</v>
      </c>
      <c r="AB132" s="381">
        <v>0</v>
      </c>
      <c r="AC132" s="381">
        <v>0</v>
      </c>
      <c r="AD132" s="381">
        <v>0</v>
      </c>
      <c r="AE132" s="381">
        <v>0</v>
      </c>
      <c r="AF132" s="381">
        <v>77532</v>
      </c>
      <c r="AG132" s="381">
        <v>1000</v>
      </c>
      <c r="AH132" s="381">
        <v>0</v>
      </c>
      <c r="AI132" s="381">
        <v>0</v>
      </c>
      <c r="AJ132" s="381">
        <v>0</v>
      </c>
      <c r="AK132" s="381">
        <v>0</v>
      </c>
      <c r="AL132" s="381">
        <v>1321066</v>
      </c>
      <c r="AM132" s="381"/>
      <c r="AN132" s="381">
        <v>691227</v>
      </c>
      <c r="AO132" s="381">
        <v>10000</v>
      </c>
      <c r="AP132" s="381">
        <v>222637</v>
      </c>
      <c r="AQ132" s="381">
        <v>34680</v>
      </c>
      <c r="AR132" s="381">
        <v>79687</v>
      </c>
      <c r="AS132" s="381">
        <v>43267</v>
      </c>
      <c r="AT132" s="381">
        <v>51051</v>
      </c>
      <c r="AU132" s="381">
        <v>600</v>
      </c>
      <c r="AV132" s="381">
        <v>4500</v>
      </c>
      <c r="AW132" s="381">
        <v>12902</v>
      </c>
      <c r="AX132" s="381">
        <v>2092</v>
      </c>
      <c r="AY132" s="381">
        <v>6621</v>
      </c>
      <c r="AZ132" s="381">
        <v>4474</v>
      </c>
      <c r="BA132" s="381">
        <v>2000</v>
      </c>
      <c r="BB132" s="381">
        <v>6000</v>
      </c>
      <c r="BC132" s="381">
        <v>48000</v>
      </c>
      <c r="BD132" s="381">
        <v>4441</v>
      </c>
      <c r="BE132" s="381">
        <v>3000</v>
      </c>
      <c r="BF132" s="381">
        <v>65822</v>
      </c>
      <c r="BG132" s="381">
        <v>4500</v>
      </c>
      <c r="BH132" s="381">
        <v>0</v>
      </c>
      <c r="BI132" s="381">
        <v>0</v>
      </c>
      <c r="BJ132" s="381">
        <v>0</v>
      </c>
      <c r="BK132" s="381">
        <v>1500</v>
      </c>
      <c r="BL132" s="381">
        <v>0</v>
      </c>
      <c r="BM132" s="381">
        <v>5204</v>
      </c>
      <c r="BN132" s="381">
        <v>0</v>
      </c>
      <c r="BO132" s="381">
        <v>6450</v>
      </c>
      <c r="BP132" s="381">
        <v>7070</v>
      </c>
      <c r="BQ132" s="381">
        <v>0</v>
      </c>
      <c r="BR132" s="381">
        <v>21965</v>
      </c>
      <c r="BS132" s="381">
        <v>20000</v>
      </c>
      <c r="BT132" s="381">
        <v>11155</v>
      </c>
      <c r="BU132" s="381">
        <v>21722</v>
      </c>
      <c r="BV132" s="381">
        <v>0</v>
      </c>
      <c r="BW132" s="381">
        <v>0</v>
      </c>
      <c r="BX132" s="381">
        <v>0</v>
      </c>
      <c r="BY132" s="382">
        <v>78406</v>
      </c>
      <c r="BZ132" s="382">
        <v>8100</v>
      </c>
      <c r="CA132" s="382">
        <v>1479073</v>
      </c>
      <c r="CB132" s="381"/>
      <c r="CC132" s="381">
        <v>6396</v>
      </c>
      <c r="CD132" s="381">
        <v>0</v>
      </c>
      <c r="CE132" s="381">
        <v>0</v>
      </c>
      <c r="CF132" s="381">
        <v>6396</v>
      </c>
      <c r="CG132" s="381"/>
      <c r="CH132" s="381">
        <v>0</v>
      </c>
      <c r="CI132" s="381">
        <v>23727</v>
      </c>
      <c r="CJ132" s="381">
        <v>0</v>
      </c>
      <c r="CK132" s="381">
        <v>0</v>
      </c>
      <c r="CL132" s="381">
        <v>0</v>
      </c>
      <c r="CM132" s="381">
        <v>0</v>
      </c>
      <c r="CN132" s="381">
        <v>0</v>
      </c>
      <c r="CO132" s="381">
        <v>0</v>
      </c>
      <c r="CP132" s="381">
        <v>23727</v>
      </c>
      <c r="CQ132" s="381"/>
      <c r="CR132" s="381">
        <v>-178653.98000000024</v>
      </c>
      <c r="CS132" s="381">
        <v>0</v>
      </c>
      <c r="CT132" s="381">
        <v>0</v>
      </c>
      <c r="CU132" s="381">
        <v>-2.0000000000436557E-2</v>
      </c>
      <c r="CV132" s="381">
        <v>0</v>
      </c>
      <c r="CW132" s="381">
        <v>-26193.540000000008</v>
      </c>
      <c r="CX132" s="381">
        <v>-204847.54000000024</v>
      </c>
      <c r="CY132" s="381"/>
      <c r="CZ132" s="117"/>
      <c r="DA132" s="384"/>
      <c r="DB132" s="117"/>
      <c r="DC132" s="384"/>
      <c r="DD132" s="385"/>
      <c r="DE132" s="117"/>
      <c r="DF132" s="117"/>
      <c r="DG132" s="381"/>
      <c r="DH132" s="386"/>
      <c r="DI132" s="387"/>
      <c r="DJ132" s="381"/>
      <c r="DK132" s="381">
        <v>-46840.520000000251</v>
      </c>
      <c r="DL132" s="381">
        <v>17330.98</v>
      </c>
      <c r="DM132" s="381">
        <v>-29509.540000000252</v>
      </c>
      <c r="DN132" s="381">
        <v>-204847.52000000025</v>
      </c>
      <c r="DO132" s="381">
        <v>-2.0000000000436557E-2</v>
      </c>
      <c r="DP132" s="381">
        <v>-204847.54000000024</v>
      </c>
      <c r="DQ132" s="383"/>
      <c r="DR132" s="381"/>
      <c r="DS132" s="388"/>
      <c r="DT132" s="388"/>
    </row>
    <row r="133" spans="1:124" ht="15">
      <c r="A133" s="380">
        <v>888</v>
      </c>
      <c r="B133" s="391">
        <v>9162178</v>
      </c>
      <c r="C133" s="68">
        <v>2178</v>
      </c>
      <c r="D133" s="120"/>
      <c r="E133" s="120" t="s">
        <v>769</v>
      </c>
      <c r="F133" s="120"/>
      <c r="G133" s="120"/>
      <c r="H133" s="68"/>
      <c r="I133" s="381">
        <v>167274.29000000033</v>
      </c>
      <c r="J133" s="381">
        <v>3809.9300000000003</v>
      </c>
      <c r="K133" s="381">
        <v>0</v>
      </c>
      <c r="L133" s="381">
        <v>6137.08</v>
      </c>
      <c r="M133" s="381">
        <v>0</v>
      </c>
      <c r="N133" s="381">
        <v>0</v>
      </c>
      <c r="O133" s="381">
        <v>177221.30000000031</v>
      </c>
      <c r="P133" s="389"/>
      <c r="Q133" s="381">
        <v>1262084</v>
      </c>
      <c r="R133" s="381">
        <v>0</v>
      </c>
      <c r="S133" s="381">
        <v>132535</v>
      </c>
      <c r="T133" s="381">
        <v>0</v>
      </c>
      <c r="U133" s="381">
        <v>140410</v>
      </c>
      <c r="V133" s="381">
        <v>35446</v>
      </c>
      <c r="W133" s="381">
        <v>0</v>
      </c>
      <c r="X133" s="381">
        <v>0</v>
      </c>
      <c r="Y133" s="381">
        <v>10500</v>
      </c>
      <c r="Z133" s="381">
        <v>10000</v>
      </c>
      <c r="AA133" s="381">
        <v>0</v>
      </c>
      <c r="AB133" s="381">
        <v>0</v>
      </c>
      <c r="AC133" s="381">
        <v>0</v>
      </c>
      <c r="AD133" s="381">
        <v>0</v>
      </c>
      <c r="AE133" s="381">
        <v>0</v>
      </c>
      <c r="AF133" s="381">
        <v>0</v>
      </c>
      <c r="AG133" s="381">
        <v>0</v>
      </c>
      <c r="AH133" s="381">
        <v>0</v>
      </c>
      <c r="AI133" s="381">
        <v>0</v>
      </c>
      <c r="AJ133" s="381">
        <v>0</v>
      </c>
      <c r="AK133" s="381">
        <v>0</v>
      </c>
      <c r="AL133" s="381">
        <v>1590975</v>
      </c>
      <c r="AM133" s="389"/>
      <c r="AN133" s="381">
        <v>743697</v>
      </c>
      <c r="AO133" s="381">
        <v>40000</v>
      </c>
      <c r="AP133" s="381">
        <v>455279</v>
      </c>
      <c r="AQ133" s="381">
        <v>61005</v>
      </c>
      <c r="AR133" s="381">
        <v>67336</v>
      </c>
      <c r="AS133" s="381">
        <v>52541</v>
      </c>
      <c r="AT133" s="381">
        <v>10191</v>
      </c>
      <c r="AU133" s="381">
        <v>6852</v>
      </c>
      <c r="AV133" s="381">
        <v>5015</v>
      </c>
      <c r="AW133" s="381">
        <v>561</v>
      </c>
      <c r="AX133" s="381">
        <v>0</v>
      </c>
      <c r="AY133" s="381">
        <v>14169</v>
      </c>
      <c r="AZ133" s="381">
        <v>6462</v>
      </c>
      <c r="BA133" s="381">
        <v>4900</v>
      </c>
      <c r="BB133" s="381">
        <v>5520</v>
      </c>
      <c r="BC133" s="381">
        <v>37710</v>
      </c>
      <c r="BD133" s="381">
        <v>18504</v>
      </c>
      <c r="BE133" s="381">
        <v>3400</v>
      </c>
      <c r="BF133" s="381">
        <v>67258</v>
      </c>
      <c r="BG133" s="381">
        <v>2579</v>
      </c>
      <c r="BH133" s="381">
        <v>0</v>
      </c>
      <c r="BI133" s="381">
        <v>9000</v>
      </c>
      <c r="BJ133" s="381">
        <v>1900</v>
      </c>
      <c r="BK133" s="381">
        <v>500</v>
      </c>
      <c r="BL133" s="381">
        <v>0</v>
      </c>
      <c r="BM133" s="381">
        <v>6432</v>
      </c>
      <c r="BN133" s="381">
        <v>0</v>
      </c>
      <c r="BO133" s="381">
        <v>3850</v>
      </c>
      <c r="BP133" s="381">
        <v>9933</v>
      </c>
      <c r="BQ133" s="381">
        <v>0</v>
      </c>
      <c r="BR133" s="381">
        <v>33600</v>
      </c>
      <c r="BS133" s="381">
        <v>32000</v>
      </c>
      <c r="BT133" s="381">
        <v>31234</v>
      </c>
      <c r="BU133" s="381">
        <v>17155</v>
      </c>
      <c r="BV133" s="381">
        <v>0</v>
      </c>
      <c r="BW133" s="381">
        <v>0</v>
      </c>
      <c r="BX133" s="381">
        <v>0</v>
      </c>
      <c r="BY133" s="382">
        <v>0</v>
      </c>
      <c r="BZ133" s="382">
        <v>0</v>
      </c>
      <c r="CA133" s="382">
        <v>1748583</v>
      </c>
      <c r="CB133" s="389"/>
      <c r="CC133" s="381">
        <v>6036</v>
      </c>
      <c r="CD133" s="381">
        <v>0</v>
      </c>
      <c r="CE133" s="381">
        <v>0</v>
      </c>
      <c r="CF133" s="381">
        <v>6036</v>
      </c>
      <c r="CG133" s="389"/>
      <c r="CH133" s="381">
        <v>0</v>
      </c>
      <c r="CI133" s="381">
        <v>12173</v>
      </c>
      <c r="CJ133" s="381">
        <v>0</v>
      </c>
      <c r="CK133" s="381">
        <v>0</v>
      </c>
      <c r="CL133" s="381">
        <v>0</v>
      </c>
      <c r="CM133" s="381">
        <v>0</v>
      </c>
      <c r="CN133" s="381">
        <v>0</v>
      </c>
      <c r="CO133" s="381">
        <v>0</v>
      </c>
      <c r="CP133" s="381">
        <v>12173</v>
      </c>
      <c r="CQ133" s="390"/>
      <c r="CR133" s="381">
        <v>13476.220000000321</v>
      </c>
      <c r="CS133" s="381">
        <v>0</v>
      </c>
      <c r="CT133" s="381">
        <v>0</v>
      </c>
      <c r="CU133" s="381">
        <v>7.999999999992724E-2</v>
      </c>
      <c r="CV133" s="381">
        <v>0</v>
      </c>
      <c r="CW133" s="381">
        <v>0</v>
      </c>
      <c r="CX133" s="381">
        <v>13476.300000000321</v>
      </c>
      <c r="CY133" s="381"/>
      <c r="CZ133" s="117"/>
      <c r="DA133" s="384"/>
      <c r="DB133" s="117"/>
      <c r="DC133" s="384"/>
      <c r="DD133" s="385"/>
      <c r="DE133" s="117"/>
      <c r="DF133" s="117"/>
      <c r="DG133" s="381"/>
      <c r="DH133" s="386"/>
      <c r="DI133" s="387"/>
      <c r="DJ133" s="381"/>
      <c r="DK133" s="381">
        <v>171084.22000000032</v>
      </c>
      <c r="DL133" s="381">
        <v>6137.08</v>
      </c>
      <c r="DM133" s="381">
        <v>177221.30000000031</v>
      </c>
      <c r="DN133" s="381">
        <v>13476.220000000321</v>
      </c>
      <c r="DO133" s="381">
        <v>7.999999999992724E-2</v>
      </c>
      <c r="DP133" s="381">
        <v>13476.300000000321</v>
      </c>
      <c r="DQ133" s="383"/>
      <c r="DR133" s="381"/>
      <c r="DS133" s="388"/>
      <c r="DT133" s="388"/>
    </row>
    <row r="134" spans="1:124" ht="14.25">
      <c r="A134" s="380">
        <v>551</v>
      </c>
      <c r="B134" s="391">
        <v>9162056</v>
      </c>
      <c r="C134" s="68">
        <v>2056</v>
      </c>
      <c r="D134" s="120"/>
      <c r="E134" s="120" t="s">
        <v>229</v>
      </c>
      <c r="F134" s="120"/>
      <c r="G134" s="120"/>
      <c r="H134" s="68"/>
      <c r="I134" s="381">
        <v>121049.09000000008</v>
      </c>
      <c r="J134" s="381">
        <v>2681</v>
      </c>
      <c r="K134" s="381">
        <v>0</v>
      </c>
      <c r="L134" s="381">
        <v>162.84000000000015</v>
      </c>
      <c r="M134" s="381">
        <v>0</v>
      </c>
      <c r="N134" s="381">
        <v>0</v>
      </c>
      <c r="O134" s="381">
        <v>123892.93000000008</v>
      </c>
      <c r="P134" s="381"/>
      <c r="Q134" s="381">
        <v>641610</v>
      </c>
      <c r="R134" s="381">
        <v>0</v>
      </c>
      <c r="S134" s="381">
        <v>0</v>
      </c>
      <c r="T134" s="381">
        <v>0</v>
      </c>
      <c r="U134" s="381">
        <v>14700</v>
      </c>
      <c r="V134" s="381">
        <v>31381</v>
      </c>
      <c r="W134" s="381">
        <v>0</v>
      </c>
      <c r="X134" s="381">
        <v>0</v>
      </c>
      <c r="Y134" s="381">
        <v>2400</v>
      </c>
      <c r="Z134" s="381">
        <v>0</v>
      </c>
      <c r="AA134" s="381">
        <v>0</v>
      </c>
      <c r="AB134" s="381">
        <v>0</v>
      </c>
      <c r="AC134" s="381">
        <v>0</v>
      </c>
      <c r="AD134" s="381">
        <v>6162</v>
      </c>
      <c r="AE134" s="381">
        <v>0</v>
      </c>
      <c r="AF134" s="381">
        <v>0</v>
      </c>
      <c r="AG134" s="381">
        <v>0</v>
      </c>
      <c r="AH134" s="381">
        <v>0</v>
      </c>
      <c r="AI134" s="381">
        <v>0</v>
      </c>
      <c r="AJ134" s="381">
        <v>0</v>
      </c>
      <c r="AK134" s="381">
        <v>0</v>
      </c>
      <c r="AL134" s="381">
        <v>696253</v>
      </c>
      <c r="AM134" s="381"/>
      <c r="AN134" s="381">
        <v>334398</v>
      </c>
      <c r="AO134" s="381">
        <v>1200</v>
      </c>
      <c r="AP134" s="381">
        <v>108032</v>
      </c>
      <c r="AQ134" s="381">
        <v>0</v>
      </c>
      <c r="AR134" s="381">
        <v>53095</v>
      </c>
      <c r="AS134" s="381">
        <v>0</v>
      </c>
      <c r="AT134" s="381">
        <v>0</v>
      </c>
      <c r="AU134" s="381">
        <v>2391</v>
      </c>
      <c r="AV134" s="381">
        <v>4340</v>
      </c>
      <c r="AW134" s="381">
        <v>311</v>
      </c>
      <c r="AX134" s="381">
        <v>2500</v>
      </c>
      <c r="AY134" s="381">
        <v>7287</v>
      </c>
      <c r="AZ134" s="381">
        <v>4700</v>
      </c>
      <c r="BA134" s="381">
        <v>9800</v>
      </c>
      <c r="BB134" s="381">
        <v>3500</v>
      </c>
      <c r="BC134" s="381">
        <v>19371</v>
      </c>
      <c r="BD134" s="381">
        <v>4691</v>
      </c>
      <c r="BE134" s="381">
        <v>14556</v>
      </c>
      <c r="BF134" s="381">
        <v>27184</v>
      </c>
      <c r="BG134" s="381">
        <v>0</v>
      </c>
      <c r="BH134" s="381">
        <v>0</v>
      </c>
      <c r="BI134" s="381">
        <v>3000</v>
      </c>
      <c r="BJ134" s="381">
        <v>0</v>
      </c>
      <c r="BK134" s="381">
        <v>10080</v>
      </c>
      <c r="BL134" s="381">
        <v>1250</v>
      </c>
      <c r="BM134" s="381">
        <v>1250</v>
      </c>
      <c r="BN134" s="381">
        <v>0</v>
      </c>
      <c r="BO134" s="381">
        <v>3571</v>
      </c>
      <c r="BP134" s="381">
        <v>6062</v>
      </c>
      <c r="BQ134" s="381">
        <v>5506</v>
      </c>
      <c r="BR134" s="381">
        <v>0</v>
      </c>
      <c r="BS134" s="381">
        <v>18244</v>
      </c>
      <c r="BT134" s="381">
        <v>18496</v>
      </c>
      <c r="BU134" s="381">
        <v>14802</v>
      </c>
      <c r="BV134" s="381">
        <v>0</v>
      </c>
      <c r="BW134" s="381">
        <v>0</v>
      </c>
      <c r="BX134" s="381">
        <v>0</v>
      </c>
      <c r="BY134" s="382">
        <v>0</v>
      </c>
      <c r="BZ134" s="382">
        <v>0</v>
      </c>
      <c r="CA134" s="382">
        <v>679617</v>
      </c>
      <c r="CB134" s="381"/>
      <c r="CC134" s="381">
        <v>5136</v>
      </c>
      <c r="CD134" s="381">
        <v>0</v>
      </c>
      <c r="CE134" s="381">
        <v>0</v>
      </c>
      <c r="CF134" s="381">
        <v>5136</v>
      </c>
      <c r="CG134" s="381"/>
      <c r="CH134" s="381">
        <v>0</v>
      </c>
      <c r="CI134" s="381">
        <v>36923</v>
      </c>
      <c r="CJ134" s="381">
        <v>0</v>
      </c>
      <c r="CK134" s="381">
        <v>0</v>
      </c>
      <c r="CL134" s="381">
        <v>0</v>
      </c>
      <c r="CM134" s="381">
        <v>0</v>
      </c>
      <c r="CN134" s="381">
        <v>0</v>
      </c>
      <c r="CO134" s="381">
        <v>0</v>
      </c>
      <c r="CP134" s="381">
        <v>36923</v>
      </c>
      <c r="CQ134" s="381"/>
      <c r="CR134" s="381">
        <v>140366.09000000008</v>
      </c>
      <c r="CS134" s="381">
        <v>0</v>
      </c>
      <c r="CT134" s="381">
        <v>0</v>
      </c>
      <c r="CU134" s="381">
        <v>-31624.16</v>
      </c>
      <c r="CV134" s="381">
        <v>0</v>
      </c>
      <c r="CW134" s="381">
        <v>0</v>
      </c>
      <c r="CX134" s="381">
        <v>108741.93000000008</v>
      </c>
      <c r="CY134" s="381"/>
      <c r="CZ134" s="117"/>
      <c r="DA134" s="384"/>
      <c r="DB134" s="117"/>
      <c r="DC134" s="384"/>
      <c r="DD134" s="385"/>
      <c r="DE134" s="117"/>
      <c r="DF134" s="117"/>
      <c r="DG134" s="381"/>
      <c r="DH134" s="386"/>
      <c r="DI134" s="387"/>
      <c r="DJ134" s="381"/>
      <c r="DK134" s="381">
        <v>123730.09000000008</v>
      </c>
      <c r="DL134" s="381">
        <v>162.84000000000015</v>
      </c>
      <c r="DM134" s="381">
        <v>123892.93000000008</v>
      </c>
      <c r="DN134" s="381">
        <v>140366.09000000008</v>
      </c>
      <c r="DO134" s="381">
        <v>-31624.16</v>
      </c>
      <c r="DP134" s="381">
        <v>108741.93000000008</v>
      </c>
      <c r="DQ134" s="383"/>
      <c r="DR134" s="381"/>
      <c r="DS134" s="388"/>
      <c r="DT134" s="388"/>
    </row>
    <row r="135" spans="1:124" ht="14.25">
      <c r="A135" s="380">
        <v>786</v>
      </c>
      <c r="B135" s="391">
        <v>9163069</v>
      </c>
      <c r="C135" s="68">
        <v>3069</v>
      </c>
      <c r="D135" s="120"/>
      <c r="E135" s="120" t="s">
        <v>259</v>
      </c>
      <c r="F135" s="120"/>
      <c r="G135" s="120"/>
      <c r="H135" s="68"/>
      <c r="I135" s="381">
        <v>-477547.98999999976</v>
      </c>
      <c r="J135" s="381">
        <v>12020.68</v>
      </c>
      <c r="K135" s="381">
        <v>0</v>
      </c>
      <c r="L135" s="381">
        <v>7398.48</v>
      </c>
      <c r="M135" s="381">
        <v>0</v>
      </c>
      <c r="N135" s="381">
        <v>0</v>
      </c>
      <c r="O135" s="381">
        <v>-458128.82999999978</v>
      </c>
      <c r="P135" s="381"/>
      <c r="Q135" s="381">
        <v>1199973</v>
      </c>
      <c r="R135" s="381">
        <v>0</v>
      </c>
      <c r="S135" s="381">
        <v>96108</v>
      </c>
      <c r="T135" s="381">
        <v>0</v>
      </c>
      <c r="U135" s="381">
        <v>68640</v>
      </c>
      <c r="V135" s="381">
        <v>46637</v>
      </c>
      <c r="W135" s="381">
        <v>0</v>
      </c>
      <c r="X135" s="381">
        <v>500</v>
      </c>
      <c r="Y135" s="381">
        <v>43049</v>
      </c>
      <c r="Z135" s="381">
        <v>1500</v>
      </c>
      <c r="AA135" s="381">
        <v>0</v>
      </c>
      <c r="AB135" s="381">
        <v>0</v>
      </c>
      <c r="AC135" s="381">
        <v>25000</v>
      </c>
      <c r="AD135" s="381">
        <v>500</v>
      </c>
      <c r="AE135" s="381">
        <v>0</v>
      </c>
      <c r="AF135" s="381">
        <v>0</v>
      </c>
      <c r="AG135" s="381">
        <v>0</v>
      </c>
      <c r="AH135" s="381">
        <v>0</v>
      </c>
      <c r="AI135" s="381">
        <v>0</v>
      </c>
      <c r="AJ135" s="381">
        <v>0</v>
      </c>
      <c r="AK135" s="381">
        <v>0</v>
      </c>
      <c r="AL135" s="381">
        <v>1481907</v>
      </c>
      <c r="AM135" s="381"/>
      <c r="AN135" s="381">
        <v>781762</v>
      </c>
      <c r="AO135" s="381">
        <v>1200</v>
      </c>
      <c r="AP135" s="381">
        <v>345551</v>
      </c>
      <c r="AQ135" s="381">
        <v>26878</v>
      </c>
      <c r="AR135" s="381">
        <v>98673</v>
      </c>
      <c r="AS135" s="381">
        <v>0</v>
      </c>
      <c r="AT135" s="381">
        <v>83851</v>
      </c>
      <c r="AU135" s="381">
        <v>6739</v>
      </c>
      <c r="AV135" s="381">
        <v>2000</v>
      </c>
      <c r="AW135" s="381">
        <v>8675</v>
      </c>
      <c r="AX135" s="381">
        <v>2000</v>
      </c>
      <c r="AY135" s="381">
        <v>11194</v>
      </c>
      <c r="AZ135" s="381">
        <v>3277</v>
      </c>
      <c r="BA135" s="381">
        <v>37000</v>
      </c>
      <c r="BB135" s="381">
        <v>2310</v>
      </c>
      <c r="BC135" s="381">
        <v>27200</v>
      </c>
      <c r="BD135" s="381">
        <v>24326</v>
      </c>
      <c r="BE135" s="381">
        <v>4400</v>
      </c>
      <c r="BF135" s="381">
        <v>58119</v>
      </c>
      <c r="BG135" s="381">
        <v>5205</v>
      </c>
      <c r="BH135" s="381">
        <v>0</v>
      </c>
      <c r="BI135" s="381">
        <v>6500</v>
      </c>
      <c r="BJ135" s="381">
        <v>1457</v>
      </c>
      <c r="BK135" s="381">
        <v>500</v>
      </c>
      <c r="BL135" s="381">
        <v>100</v>
      </c>
      <c r="BM135" s="381">
        <v>4263</v>
      </c>
      <c r="BN135" s="381">
        <v>0</v>
      </c>
      <c r="BO135" s="381">
        <v>1748</v>
      </c>
      <c r="BP135" s="381">
        <v>12146</v>
      </c>
      <c r="BQ135" s="381">
        <v>0</v>
      </c>
      <c r="BR135" s="381">
        <v>42400</v>
      </c>
      <c r="BS135" s="381">
        <v>1200</v>
      </c>
      <c r="BT135" s="381">
        <v>8411</v>
      </c>
      <c r="BU135" s="381">
        <v>26299</v>
      </c>
      <c r="BV135" s="381">
        <v>0</v>
      </c>
      <c r="BW135" s="381">
        <v>0</v>
      </c>
      <c r="BX135" s="381">
        <v>0</v>
      </c>
      <c r="BY135" s="382">
        <v>0</v>
      </c>
      <c r="BZ135" s="382">
        <v>0</v>
      </c>
      <c r="CA135" s="382">
        <v>1635384</v>
      </c>
      <c r="CB135" s="381"/>
      <c r="CC135" s="381">
        <v>6621</v>
      </c>
      <c r="CD135" s="381">
        <v>0</v>
      </c>
      <c r="CE135" s="381">
        <v>0</v>
      </c>
      <c r="CF135" s="381">
        <v>6621</v>
      </c>
      <c r="CG135" s="381"/>
      <c r="CH135" s="381">
        <v>0</v>
      </c>
      <c r="CI135" s="381">
        <v>7398</v>
      </c>
      <c r="CJ135" s="381">
        <v>0</v>
      </c>
      <c r="CK135" s="381">
        <v>0</v>
      </c>
      <c r="CL135" s="381">
        <v>0</v>
      </c>
      <c r="CM135" s="381">
        <v>0</v>
      </c>
      <c r="CN135" s="381">
        <v>6621</v>
      </c>
      <c r="CO135" s="381">
        <v>0</v>
      </c>
      <c r="CP135" s="381">
        <v>14019</v>
      </c>
      <c r="CQ135" s="381"/>
      <c r="CR135" s="381">
        <v>-619004.30999999982</v>
      </c>
      <c r="CS135" s="381">
        <v>0</v>
      </c>
      <c r="CT135" s="381">
        <v>0</v>
      </c>
      <c r="CU135" s="381">
        <v>0.47999999999956344</v>
      </c>
      <c r="CV135" s="381">
        <v>0</v>
      </c>
      <c r="CW135" s="381">
        <v>0</v>
      </c>
      <c r="CX135" s="381">
        <v>-619003.82999999984</v>
      </c>
      <c r="CY135" s="381"/>
      <c r="CZ135" s="117"/>
      <c r="DA135" s="384"/>
      <c r="DB135" s="117"/>
      <c r="DC135" s="384"/>
      <c r="DD135" s="385"/>
      <c r="DE135" s="117"/>
      <c r="DF135" s="117"/>
      <c r="DG135" s="381"/>
      <c r="DH135" s="386"/>
      <c r="DI135" s="387"/>
      <c r="DJ135" s="381"/>
      <c r="DK135" s="381">
        <v>-465527.30999999976</v>
      </c>
      <c r="DL135" s="381">
        <v>7398.48</v>
      </c>
      <c r="DM135" s="381">
        <v>-458128.82999999978</v>
      </c>
      <c r="DN135" s="381">
        <v>-619004.30999999982</v>
      </c>
      <c r="DO135" s="381">
        <v>0.47999999999956344</v>
      </c>
      <c r="DP135" s="381">
        <v>-619003.82999999984</v>
      </c>
      <c r="DQ135" s="383"/>
      <c r="DR135" s="381"/>
      <c r="DS135" s="388"/>
      <c r="DT135" s="388"/>
    </row>
    <row r="136" spans="1:124" ht="14.25">
      <c r="A136" s="380">
        <v>764</v>
      </c>
      <c r="B136" s="391">
        <v>9162085</v>
      </c>
      <c r="C136" s="68">
        <v>2085</v>
      </c>
      <c r="D136" s="120"/>
      <c r="E136" s="120" t="s">
        <v>251</v>
      </c>
      <c r="F136" s="120"/>
      <c r="G136" s="120"/>
      <c r="H136" s="68"/>
      <c r="I136" s="381">
        <v>-154172.21999999994</v>
      </c>
      <c r="J136" s="381">
        <v>5182.5400000000009</v>
      </c>
      <c r="K136" s="381">
        <v>0</v>
      </c>
      <c r="L136" s="381">
        <v>28630.370000000003</v>
      </c>
      <c r="M136" s="381">
        <v>0</v>
      </c>
      <c r="N136" s="381">
        <v>0</v>
      </c>
      <c r="O136" s="381">
        <v>-120359.30999999994</v>
      </c>
      <c r="P136" s="381"/>
      <c r="Q136" s="381">
        <v>525582</v>
      </c>
      <c r="R136" s="381">
        <v>0</v>
      </c>
      <c r="S136" s="381">
        <v>25868</v>
      </c>
      <c r="T136" s="381">
        <v>0</v>
      </c>
      <c r="U136" s="381">
        <v>9805</v>
      </c>
      <c r="V136" s="381">
        <v>29303</v>
      </c>
      <c r="W136" s="381">
        <v>0</v>
      </c>
      <c r="X136" s="381">
        <v>0</v>
      </c>
      <c r="Y136" s="381">
        <v>23000</v>
      </c>
      <c r="Z136" s="381">
        <v>0</v>
      </c>
      <c r="AA136" s="381">
        <v>0</v>
      </c>
      <c r="AB136" s="381">
        <v>0</v>
      </c>
      <c r="AC136" s="381">
        <v>7000</v>
      </c>
      <c r="AD136" s="381">
        <v>0</v>
      </c>
      <c r="AE136" s="381">
        <v>0</v>
      </c>
      <c r="AF136" s="381">
        <v>0</v>
      </c>
      <c r="AG136" s="381">
        <v>0</v>
      </c>
      <c r="AH136" s="381">
        <v>0</v>
      </c>
      <c r="AI136" s="381">
        <v>0</v>
      </c>
      <c r="AJ136" s="381">
        <v>0</v>
      </c>
      <c r="AK136" s="381">
        <v>0</v>
      </c>
      <c r="AL136" s="381">
        <v>620558</v>
      </c>
      <c r="AM136" s="381"/>
      <c r="AN136" s="381">
        <v>308233</v>
      </c>
      <c r="AO136" s="381">
        <v>4000</v>
      </c>
      <c r="AP136" s="381">
        <v>108237</v>
      </c>
      <c r="AQ136" s="381">
        <v>0</v>
      </c>
      <c r="AR136" s="381">
        <v>32108</v>
      </c>
      <c r="AS136" s="381">
        <v>0</v>
      </c>
      <c r="AT136" s="381">
        <v>31719</v>
      </c>
      <c r="AU136" s="381">
        <v>2671</v>
      </c>
      <c r="AV136" s="381">
        <v>2584</v>
      </c>
      <c r="AW136" s="381">
        <v>405</v>
      </c>
      <c r="AX136" s="381">
        <v>0</v>
      </c>
      <c r="AY136" s="381">
        <v>2892</v>
      </c>
      <c r="AZ136" s="381">
        <v>2384</v>
      </c>
      <c r="BA136" s="381">
        <v>12592</v>
      </c>
      <c r="BB136" s="381">
        <v>959</v>
      </c>
      <c r="BC136" s="381">
        <v>6857</v>
      </c>
      <c r="BD136" s="381">
        <v>5364</v>
      </c>
      <c r="BE136" s="381">
        <v>32878</v>
      </c>
      <c r="BF136" s="381">
        <v>24055</v>
      </c>
      <c r="BG136" s="381">
        <v>0</v>
      </c>
      <c r="BH136" s="381">
        <v>0</v>
      </c>
      <c r="BI136" s="381">
        <v>0</v>
      </c>
      <c r="BJ136" s="381">
        <v>0</v>
      </c>
      <c r="BK136" s="381">
        <v>6848</v>
      </c>
      <c r="BL136" s="381">
        <v>1612</v>
      </c>
      <c r="BM136" s="381">
        <v>1396</v>
      </c>
      <c r="BN136" s="381">
        <v>0</v>
      </c>
      <c r="BO136" s="381">
        <v>2790</v>
      </c>
      <c r="BP136" s="381">
        <v>1695</v>
      </c>
      <c r="BQ136" s="381">
        <v>3380</v>
      </c>
      <c r="BR136" s="381">
        <v>0</v>
      </c>
      <c r="BS136" s="381">
        <v>15982</v>
      </c>
      <c r="BT136" s="381">
        <v>22652</v>
      </c>
      <c r="BU136" s="381">
        <v>10434</v>
      </c>
      <c r="BV136" s="381">
        <v>0</v>
      </c>
      <c r="BW136" s="381">
        <v>0</v>
      </c>
      <c r="BX136" s="381">
        <v>0</v>
      </c>
      <c r="BY136" s="382">
        <v>0</v>
      </c>
      <c r="BZ136" s="382">
        <v>0</v>
      </c>
      <c r="CA136" s="382">
        <v>644727</v>
      </c>
      <c r="CB136" s="381"/>
      <c r="CC136" s="381">
        <v>4765</v>
      </c>
      <c r="CD136" s="381">
        <v>0</v>
      </c>
      <c r="CE136" s="381">
        <v>0</v>
      </c>
      <c r="CF136" s="381">
        <v>4765</v>
      </c>
      <c r="CG136" s="381"/>
      <c r="CH136" s="381">
        <v>0</v>
      </c>
      <c r="CI136" s="381">
        <v>33395</v>
      </c>
      <c r="CJ136" s="381">
        <v>0</v>
      </c>
      <c r="CK136" s="381">
        <v>0</v>
      </c>
      <c r="CL136" s="381">
        <v>0</v>
      </c>
      <c r="CM136" s="381">
        <v>0</v>
      </c>
      <c r="CN136" s="381">
        <v>0</v>
      </c>
      <c r="CO136" s="381">
        <v>0</v>
      </c>
      <c r="CP136" s="381">
        <v>33395</v>
      </c>
      <c r="CQ136" s="381"/>
      <c r="CR136" s="381">
        <v>-173158.67999999993</v>
      </c>
      <c r="CS136" s="381">
        <v>0</v>
      </c>
      <c r="CT136" s="381">
        <v>0</v>
      </c>
      <c r="CU136" s="381">
        <v>0.37000000000261934</v>
      </c>
      <c r="CV136" s="381">
        <v>0</v>
      </c>
      <c r="CW136" s="381">
        <v>0</v>
      </c>
      <c r="CX136" s="381">
        <v>-173158.30999999994</v>
      </c>
      <c r="CY136" s="381"/>
      <c r="CZ136" s="117"/>
      <c r="DA136" s="384"/>
      <c r="DB136" s="117"/>
      <c r="DC136" s="384"/>
      <c r="DD136" s="385"/>
      <c r="DE136" s="117"/>
      <c r="DF136" s="117"/>
      <c r="DG136" s="381"/>
      <c r="DH136" s="386"/>
      <c r="DI136" s="387"/>
      <c r="DJ136" s="381"/>
      <c r="DK136" s="381">
        <v>-148989.67999999993</v>
      </c>
      <c r="DL136" s="381">
        <v>28630.370000000003</v>
      </c>
      <c r="DM136" s="381">
        <v>-120359.30999999994</v>
      </c>
      <c r="DN136" s="381">
        <v>-173158.67999999993</v>
      </c>
      <c r="DO136" s="381">
        <v>0.37000000000261934</v>
      </c>
      <c r="DP136" s="381">
        <v>-173158.30999999994</v>
      </c>
      <c r="DQ136" s="383"/>
      <c r="DR136" s="381"/>
      <c r="DS136" s="388"/>
      <c r="DT136" s="388"/>
    </row>
    <row r="137" spans="1:124" ht="14.25">
      <c r="A137" s="380">
        <v>851</v>
      </c>
      <c r="B137" s="391">
        <v>9163352</v>
      </c>
      <c r="C137" s="68">
        <v>3352</v>
      </c>
      <c r="D137" s="120"/>
      <c r="E137" s="120" t="s">
        <v>206</v>
      </c>
      <c r="F137" s="120"/>
      <c r="G137" s="120"/>
      <c r="H137" s="68"/>
      <c r="I137" s="381">
        <v>77612.810000000012</v>
      </c>
      <c r="J137" s="381">
        <v>4670.2100000000009</v>
      </c>
      <c r="K137" s="381">
        <v>0</v>
      </c>
      <c r="L137" s="381">
        <v>0</v>
      </c>
      <c r="M137" s="381">
        <v>0</v>
      </c>
      <c r="N137" s="381">
        <v>-2821.419999999991</v>
      </c>
      <c r="O137" s="381">
        <v>79461.600000000035</v>
      </c>
      <c r="P137" s="381"/>
      <c r="Q137" s="381">
        <v>268998</v>
      </c>
      <c r="R137" s="381">
        <v>0</v>
      </c>
      <c r="S137" s="381">
        <v>13040</v>
      </c>
      <c r="T137" s="381">
        <v>0</v>
      </c>
      <c r="U137" s="381">
        <v>7575</v>
      </c>
      <c r="V137" s="381">
        <v>15412</v>
      </c>
      <c r="W137" s="381">
        <v>0</v>
      </c>
      <c r="X137" s="381">
        <v>0</v>
      </c>
      <c r="Y137" s="381">
        <v>0</v>
      </c>
      <c r="Z137" s="381">
        <v>0</v>
      </c>
      <c r="AA137" s="381">
        <v>0</v>
      </c>
      <c r="AB137" s="381">
        <v>0</v>
      </c>
      <c r="AC137" s="381">
        <v>6500</v>
      </c>
      <c r="AD137" s="381">
        <v>0</v>
      </c>
      <c r="AE137" s="381">
        <v>0</v>
      </c>
      <c r="AF137" s="381">
        <v>38591</v>
      </c>
      <c r="AG137" s="381">
        <v>16500</v>
      </c>
      <c r="AH137" s="381">
        <v>0</v>
      </c>
      <c r="AI137" s="381">
        <v>0</v>
      </c>
      <c r="AJ137" s="381">
        <v>0</v>
      </c>
      <c r="AK137" s="381">
        <v>0</v>
      </c>
      <c r="AL137" s="381">
        <v>366616</v>
      </c>
      <c r="AM137" s="381"/>
      <c r="AN137" s="381">
        <v>126127</v>
      </c>
      <c r="AO137" s="381">
        <v>6000</v>
      </c>
      <c r="AP137" s="381">
        <v>49143</v>
      </c>
      <c r="AQ137" s="381">
        <v>8704</v>
      </c>
      <c r="AR137" s="381">
        <v>25803</v>
      </c>
      <c r="AS137" s="381">
        <v>0</v>
      </c>
      <c r="AT137" s="381">
        <v>0</v>
      </c>
      <c r="AU137" s="381">
        <v>500</v>
      </c>
      <c r="AV137" s="381">
        <v>2100</v>
      </c>
      <c r="AW137" s="381">
        <v>37</v>
      </c>
      <c r="AX137" s="381">
        <v>3994</v>
      </c>
      <c r="AY137" s="381">
        <v>4386</v>
      </c>
      <c r="AZ137" s="381">
        <v>525</v>
      </c>
      <c r="BA137" s="381">
        <v>1000</v>
      </c>
      <c r="BB137" s="381">
        <v>867</v>
      </c>
      <c r="BC137" s="381">
        <v>8400</v>
      </c>
      <c r="BD137" s="381">
        <v>778</v>
      </c>
      <c r="BE137" s="381">
        <v>2000</v>
      </c>
      <c r="BF137" s="381">
        <v>30771</v>
      </c>
      <c r="BG137" s="381">
        <v>3700</v>
      </c>
      <c r="BH137" s="381">
        <v>0</v>
      </c>
      <c r="BI137" s="381">
        <v>5550</v>
      </c>
      <c r="BJ137" s="381">
        <v>1850</v>
      </c>
      <c r="BK137" s="381">
        <v>0</v>
      </c>
      <c r="BL137" s="381">
        <v>0</v>
      </c>
      <c r="BM137" s="381">
        <v>0</v>
      </c>
      <c r="BN137" s="381">
        <v>0</v>
      </c>
      <c r="BO137" s="381">
        <v>2719</v>
      </c>
      <c r="BP137" s="381">
        <v>467</v>
      </c>
      <c r="BQ137" s="381">
        <v>0</v>
      </c>
      <c r="BR137" s="381">
        <v>7334</v>
      </c>
      <c r="BS137" s="381">
        <v>12545</v>
      </c>
      <c r="BT137" s="381">
        <v>8030</v>
      </c>
      <c r="BU137" s="381">
        <v>15865</v>
      </c>
      <c r="BV137" s="381">
        <v>0</v>
      </c>
      <c r="BW137" s="381">
        <v>0</v>
      </c>
      <c r="BX137" s="381">
        <v>0</v>
      </c>
      <c r="BY137" s="382">
        <v>67334</v>
      </c>
      <c r="BZ137" s="382">
        <v>733</v>
      </c>
      <c r="CA137" s="382">
        <v>397262</v>
      </c>
      <c r="CB137" s="381"/>
      <c r="CC137" s="381">
        <v>0</v>
      </c>
      <c r="CD137" s="381">
        <v>0</v>
      </c>
      <c r="CE137" s="381">
        <v>0</v>
      </c>
      <c r="CF137" s="381">
        <v>0</v>
      </c>
      <c r="CG137" s="381"/>
      <c r="CH137" s="381">
        <v>0</v>
      </c>
      <c r="CI137" s="381">
        <v>0</v>
      </c>
      <c r="CJ137" s="381">
        <v>0</v>
      </c>
      <c r="CK137" s="381">
        <v>0</v>
      </c>
      <c r="CL137" s="381">
        <v>0</v>
      </c>
      <c r="CM137" s="381">
        <v>0</v>
      </c>
      <c r="CN137" s="381">
        <v>0</v>
      </c>
      <c r="CO137" s="381">
        <v>0</v>
      </c>
      <c r="CP137" s="381">
        <v>0</v>
      </c>
      <c r="CQ137" s="381"/>
      <c r="CR137" s="381">
        <v>64613.020000000026</v>
      </c>
      <c r="CS137" s="381">
        <v>0</v>
      </c>
      <c r="CT137" s="381">
        <v>0</v>
      </c>
      <c r="CU137" s="381">
        <v>0</v>
      </c>
      <c r="CV137" s="381">
        <v>0</v>
      </c>
      <c r="CW137" s="381">
        <v>-15797.419999999991</v>
      </c>
      <c r="CX137" s="381">
        <v>48815.600000000035</v>
      </c>
      <c r="CY137" s="381"/>
      <c r="CZ137" s="117"/>
      <c r="DA137" s="384"/>
      <c r="DB137" s="117"/>
      <c r="DC137" s="384"/>
      <c r="DD137" s="385"/>
      <c r="DE137" s="117"/>
      <c r="DF137" s="117"/>
      <c r="DG137" s="381"/>
      <c r="DH137" s="386"/>
      <c r="DI137" s="387"/>
      <c r="DJ137" s="381"/>
      <c r="DK137" s="381">
        <v>79461.600000000035</v>
      </c>
      <c r="DL137" s="381">
        <v>0</v>
      </c>
      <c r="DM137" s="381">
        <v>79461.600000000035</v>
      </c>
      <c r="DN137" s="381">
        <v>48815.600000000035</v>
      </c>
      <c r="DO137" s="381">
        <v>0</v>
      </c>
      <c r="DP137" s="381">
        <v>48815.600000000035</v>
      </c>
      <c r="DQ137" s="383"/>
      <c r="DR137" s="381"/>
      <c r="DS137" s="388"/>
      <c r="DT137" s="388"/>
    </row>
    <row r="138" spans="1:124" ht="15">
      <c r="A138" s="380">
        <v>567</v>
      </c>
      <c r="B138" s="391">
        <v>9163335</v>
      </c>
      <c r="C138" s="68">
        <v>3335</v>
      </c>
      <c r="D138" s="120"/>
      <c r="E138" s="120" t="s">
        <v>770</v>
      </c>
      <c r="F138" s="120"/>
      <c r="G138" s="120"/>
      <c r="H138" s="68"/>
      <c r="I138" s="381">
        <v>-29664.979999999927</v>
      </c>
      <c r="J138" s="381">
        <v>3009.95</v>
      </c>
      <c r="K138" s="381">
        <v>0</v>
      </c>
      <c r="L138" s="381">
        <v>0</v>
      </c>
      <c r="M138" s="381">
        <v>0</v>
      </c>
      <c r="N138" s="381">
        <v>23986.050000000003</v>
      </c>
      <c r="O138" s="381">
        <v>-2668.9799999999232</v>
      </c>
      <c r="P138" s="389"/>
      <c r="Q138" s="381">
        <v>621820</v>
      </c>
      <c r="R138" s="381">
        <v>0</v>
      </c>
      <c r="S138" s="381">
        <v>25750</v>
      </c>
      <c r="T138" s="381">
        <v>0</v>
      </c>
      <c r="U138" s="381">
        <v>25775</v>
      </c>
      <c r="V138" s="381">
        <v>37589</v>
      </c>
      <c r="W138" s="381">
        <v>0</v>
      </c>
      <c r="X138" s="381">
        <v>2700</v>
      </c>
      <c r="Y138" s="381">
        <v>20888</v>
      </c>
      <c r="Z138" s="381">
        <v>7435</v>
      </c>
      <c r="AA138" s="381">
        <v>0</v>
      </c>
      <c r="AB138" s="381">
        <v>0</v>
      </c>
      <c r="AC138" s="381">
        <v>17500</v>
      </c>
      <c r="AD138" s="381">
        <v>2600</v>
      </c>
      <c r="AE138" s="381">
        <v>0</v>
      </c>
      <c r="AF138" s="381">
        <v>61000</v>
      </c>
      <c r="AG138" s="381">
        <v>0</v>
      </c>
      <c r="AH138" s="381">
        <v>0</v>
      </c>
      <c r="AI138" s="381">
        <v>0</v>
      </c>
      <c r="AJ138" s="381">
        <v>0</v>
      </c>
      <c r="AK138" s="381">
        <v>0</v>
      </c>
      <c r="AL138" s="381">
        <v>823057</v>
      </c>
      <c r="AM138" s="389"/>
      <c r="AN138" s="381">
        <v>343407</v>
      </c>
      <c r="AO138" s="381">
        <v>1368</v>
      </c>
      <c r="AP138" s="381">
        <v>161243</v>
      </c>
      <c r="AQ138" s="381">
        <v>0</v>
      </c>
      <c r="AR138" s="381">
        <v>34665</v>
      </c>
      <c r="AS138" s="381">
        <v>0</v>
      </c>
      <c r="AT138" s="381">
        <v>21536</v>
      </c>
      <c r="AU138" s="381">
        <v>3140</v>
      </c>
      <c r="AV138" s="381">
        <v>3000</v>
      </c>
      <c r="AW138" s="381">
        <v>1809</v>
      </c>
      <c r="AX138" s="381">
        <v>0</v>
      </c>
      <c r="AY138" s="381">
        <v>19972</v>
      </c>
      <c r="AZ138" s="381">
        <v>6741</v>
      </c>
      <c r="BA138" s="381">
        <v>18573</v>
      </c>
      <c r="BB138" s="381">
        <v>1158</v>
      </c>
      <c r="BC138" s="381">
        <v>12606</v>
      </c>
      <c r="BD138" s="381">
        <v>2894</v>
      </c>
      <c r="BE138" s="381">
        <v>547</v>
      </c>
      <c r="BF138" s="381">
        <v>47932</v>
      </c>
      <c r="BG138" s="381">
        <v>3245</v>
      </c>
      <c r="BH138" s="381">
        <v>0</v>
      </c>
      <c r="BI138" s="381">
        <v>196</v>
      </c>
      <c r="BJ138" s="381">
        <v>0</v>
      </c>
      <c r="BK138" s="381">
        <v>0</v>
      </c>
      <c r="BL138" s="381">
        <v>0</v>
      </c>
      <c r="BM138" s="381">
        <v>0</v>
      </c>
      <c r="BN138" s="381">
        <v>0</v>
      </c>
      <c r="BO138" s="381">
        <v>3508</v>
      </c>
      <c r="BP138" s="381">
        <v>5355</v>
      </c>
      <c r="BQ138" s="381">
        <v>0</v>
      </c>
      <c r="BR138" s="381">
        <v>28652</v>
      </c>
      <c r="BS138" s="381">
        <v>1000</v>
      </c>
      <c r="BT138" s="381">
        <v>20202</v>
      </c>
      <c r="BU138" s="381">
        <v>26260</v>
      </c>
      <c r="BV138" s="381">
        <v>0</v>
      </c>
      <c r="BW138" s="381">
        <v>0</v>
      </c>
      <c r="BX138" s="381">
        <v>0</v>
      </c>
      <c r="BY138" s="382">
        <v>50399</v>
      </c>
      <c r="BZ138" s="382">
        <v>700</v>
      </c>
      <c r="CA138" s="382">
        <v>820108</v>
      </c>
      <c r="CB138" s="389"/>
      <c r="CC138" s="381">
        <v>0</v>
      </c>
      <c r="CD138" s="381">
        <v>0</v>
      </c>
      <c r="CE138" s="381">
        <v>0</v>
      </c>
      <c r="CF138" s="381">
        <v>0</v>
      </c>
      <c r="CG138" s="389"/>
      <c r="CH138" s="381">
        <v>0</v>
      </c>
      <c r="CI138" s="381">
        <v>0</v>
      </c>
      <c r="CJ138" s="381">
        <v>0</v>
      </c>
      <c r="CK138" s="381">
        <v>0</v>
      </c>
      <c r="CL138" s="381">
        <v>0</v>
      </c>
      <c r="CM138" s="381">
        <v>0</v>
      </c>
      <c r="CN138" s="381">
        <v>0</v>
      </c>
      <c r="CO138" s="381">
        <v>0</v>
      </c>
      <c r="CP138" s="381">
        <v>0</v>
      </c>
      <c r="CQ138" s="390"/>
      <c r="CR138" s="381">
        <v>-33607.029999999926</v>
      </c>
      <c r="CS138" s="381">
        <v>0</v>
      </c>
      <c r="CT138" s="381">
        <v>0</v>
      </c>
      <c r="CU138" s="381">
        <v>0</v>
      </c>
      <c r="CV138" s="381">
        <v>0</v>
      </c>
      <c r="CW138" s="381">
        <v>33887.050000000003</v>
      </c>
      <c r="CX138" s="381">
        <v>280.02000000007683</v>
      </c>
      <c r="CY138" s="381"/>
      <c r="CZ138" s="117"/>
      <c r="DA138" s="384"/>
      <c r="DB138" s="117"/>
      <c r="DC138" s="384"/>
      <c r="DD138" s="385"/>
      <c r="DE138" s="117"/>
      <c r="DF138" s="117"/>
      <c r="DG138" s="381"/>
      <c r="DH138" s="386"/>
      <c r="DI138" s="387"/>
      <c r="DJ138" s="381"/>
      <c r="DK138" s="381">
        <v>-2668.9799999999232</v>
      </c>
      <c r="DL138" s="381">
        <v>0</v>
      </c>
      <c r="DM138" s="381">
        <v>-2668.9799999999232</v>
      </c>
      <c r="DN138" s="381">
        <v>280.02000000007683</v>
      </c>
      <c r="DO138" s="381">
        <v>0</v>
      </c>
      <c r="DP138" s="381">
        <v>280.02000000007683</v>
      </c>
      <c r="DQ138" s="383"/>
      <c r="DR138" s="381"/>
      <c r="DS138" s="388"/>
      <c r="DT138" s="388"/>
    </row>
    <row r="139" spans="1:124" ht="14.25">
      <c r="A139" s="380">
        <v>373</v>
      </c>
      <c r="B139" s="391">
        <v>9165424</v>
      </c>
      <c r="C139" s="68">
        <v>5424</v>
      </c>
      <c r="D139" s="120"/>
      <c r="E139" s="120" t="s">
        <v>287</v>
      </c>
      <c r="F139" s="120"/>
      <c r="G139" s="120"/>
      <c r="H139" s="68"/>
      <c r="I139" s="381">
        <v>899174.22000000172</v>
      </c>
      <c r="J139" s="381">
        <v>236223.08</v>
      </c>
      <c r="K139" s="381">
        <v>0</v>
      </c>
      <c r="L139" s="381">
        <v>-8.7311491370201111E-11</v>
      </c>
      <c r="M139" s="381">
        <v>0</v>
      </c>
      <c r="N139" s="381">
        <v>0</v>
      </c>
      <c r="O139" s="381">
        <v>1135397.3000000017</v>
      </c>
      <c r="P139" s="381"/>
      <c r="Q139" s="381">
        <v>5180560</v>
      </c>
      <c r="R139" s="381">
        <v>0</v>
      </c>
      <c r="S139" s="381">
        <v>379146</v>
      </c>
      <c r="T139" s="381">
        <v>0</v>
      </c>
      <c r="U139" s="381">
        <v>212830</v>
      </c>
      <c r="V139" s="381">
        <v>0</v>
      </c>
      <c r="W139" s="381">
        <v>6000</v>
      </c>
      <c r="X139" s="381">
        <v>7500</v>
      </c>
      <c r="Y139" s="381">
        <v>25000</v>
      </c>
      <c r="Z139" s="381">
        <v>0</v>
      </c>
      <c r="AA139" s="381">
        <v>0</v>
      </c>
      <c r="AB139" s="381">
        <v>0</v>
      </c>
      <c r="AC139" s="381">
        <v>29349</v>
      </c>
      <c r="AD139" s="381">
        <v>0</v>
      </c>
      <c r="AE139" s="381">
        <v>0</v>
      </c>
      <c r="AF139" s="381">
        <v>0</v>
      </c>
      <c r="AG139" s="381">
        <v>0</v>
      </c>
      <c r="AH139" s="381">
        <v>0</v>
      </c>
      <c r="AI139" s="381">
        <v>0</v>
      </c>
      <c r="AJ139" s="381">
        <v>0</v>
      </c>
      <c r="AK139" s="381">
        <v>0</v>
      </c>
      <c r="AL139" s="381">
        <v>5840385</v>
      </c>
      <c r="AM139" s="381"/>
      <c r="AN139" s="381">
        <v>3146609</v>
      </c>
      <c r="AO139" s="381">
        <v>15000</v>
      </c>
      <c r="AP139" s="381">
        <v>1014713</v>
      </c>
      <c r="AQ139" s="381">
        <v>93661</v>
      </c>
      <c r="AR139" s="381">
        <v>425338</v>
      </c>
      <c r="AS139" s="381">
        <v>0</v>
      </c>
      <c r="AT139" s="381">
        <v>19200</v>
      </c>
      <c r="AU139" s="381">
        <v>38543</v>
      </c>
      <c r="AV139" s="381">
        <v>12000</v>
      </c>
      <c r="AW139" s="381">
        <v>0</v>
      </c>
      <c r="AX139" s="381">
        <v>498</v>
      </c>
      <c r="AY139" s="381">
        <v>112256</v>
      </c>
      <c r="AZ139" s="381">
        <v>14984</v>
      </c>
      <c r="BA139" s="381">
        <v>93988</v>
      </c>
      <c r="BB139" s="381">
        <v>9000</v>
      </c>
      <c r="BC139" s="381">
        <v>131618</v>
      </c>
      <c r="BD139" s="381">
        <v>24590</v>
      </c>
      <c r="BE139" s="381">
        <v>28962</v>
      </c>
      <c r="BF139" s="381">
        <v>501989</v>
      </c>
      <c r="BG139" s="381">
        <v>18074</v>
      </c>
      <c r="BH139" s="381">
        <v>0</v>
      </c>
      <c r="BI139" s="381">
        <v>6896</v>
      </c>
      <c r="BJ139" s="381">
        <v>35230</v>
      </c>
      <c r="BK139" s="381">
        <v>27500</v>
      </c>
      <c r="BL139" s="381">
        <v>10000</v>
      </c>
      <c r="BM139" s="381">
        <v>15900</v>
      </c>
      <c r="BN139" s="381">
        <v>60600</v>
      </c>
      <c r="BO139" s="381">
        <v>26470</v>
      </c>
      <c r="BP139" s="381">
        <v>27641</v>
      </c>
      <c r="BQ139" s="381">
        <v>0</v>
      </c>
      <c r="BR139" s="381">
        <v>92860</v>
      </c>
      <c r="BS139" s="381">
        <v>90382</v>
      </c>
      <c r="BT139" s="381">
        <v>166235</v>
      </c>
      <c r="BU139" s="381">
        <v>34259</v>
      </c>
      <c r="BV139" s="381">
        <v>0</v>
      </c>
      <c r="BW139" s="381">
        <v>0</v>
      </c>
      <c r="BX139" s="381">
        <v>113034</v>
      </c>
      <c r="BY139" s="382">
        <v>0</v>
      </c>
      <c r="BZ139" s="382">
        <v>0</v>
      </c>
      <c r="CA139" s="382">
        <v>6408030</v>
      </c>
      <c r="CB139" s="381"/>
      <c r="CC139" s="381">
        <v>16234</v>
      </c>
      <c r="CD139" s="381">
        <v>0</v>
      </c>
      <c r="CE139" s="381">
        <v>0</v>
      </c>
      <c r="CF139" s="381">
        <v>16234</v>
      </c>
      <c r="CG139" s="381"/>
      <c r="CH139" s="381">
        <v>0</v>
      </c>
      <c r="CI139" s="381">
        <v>16234</v>
      </c>
      <c r="CJ139" s="381">
        <v>0</v>
      </c>
      <c r="CK139" s="381">
        <v>0</v>
      </c>
      <c r="CL139" s="381">
        <v>0</v>
      </c>
      <c r="CM139" s="381">
        <v>0</v>
      </c>
      <c r="CN139" s="381">
        <v>0</v>
      </c>
      <c r="CO139" s="381">
        <v>0</v>
      </c>
      <c r="CP139" s="381">
        <v>16234</v>
      </c>
      <c r="CQ139" s="381"/>
      <c r="CR139" s="381">
        <v>567752.30000000168</v>
      </c>
      <c r="CS139" s="381">
        <v>0</v>
      </c>
      <c r="CT139" s="381">
        <v>0</v>
      </c>
      <c r="CU139" s="381">
        <v>-8.7311491370201111E-11</v>
      </c>
      <c r="CV139" s="381">
        <v>0</v>
      </c>
      <c r="CW139" s="381">
        <v>0</v>
      </c>
      <c r="CX139" s="381">
        <v>567752.30000000156</v>
      </c>
      <c r="CY139" s="381"/>
      <c r="CZ139" s="117"/>
      <c r="DA139" s="384"/>
      <c r="DB139" s="117"/>
      <c r="DC139" s="384"/>
      <c r="DD139" s="385"/>
      <c r="DE139" s="117"/>
      <c r="DF139" s="117"/>
      <c r="DG139" s="381"/>
      <c r="DH139" s="386"/>
      <c r="DI139" s="387"/>
      <c r="DJ139" s="381"/>
      <c r="DK139" s="381">
        <v>1135397.3000000017</v>
      </c>
      <c r="DL139" s="381">
        <v>-8.7311491370201111E-11</v>
      </c>
      <c r="DM139" s="381">
        <v>1135397.3000000017</v>
      </c>
      <c r="DN139" s="381">
        <v>567752.30000000168</v>
      </c>
      <c r="DO139" s="381">
        <v>-8.7311491370201111E-11</v>
      </c>
      <c r="DP139" s="381">
        <v>567752.30000000156</v>
      </c>
      <c r="DQ139" s="383"/>
      <c r="DR139" s="381"/>
      <c r="DS139" s="388"/>
      <c r="DT139" s="388"/>
    </row>
    <row r="140" spans="1:124" ht="14.25">
      <c r="A140" s="380">
        <v>635</v>
      </c>
      <c r="B140" s="391">
        <v>9162068</v>
      </c>
      <c r="C140" s="68">
        <v>2068</v>
      </c>
      <c r="D140" s="120"/>
      <c r="E140" s="120" t="s">
        <v>218</v>
      </c>
      <c r="F140" s="120"/>
      <c r="G140" s="120"/>
      <c r="H140" s="68"/>
      <c r="I140" s="381">
        <v>83793.530000000028</v>
      </c>
      <c r="J140" s="381">
        <v>4264.6499999999996</v>
      </c>
      <c r="K140" s="381">
        <v>0</v>
      </c>
      <c r="L140" s="381">
        <v>3613.1899999999987</v>
      </c>
      <c r="M140" s="381">
        <v>0</v>
      </c>
      <c r="N140" s="381">
        <v>0</v>
      </c>
      <c r="O140" s="381">
        <v>91671.370000000024</v>
      </c>
      <c r="P140" s="381"/>
      <c r="Q140" s="381">
        <v>780857</v>
      </c>
      <c r="R140" s="381">
        <v>0</v>
      </c>
      <c r="S140" s="381">
        <v>30668</v>
      </c>
      <c r="T140" s="381">
        <v>0</v>
      </c>
      <c r="U140" s="381">
        <v>10955</v>
      </c>
      <c r="V140" s="381">
        <v>36070</v>
      </c>
      <c r="W140" s="381">
        <v>0</v>
      </c>
      <c r="X140" s="381">
        <v>0</v>
      </c>
      <c r="Y140" s="381">
        <v>0</v>
      </c>
      <c r="Z140" s="381">
        <v>0</v>
      </c>
      <c r="AA140" s="381">
        <v>0</v>
      </c>
      <c r="AB140" s="381">
        <v>0</v>
      </c>
      <c r="AC140" s="381">
        <v>13000</v>
      </c>
      <c r="AD140" s="381">
        <v>0</v>
      </c>
      <c r="AE140" s="381">
        <v>0</v>
      </c>
      <c r="AF140" s="381">
        <v>0</v>
      </c>
      <c r="AG140" s="381">
        <v>0</v>
      </c>
      <c r="AH140" s="381">
        <v>0</v>
      </c>
      <c r="AI140" s="381">
        <v>0</v>
      </c>
      <c r="AJ140" s="381">
        <v>0</v>
      </c>
      <c r="AK140" s="381">
        <v>0</v>
      </c>
      <c r="AL140" s="381">
        <v>871550</v>
      </c>
      <c r="AM140" s="381"/>
      <c r="AN140" s="381">
        <v>481533</v>
      </c>
      <c r="AO140" s="381">
        <v>22347</v>
      </c>
      <c r="AP140" s="381">
        <v>124853</v>
      </c>
      <c r="AQ140" s="381">
        <v>17416</v>
      </c>
      <c r="AR140" s="381">
        <v>42767</v>
      </c>
      <c r="AS140" s="381">
        <v>0</v>
      </c>
      <c r="AT140" s="381">
        <v>13693</v>
      </c>
      <c r="AU140" s="381">
        <v>2600</v>
      </c>
      <c r="AV140" s="381">
        <v>4580</v>
      </c>
      <c r="AW140" s="381">
        <v>11631</v>
      </c>
      <c r="AX140" s="381">
        <v>0</v>
      </c>
      <c r="AY140" s="381">
        <v>7420</v>
      </c>
      <c r="AZ140" s="381">
        <v>2000</v>
      </c>
      <c r="BA140" s="381">
        <v>1800</v>
      </c>
      <c r="BB140" s="381">
        <v>3700</v>
      </c>
      <c r="BC140" s="381">
        <v>13000</v>
      </c>
      <c r="BD140" s="381">
        <v>14190</v>
      </c>
      <c r="BE140" s="381">
        <v>21500</v>
      </c>
      <c r="BF140" s="381">
        <v>34906</v>
      </c>
      <c r="BG140" s="381">
        <v>0</v>
      </c>
      <c r="BH140" s="381">
        <v>0</v>
      </c>
      <c r="BI140" s="381">
        <v>2364</v>
      </c>
      <c r="BJ140" s="381">
        <v>0</v>
      </c>
      <c r="BK140" s="381">
        <v>3000</v>
      </c>
      <c r="BL140" s="381">
        <v>0</v>
      </c>
      <c r="BM140" s="381">
        <v>3000</v>
      </c>
      <c r="BN140" s="381">
        <v>0</v>
      </c>
      <c r="BO140" s="381">
        <v>6298</v>
      </c>
      <c r="BP140" s="381">
        <v>5880</v>
      </c>
      <c r="BQ140" s="381">
        <v>7681</v>
      </c>
      <c r="BR140" s="381">
        <v>0</v>
      </c>
      <c r="BS140" s="381">
        <v>23604</v>
      </c>
      <c r="BT140" s="381">
        <v>12490</v>
      </c>
      <c r="BU140" s="381">
        <v>18516</v>
      </c>
      <c r="BV140" s="381">
        <v>0</v>
      </c>
      <c r="BW140" s="381">
        <v>0</v>
      </c>
      <c r="BX140" s="381">
        <v>0</v>
      </c>
      <c r="BY140" s="382">
        <v>0</v>
      </c>
      <c r="BZ140" s="382">
        <v>0</v>
      </c>
      <c r="CA140" s="382">
        <v>902769</v>
      </c>
      <c r="CB140" s="381"/>
      <c r="CC140" s="381">
        <v>5575</v>
      </c>
      <c r="CD140" s="381">
        <v>0</v>
      </c>
      <c r="CE140" s="381">
        <v>0</v>
      </c>
      <c r="CF140" s="381">
        <v>5575</v>
      </c>
      <c r="CG140" s="381"/>
      <c r="CH140" s="381">
        <v>0</v>
      </c>
      <c r="CI140" s="381">
        <v>9188</v>
      </c>
      <c r="CJ140" s="381">
        <v>0</v>
      </c>
      <c r="CK140" s="381">
        <v>0</v>
      </c>
      <c r="CL140" s="381">
        <v>0</v>
      </c>
      <c r="CM140" s="381">
        <v>0</v>
      </c>
      <c r="CN140" s="381">
        <v>0</v>
      </c>
      <c r="CO140" s="381">
        <v>0</v>
      </c>
      <c r="CP140" s="381">
        <v>9188</v>
      </c>
      <c r="CQ140" s="381"/>
      <c r="CR140" s="381">
        <v>56839.180000000022</v>
      </c>
      <c r="CS140" s="381">
        <v>0</v>
      </c>
      <c r="CT140" s="381">
        <v>0</v>
      </c>
      <c r="CU140" s="381">
        <v>0.18999999999869033</v>
      </c>
      <c r="CV140" s="381">
        <v>0</v>
      </c>
      <c r="CW140" s="381">
        <v>0</v>
      </c>
      <c r="CX140" s="381">
        <v>56839.370000000024</v>
      </c>
      <c r="CY140" s="381"/>
      <c r="CZ140" s="117"/>
      <c r="DA140" s="384"/>
      <c r="DB140" s="117"/>
      <c r="DC140" s="384"/>
      <c r="DD140" s="385"/>
      <c r="DE140" s="117"/>
      <c r="DF140" s="117"/>
      <c r="DG140" s="381"/>
      <c r="DH140" s="386"/>
      <c r="DI140" s="387"/>
      <c r="DJ140" s="381"/>
      <c r="DK140" s="381">
        <v>88058.180000000022</v>
      </c>
      <c r="DL140" s="381">
        <v>3613.1899999999987</v>
      </c>
      <c r="DM140" s="381">
        <v>91671.370000000024</v>
      </c>
      <c r="DN140" s="381">
        <v>56839.180000000022</v>
      </c>
      <c r="DO140" s="381">
        <v>0.18999999999869033</v>
      </c>
      <c r="DP140" s="381">
        <v>56839.370000000024</v>
      </c>
      <c r="DQ140" s="383"/>
      <c r="DR140" s="381"/>
      <c r="DS140" s="388"/>
      <c r="DT140" s="388"/>
    </row>
    <row r="141" spans="1:124" ht="15">
      <c r="A141" s="380">
        <v>807</v>
      </c>
      <c r="B141" s="391">
        <v>9165214</v>
      </c>
      <c r="C141" s="68">
        <v>5214</v>
      </c>
      <c r="D141" s="120"/>
      <c r="E141" s="120" t="s">
        <v>724</v>
      </c>
      <c r="F141" s="120"/>
      <c r="G141" s="120"/>
      <c r="H141" s="68"/>
      <c r="I141" s="381">
        <v>74983.950000001118</v>
      </c>
      <c r="J141" s="381">
        <v>7847</v>
      </c>
      <c r="K141" s="381">
        <v>0</v>
      </c>
      <c r="L141" s="381">
        <v>8327.8100000000013</v>
      </c>
      <c r="M141" s="381">
        <v>0</v>
      </c>
      <c r="N141" s="381">
        <v>0</v>
      </c>
      <c r="O141" s="381">
        <v>91158.760000001115</v>
      </c>
      <c r="P141" s="389"/>
      <c r="Q141" s="381">
        <v>2147856</v>
      </c>
      <c r="R141" s="381">
        <v>0</v>
      </c>
      <c r="S141" s="381">
        <v>128500</v>
      </c>
      <c r="T141" s="381">
        <v>0</v>
      </c>
      <c r="U141" s="381">
        <v>113625</v>
      </c>
      <c r="V141" s="381">
        <v>88760</v>
      </c>
      <c r="W141" s="381">
        <v>15158</v>
      </c>
      <c r="X141" s="381">
        <v>38000</v>
      </c>
      <c r="Y141" s="381">
        <v>10200</v>
      </c>
      <c r="Z141" s="381">
        <v>21906</v>
      </c>
      <c r="AA141" s="381">
        <v>0</v>
      </c>
      <c r="AB141" s="381">
        <v>0</v>
      </c>
      <c r="AC141" s="381">
        <v>47525</v>
      </c>
      <c r="AD141" s="381">
        <v>3044</v>
      </c>
      <c r="AE141" s="381">
        <v>0</v>
      </c>
      <c r="AF141" s="381">
        <v>0</v>
      </c>
      <c r="AG141" s="381">
        <v>0</v>
      </c>
      <c r="AH141" s="381">
        <v>0</v>
      </c>
      <c r="AI141" s="381">
        <v>0</v>
      </c>
      <c r="AJ141" s="381">
        <v>0</v>
      </c>
      <c r="AK141" s="381">
        <v>0</v>
      </c>
      <c r="AL141" s="381">
        <v>2614574</v>
      </c>
      <c r="AM141" s="389"/>
      <c r="AN141" s="381">
        <v>1300576</v>
      </c>
      <c r="AO141" s="381">
        <v>4250</v>
      </c>
      <c r="AP141" s="381">
        <v>581231</v>
      </c>
      <c r="AQ141" s="381">
        <v>33148</v>
      </c>
      <c r="AR141" s="381">
        <v>123226</v>
      </c>
      <c r="AS141" s="381">
        <v>0</v>
      </c>
      <c r="AT141" s="381">
        <v>48323</v>
      </c>
      <c r="AU141" s="381">
        <v>850</v>
      </c>
      <c r="AV141" s="381">
        <v>4732</v>
      </c>
      <c r="AW141" s="381">
        <v>1287</v>
      </c>
      <c r="AX141" s="381">
        <v>0</v>
      </c>
      <c r="AY141" s="381">
        <v>28378</v>
      </c>
      <c r="AZ141" s="381">
        <v>3591</v>
      </c>
      <c r="BA141" s="381">
        <v>44500</v>
      </c>
      <c r="BB141" s="381">
        <v>8500</v>
      </c>
      <c r="BC141" s="381">
        <v>43000</v>
      </c>
      <c r="BD141" s="381">
        <v>10538</v>
      </c>
      <c r="BE141" s="381">
        <v>8750</v>
      </c>
      <c r="BF141" s="381">
        <v>120608</v>
      </c>
      <c r="BG141" s="381">
        <v>300</v>
      </c>
      <c r="BH141" s="381">
        <v>0</v>
      </c>
      <c r="BI141" s="381">
        <v>3000</v>
      </c>
      <c r="BJ141" s="381">
        <v>2000</v>
      </c>
      <c r="BK141" s="381">
        <v>700</v>
      </c>
      <c r="BL141" s="381">
        <v>0</v>
      </c>
      <c r="BM141" s="381">
        <v>22430</v>
      </c>
      <c r="BN141" s="381">
        <v>0</v>
      </c>
      <c r="BO141" s="381">
        <v>17800</v>
      </c>
      <c r="BP141" s="381">
        <v>22780</v>
      </c>
      <c r="BQ141" s="381">
        <v>0</v>
      </c>
      <c r="BR141" s="381">
        <v>131225</v>
      </c>
      <c r="BS141" s="381">
        <v>3000</v>
      </c>
      <c r="BT141" s="381">
        <v>2000</v>
      </c>
      <c r="BU141" s="381">
        <v>18485</v>
      </c>
      <c r="BV141" s="381">
        <v>0</v>
      </c>
      <c r="BW141" s="381">
        <v>0</v>
      </c>
      <c r="BX141" s="381">
        <v>0</v>
      </c>
      <c r="BY141" s="382">
        <v>0</v>
      </c>
      <c r="BZ141" s="382">
        <v>0</v>
      </c>
      <c r="CA141" s="382">
        <v>2589208</v>
      </c>
      <c r="CB141" s="389"/>
      <c r="CC141" s="381">
        <v>8770</v>
      </c>
      <c r="CD141" s="381">
        <v>0</v>
      </c>
      <c r="CE141" s="381">
        <v>0</v>
      </c>
      <c r="CF141" s="381">
        <v>8770</v>
      </c>
      <c r="CG141" s="389"/>
      <c r="CH141" s="381">
        <v>0</v>
      </c>
      <c r="CI141" s="381">
        <v>17098</v>
      </c>
      <c r="CJ141" s="381">
        <v>0</v>
      </c>
      <c r="CK141" s="381">
        <v>0</v>
      </c>
      <c r="CL141" s="381">
        <v>0</v>
      </c>
      <c r="CM141" s="381">
        <v>0</v>
      </c>
      <c r="CN141" s="381">
        <v>0</v>
      </c>
      <c r="CO141" s="381">
        <v>0</v>
      </c>
      <c r="CP141" s="381">
        <v>17098</v>
      </c>
      <c r="CQ141" s="390"/>
      <c r="CR141" s="381">
        <v>108196.95000000112</v>
      </c>
      <c r="CS141" s="381">
        <v>0</v>
      </c>
      <c r="CT141" s="381">
        <v>0</v>
      </c>
      <c r="CU141" s="381">
        <v>-0.18999999999869033</v>
      </c>
      <c r="CV141" s="381">
        <v>0</v>
      </c>
      <c r="CW141" s="381">
        <v>0</v>
      </c>
      <c r="CX141" s="381">
        <v>108196.76000000112</v>
      </c>
      <c r="CY141" s="381"/>
      <c r="CZ141" s="117"/>
      <c r="DA141" s="384"/>
      <c r="DB141" s="117"/>
      <c r="DC141" s="384"/>
      <c r="DD141" s="385"/>
      <c r="DE141" s="117"/>
      <c r="DF141" s="117"/>
      <c r="DG141" s="381"/>
      <c r="DH141" s="386"/>
      <c r="DI141" s="387"/>
      <c r="DJ141" s="381"/>
      <c r="DK141" s="381">
        <v>82830.950000001118</v>
      </c>
      <c r="DL141" s="381">
        <v>8327.8100000000013</v>
      </c>
      <c r="DM141" s="381">
        <v>91158.760000001115</v>
      </c>
      <c r="DN141" s="381">
        <v>108196.95000000112</v>
      </c>
      <c r="DO141" s="381">
        <v>-0.18999999999869033</v>
      </c>
      <c r="DP141" s="381">
        <v>108196.76000000112</v>
      </c>
      <c r="DQ141" s="383"/>
      <c r="DR141" s="381"/>
      <c r="DS141" s="388"/>
      <c r="DT141" s="388"/>
    </row>
    <row r="142" spans="1:124" ht="14.25">
      <c r="A142" s="380">
        <v>926</v>
      </c>
      <c r="B142" s="391">
        <v>9162030</v>
      </c>
      <c r="C142" s="68">
        <v>2030</v>
      </c>
      <c r="D142" s="120"/>
      <c r="E142" s="120" t="s">
        <v>267</v>
      </c>
      <c r="F142" s="120"/>
      <c r="G142" s="120"/>
      <c r="H142" s="68"/>
      <c r="I142" s="381">
        <v>20303.169999999929</v>
      </c>
      <c r="J142" s="381">
        <v>12507.880000000001</v>
      </c>
      <c r="K142" s="381">
        <v>0</v>
      </c>
      <c r="L142" s="381">
        <v>9292.07</v>
      </c>
      <c r="M142" s="381">
        <v>0</v>
      </c>
      <c r="N142" s="381">
        <v>0</v>
      </c>
      <c r="O142" s="381">
        <v>42103.11999999993</v>
      </c>
      <c r="P142" s="381"/>
      <c r="Q142" s="381">
        <v>1840739</v>
      </c>
      <c r="R142" s="381">
        <v>0</v>
      </c>
      <c r="S142" s="381">
        <v>135942</v>
      </c>
      <c r="T142" s="381">
        <v>0</v>
      </c>
      <c r="U142" s="381">
        <v>58505</v>
      </c>
      <c r="V142" s="381">
        <v>19593</v>
      </c>
      <c r="W142" s="381">
        <v>0</v>
      </c>
      <c r="X142" s="381">
        <v>8100</v>
      </c>
      <c r="Y142" s="381">
        <v>81000</v>
      </c>
      <c r="Z142" s="381">
        <v>5000</v>
      </c>
      <c r="AA142" s="381">
        <v>0</v>
      </c>
      <c r="AB142" s="381">
        <v>0</v>
      </c>
      <c r="AC142" s="381">
        <v>15000</v>
      </c>
      <c r="AD142" s="381">
        <v>0</v>
      </c>
      <c r="AE142" s="381">
        <v>0</v>
      </c>
      <c r="AF142" s="381">
        <v>0</v>
      </c>
      <c r="AG142" s="381">
        <v>0</v>
      </c>
      <c r="AH142" s="381">
        <v>0</v>
      </c>
      <c r="AI142" s="381">
        <v>0</v>
      </c>
      <c r="AJ142" s="381">
        <v>0</v>
      </c>
      <c r="AK142" s="381">
        <v>0</v>
      </c>
      <c r="AL142" s="381">
        <v>2163879</v>
      </c>
      <c r="AM142" s="381"/>
      <c r="AN142" s="381">
        <v>1135440</v>
      </c>
      <c r="AO142" s="381">
        <v>12000</v>
      </c>
      <c r="AP142" s="381">
        <v>529973</v>
      </c>
      <c r="AQ142" s="381">
        <v>20133</v>
      </c>
      <c r="AR142" s="381">
        <v>87733</v>
      </c>
      <c r="AS142" s="381">
        <v>0</v>
      </c>
      <c r="AT142" s="381">
        <v>32565</v>
      </c>
      <c r="AU142" s="381">
        <v>7100</v>
      </c>
      <c r="AV142" s="381">
        <v>6291</v>
      </c>
      <c r="AW142" s="381">
        <v>6730</v>
      </c>
      <c r="AX142" s="381">
        <v>1409</v>
      </c>
      <c r="AY142" s="381">
        <v>9842</v>
      </c>
      <c r="AZ142" s="381">
        <v>362</v>
      </c>
      <c r="BA142" s="381">
        <v>32280</v>
      </c>
      <c r="BB142" s="381">
        <v>11500</v>
      </c>
      <c r="BC142" s="381">
        <v>28500</v>
      </c>
      <c r="BD142" s="381">
        <v>33382</v>
      </c>
      <c r="BE142" s="381">
        <v>3000</v>
      </c>
      <c r="BF142" s="381">
        <v>109959</v>
      </c>
      <c r="BG142" s="381">
        <v>2300</v>
      </c>
      <c r="BH142" s="381">
        <v>0</v>
      </c>
      <c r="BI142" s="381">
        <v>1187</v>
      </c>
      <c r="BJ142" s="381">
        <v>5000</v>
      </c>
      <c r="BK142" s="381">
        <v>0</v>
      </c>
      <c r="BL142" s="381">
        <v>0</v>
      </c>
      <c r="BM142" s="381">
        <v>6259</v>
      </c>
      <c r="BN142" s="381">
        <v>0</v>
      </c>
      <c r="BO142" s="381">
        <v>4454</v>
      </c>
      <c r="BP142" s="381">
        <v>19325</v>
      </c>
      <c r="BQ142" s="381">
        <v>0</v>
      </c>
      <c r="BR142" s="381">
        <v>26446</v>
      </c>
      <c r="BS142" s="381">
        <v>14000</v>
      </c>
      <c r="BT142" s="381">
        <v>4250</v>
      </c>
      <c r="BU142" s="381">
        <v>17848</v>
      </c>
      <c r="BV142" s="381">
        <v>0</v>
      </c>
      <c r="BW142" s="381">
        <v>0</v>
      </c>
      <c r="BX142" s="381">
        <v>0</v>
      </c>
      <c r="BY142" s="382">
        <v>0</v>
      </c>
      <c r="BZ142" s="382">
        <v>0</v>
      </c>
      <c r="CA142" s="382">
        <v>2169268</v>
      </c>
      <c r="CB142" s="381"/>
      <c r="CC142" s="381">
        <v>8061</v>
      </c>
      <c r="CD142" s="381">
        <v>0</v>
      </c>
      <c r="CE142" s="381">
        <v>0</v>
      </c>
      <c r="CF142" s="381">
        <v>8061</v>
      </c>
      <c r="CG142" s="381"/>
      <c r="CH142" s="381">
        <v>0</v>
      </c>
      <c r="CI142" s="381">
        <v>0</v>
      </c>
      <c r="CJ142" s="381">
        <v>0</v>
      </c>
      <c r="CK142" s="381">
        <v>0</v>
      </c>
      <c r="CL142" s="381">
        <v>0</v>
      </c>
      <c r="CM142" s="381">
        <v>5953</v>
      </c>
      <c r="CN142" s="381">
        <v>5700</v>
      </c>
      <c r="CO142" s="381">
        <v>5700</v>
      </c>
      <c r="CP142" s="381">
        <v>17353</v>
      </c>
      <c r="CQ142" s="381"/>
      <c r="CR142" s="381">
        <v>27422.04999999993</v>
      </c>
      <c r="CS142" s="381">
        <v>0</v>
      </c>
      <c r="CT142" s="381">
        <v>0</v>
      </c>
      <c r="CU142" s="381">
        <v>6.9999999999708962E-2</v>
      </c>
      <c r="CV142" s="381">
        <v>0</v>
      </c>
      <c r="CW142" s="381">
        <v>0</v>
      </c>
      <c r="CX142" s="381">
        <v>27422.11999999993</v>
      </c>
      <c r="CY142" s="381"/>
      <c r="CZ142" s="117"/>
      <c r="DA142" s="384"/>
      <c r="DB142" s="117"/>
      <c r="DC142" s="384"/>
      <c r="DD142" s="385"/>
      <c r="DE142" s="117"/>
      <c r="DF142" s="117"/>
      <c r="DG142" s="381"/>
      <c r="DH142" s="386"/>
      <c r="DI142" s="387"/>
      <c r="DJ142" s="381"/>
      <c r="DK142" s="381">
        <v>32811.04999999993</v>
      </c>
      <c r="DL142" s="381">
        <v>9292.07</v>
      </c>
      <c r="DM142" s="381">
        <v>42103.11999999993</v>
      </c>
      <c r="DN142" s="381">
        <v>27422.04999999993</v>
      </c>
      <c r="DO142" s="381">
        <v>6.9999999999708962E-2</v>
      </c>
      <c r="DP142" s="381">
        <v>27422.11999999993</v>
      </c>
      <c r="DQ142" s="383"/>
      <c r="DR142" s="381"/>
      <c r="DS142" s="388"/>
      <c r="DT142" s="388"/>
    </row>
    <row r="143" spans="1:124" ht="14.25">
      <c r="A143" s="380">
        <v>856</v>
      </c>
      <c r="B143" s="391">
        <v>9165209</v>
      </c>
      <c r="C143" s="68">
        <v>5209</v>
      </c>
      <c r="D143" s="120"/>
      <c r="E143" s="120" t="s">
        <v>728</v>
      </c>
      <c r="F143" s="120"/>
      <c r="G143" s="120"/>
      <c r="H143" s="68"/>
      <c r="I143" s="381">
        <v>67829.430000000764</v>
      </c>
      <c r="J143" s="381">
        <v>14917.8</v>
      </c>
      <c r="K143" s="381">
        <v>0</v>
      </c>
      <c r="L143" s="381">
        <v>667.14999999999304</v>
      </c>
      <c r="M143" s="381">
        <v>0</v>
      </c>
      <c r="N143" s="381">
        <v>0</v>
      </c>
      <c r="O143" s="381">
        <v>83414.380000000761</v>
      </c>
      <c r="P143" s="381"/>
      <c r="Q143" s="381">
        <v>925422</v>
      </c>
      <c r="R143" s="381">
        <v>0</v>
      </c>
      <c r="S143" s="381">
        <v>70720</v>
      </c>
      <c r="T143" s="381">
        <v>0</v>
      </c>
      <c r="U143" s="381">
        <v>35445</v>
      </c>
      <c r="V143" s="381">
        <v>50171</v>
      </c>
      <c r="W143" s="381">
        <v>0</v>
      </c>
      <c r="X143" s="381">
        <v>10000</v>
      </c>
      <c r="Y143" s="381">
        <v>0</v>
      </c>
      <c r="Z143" s="381">
        <v>11000</v>
      </c>
      <c r="AA143" s="381">
        <v>0</v>
      </c>
      <c r="AB143" s="381">
        <v>0</v>
      </c>
      <c r="AC143" s="381">
        <v>0</v>
      </c>
      <c r="AD143" s="381">
        <v>0</v>
      </c>
      <c r="AE143" s="381">
        <v>0</v>
      </c>
      <c r="AF143" s="381">
        <v>0</v>
      </c>
      <c r="AG143" s="381">
        <v>0</v>
      </c>
      <c r="AH143" s="381">
        <v>0</v>
      </c>
      <c r="AI143" s="381">
        <v>0</v>
      </c>
      <c r="AJ143" s="381">
        <v>0</v>
      </c>
      <c r="AK143" s="381">
        <v>0</v>
      </c>
      <c r="AL143" s="381">
        <v>1102758</v>
      </c>
      <c r="AM143" s="381"/>
      <c r="AN143" s="381">
        <v>552672</v>
      </c>
      <c r="AO143" s="381">
        <v>15000</v>
      </c>
      <c r="AP143" s="381">
        <v>240126</v>
      </c>
      <c r="AQ143" s="381">
        <v>34147</v>
      </c>
      <c r="AR143" s="381">
        <v>63115</v>
      </c>
      <c r="AS143" s="381">
        <v>31418</v>
      </c>
      <c r="AT143" s="381">
        <v>24004</v>
      </c>
      <c r="AU143" s="381">
        <v>750</v>
      </c>
      <c r="AV143" s="381">
        <v>3000</v>
      </c>
      <c r="AW143" s="381">
        <v>6565</v>
      </c>
      <c r="AX143" s="381">
        <v>0</v>
      </c>
      <c r="AY143" s="381">
        <v>9002</v>
      </c>
      <c r="AZ143" s="381">
        <v>8362</v>
      </c>
      <c r="BA143" s="381">
        <v>3000</v>
      </c>
      <c r="BB143" s="381">
        <v>6000</v>
      </c>
      <c r="BC143" s="381">
        <v>27000</v>
      </c>
      <c r="BD143" s="381">
        <v>5678</v>
      </c>
      <c r="BE143" s="381">
        <v>2750</v>
      </c>
      <c r="BF143" s="381">
        <v>21403</v>
      </c>
      <c r="BG143" s="381">
        <v>0</v>
      </c>
      <c r="BH143" s="381">
        <v>0</v>
      </c>
      <c r="BI143" s="381">
        <v>2000</v>
      </c>
      <c r="BJ143" s="381">
        <v>0</v>
      </c>
      <c r="BK143" s="381">
        <v>12000</v>
      </c>
      <c r="BL143" s="381">
        <v>4714</v>
      </c>
      <c r="BM143" s="381">
        <v>4000</v>
      </c>
      <c r="BN143" s="381">
        <v>0</v>
      </c>
      <c r="BO143" s="381">
        <v>4774</v>
      </c>
      <c r="BP143" s="381">
        <v>2130</v>
      </c>
      <c r="BQ143" s="381">
        <v>9126</v>
      </c>
      <c r="BR143" s="381">
        <v>0</v>
      </c>
      <c r="BS143" s="381">
        <v>19960</v>
      </c>
      <c r="BT143" s="381">
        <v>41656</v>
      </c>
      <c r="BU143" s="381">
        <v>23305</v>
      </c>
      <c r="BV143" s="381">
        <v>0</v>
      </c>
      <c r="BW143" s="381">
        <v>0</v>
      </c>
      <c r="BX143" s="381">
        <v>0</v>
      </c>
      <c r="BY143" s="382">
        <v>0</v>
      </c>
      <c r="BZ143" s="382">
        <v>0</v>
      </c>
      <c r="CA143" s="382">
        <v>1177657</v>
      </c>
      <c r="CB143" s="381"/>
      <c r="CC143" s="381">
        <v>5913</v>
      </c>
      <c r="CD143" s="381">
        <v>0</v>
      </c>
      <c r="CE143" s="381">
        <v>0</v>
      </c>
      <c r="CF143" s="381">
        <v>5913</v>
      </c>
      <c r="CG143" s="381"/>
      <c r="CH143" s="381">
        <v>0</v>
      </c>
      <c r="CI143" s="381">
        <v>6580</v>
      </c>
      <c r="CJ143" s="381">
        <v>0</v>
      </c>
      <c r="CK143" s="381">
        <v>0</v>
      </c>
      <c r="CL143" s="381">
        <v>0</v>
      </c>
      <c r="CM143" s="381">
        <v>0</v>
      </c>
      <c r="CN143" s="381">
        <v>0</v>
      </c>
      <c r="CO143" s="381">
        <v>0</v>
      </c>
      <c r="CP143" s="381">
        <v>6580</v>
      </c>
      <c r="CQ143" s="381"/>
      <c r="CR143" s="381">
        <v>7848.2300000007672</v>
      </c>
      <c r="CS143" s="381">
        <v>0</v>
      </c>
      <c r="CT143" s="381">
        <v>0</v>
      </c>
      <c r="CU143" s="381">
        <v>0.14999999999304237</v>
      </c>
      <c r="CV143" s="381">
        <v>0</v>
      </c>
      <c r="CW143" s="381">
        <v>0</v>
      </c>
      <c r="CX143" s="381">
        <v>7848.3800000007604</v>
      </c>
      <c r="CY143" s="381"/>
      <c r="CZ143" s="117"/>
      <c r="DA143" s="384"/>
      <c r="DB143" s="117"/>
      <c r="DC143" s="384"/>
      <c r="DD143" s="385"/>
      <c r="DE143" s="117"/>
      <c r="DF143" s="117"/>
      <c r="DG143" s="381"/>
      <c r="DH143" s="386"/>
      <c r="DI143" s="387"/>
      <c r="DJ143" s="381"/>
      <c r="DK143" s="381">
        <v>82747.230000000767</v>
      </c>
      <c r="DL143" s="381">
        <v>667.14999999999304</v>
      </c>
      <c r="DM143" s="381">
        <v>83414.380000000761</v>
      </c>
      <c r="DN143" s="381">
        <v>7848.2300000007672</v>
      </c>
      <c r="DO143" s="381">
        <v>0.14999999999304237</v>
      </c>
      <c r="DP143" s="381">
        <v>7848.3800000007604</v>
      </c>
      <c r="DQ143" s="383"/>
      <c r="DR143" s="381"/>
      <c r="DS143" s="388"/>
      <c r="DT143" s="388"/>
    </row>
    <row r="144" spans="1:124" ht="14.25">
      <c r="A144" s="380">
        <v>933</v>
      </c>
      <c r="B144" s="391">
        <v>9162025</v>
      </c>
      <c r="C144" s="68">
        <v>2025</v>
      </c>
      <c r="D144" s="120"/>
      <c r="E144" s="120" t="s">
        <v>223</v>
      </c>
      <c r="F144" s="120"/>
      <c r="G144" s="120"/>
      <c r="H144" s="68"/>
      <c r="I144" s="381">
        <v>185083.48000000021</v>
      </c>
      <c r="J144" s="381">
        <v>22089.300000000003</v>
      </c>
      <c r="K144" s="381">
        <v>0</v>
      </c>
      <c r="L144" s="381">
        <v>16946.07</v>
      </c>
      <c r="M144" s="381">
        <v>0</v>
      </c>
      <c r="N144" s="381">
        <v>0</v>
      </c>
      <c r="O144" s="381">
        <v>224118.85000000021</v>
      </c>
      <c r="P144" s="381"/>
      <c r="Q144" s="381">
        <v>1268276</v>
      </c>
      <c r="R144" s="381">
        <v>0</v>
      </c>
      <c r="S144" s="381">
        <v>8511</v>
      </c>
      <c r="T144" s="381">
        <v>0</v>
      </c>
      <c r="U144" s="381">
        <v>61265</v>
      </c>
      <c r="V144" s="381">
        <v>97899</v>
      </c>
      <c r="W144" s="381">
        <v>0</v>
      </c>
      <c r="X144" s="381">
        <v>0</v>
      </c>
      <c r="Y144" s="381">
        <v>6708</v>
      </c>
      <c r="Z144" s="381">
        <v>0</v>
      </c>
      <c r="AA144" s="381">
        <v>0</v>
      </c>
      <c r="AB144" s="381">
        <v>0</v>
      </c>
      <c r="AC144" s="381">
        <v>4000</v>
      </c>
      <c r="AD144" s="381">
        <v>0</v>
      </c>
      <c r="AE144" s="381">
        <v>0</v>
      </c>
      <c r="AF144" s="381">
        <v>0</v>
      </c>
      <c r="AG144" s="381">
        <v>0</v>
      </c>
      <c r="AH144" s="381">
        <v>0</v>
      </c>
      <c r="AI144" s="381">
        <v>0</v>
      </c>
      <c r="AJ144" s="381">
        <v>0</v>
      </c>
      <c r="AK144" s="381">
        <v>0</v>
      </c>
      <c r="AL144" s="381">
        <v>1446659</v>
      </c>
      <c r="AM144" s="381"/>
      <c r="AN144" s="381">
        <v>749147</v>
      </c>
      <c r="AO144" s="381">
        <v>5275</v>
      </c>
      <c r="AP144" s="381">
        <v>333683</v>
      </c>
      <c r="AQ144" s="381">
        <v>68290</v>
      </c>
      <c r="AR144" s="381">
        <v>60905</v>
      </c>
      <c r="AS144" s="381">
        <v>0</v>
      </c>
      <c r="AT144" s="381">
        <v>40265</v>
      </c>
      <c r="AU144" s="381">
        <v>7005</v>
      </c>
      <c r="AV144" s="381">
        <v>2695</v>
      </c>
      <c r="AW144" s="381">
        <v>720</v>
      </c>
      <c r="AX144" s="381">
        <v>0</v>
      </c>
      <c r="AY144" s="381">
        <v>9769</v>
      </c>
      <c r="AZ144" s="381">
        <v>2813</v>
      </c>
      <c r="BA144" s="381">
        <v>2500</v>
      </c>
      <c r="BB144" s="381">
        <v>1348</v>
      </c>
      <c r="BC144" s="381">
        <v>24736</v>
      </c>
      <c r="BD144" s="381">
        <v>0</v>
      </c>
      <c r="BE144" s="381">
        <v>1950</v>
      </c>
      <c r="BF144" s="381">
        <v>65514</v>
      </c>
      <c r="BG144" s="381">
        <v>1797</v>
      </c>
      <c r="BH144" s="381">
        <v>0</v>
      </c>
      <c r="BI144" s="381">
        <v>0</v>
      </c>
      <c r="BJ144" s="381">
        <v>0</v>
      </c>
      <c r="BK144" s="381">
        <v>0</v>
      </c>
      <c r="BL144" s="381">
        <v>0</v>
      </c>
      <c r="BM144" s="381">
        <v>2478</v>
      </c>
      <c r="BN144" s="381">
        <v>0</v>
      </c>
      <c r="BO144" s="381">
        <v>7835</v>
      </c>
      <c r="BP144" s="381">
        <v>12739</v>
      </c>
      <c r="BQ144" s="381">
        <v>0</v>
      </c>
      <c r="BR144" s="381">
        <v>81248</v>
      </c>
      <c r="BS144" s="381">
        <v>1269</v>
      </c>
      <c r="BT144" s="381">
        <v>15216</v>
      </c>
      <c r="BU144" s="381">
        <v>24184</v>
      </c>
      <c r="BV144" s="381">
        <v>0</v>
      </c>
      <c r="BW144" s="381">
        <v>0</v>
      </c>
      <c r="BX144" s="381">
        <v>0</v>
      </c>
      <c r="BY144" s="382">
        <v>0</v>
      </c>
      <c r="BZ144" s="382">
        <v>0</v>
      </c>
      <c r="CA144" s="382">
        <v>1523381</v>
      </c>
      <c r="CB144" s="381"/>
      <c r="CC144" s="381">
        <v>6903</v>
      </c>
      <c r="CD144" s="381">
        <v>0</v>
      </c>
      <c r="CE144" s="381">
        <v>0</v>
      </c>
      <c r="CF144" s="381">
        <v>6903</v>
      </c>
      <c r="CG144" s="381"/>
      <c r="CH144" s="381">
        <v>0</v>
      </c>
      <c r="CI144" s="381">
        <v>23849</v>
      </c>
      <c r="CJ144" s="381">
        <v>0</v>
      </c>
      <c r="CK144" s="381">
        <v>0</v>
      </c>
      <c r="CL144" s="381">
        <v>0</v>
      </c>
      <c r="CM144" s="381">
        <v>0</v>
      </c>
      <c r="CN144" s="381">
        <v>0</v>
      </c>
      <c r="CO144" s="381">
        <v>0</v>
      </c>
      <c r="CP144" s="381">
        <v>23849</v>
      </c>
      <c r="CQ144" s="381"/>
      <c r="CR144" s="381">
        <v>130450.7800000002</v>
      </c>
      <c r="CS144" s="381">
        <v>0</v>
      </c>
      <c r="CT144" s="381">
        <v>0</v>
      </c>
      <c r="CU144" s="381">
        <v>6.9999999999708962E-2</v>
      </c>
      <c r="CV144" s="381">
        <v>0</v>
      </c>
      <c r="CW144" s="381">
        <v>0</v>
      </c>
      <c r="CX144" s="381">
        <v>130450.85000000021</v>
      </c>
      <c r="CY144" s="381"/>
      <c r="CZ144" s="117"/>
      <c r="DA144" s="384"/>
      <c r="DB144" s="117"/>
      <c r="DC144" s="384"/>
      <c r="DD144" s="385"/>
      <c r="DE144" s="117"/>
      <c r="DF144" s="117"/>
      <c r="DG144" s="381"/>
      <c r="DH144" s="386"/>
      <c r="DI144" s="387"/>
      <c r="DJ144" s="381"/>
      <c r="DK144" s="381">
        <v>207172.7800000002</v>
      </c>
      <c r="DL144" s="381">
        <v>16946.07</v>
      </c>
      <c r="DM144" s="381">
        <v>224118.85000000021</v>
      </c>
      <c r="DN144" s="381">
        <v>130450.7800000002</v>
      </c>
      <c r="DO144" s="381">
        <v>6.9999999999708962E-2</v>
      </c>
      <c r="DP144" s="381">
        <v>130450.85000000021</v>
      </c>
      <c r="DQ144" s="383"/>
      <c r="DR144" s="381"/>
      <c r="DS144" s="388"/>
      <c r="DT144" s="388"/>
    </row>
    <row r="145" spans="1:131" ht="14.25">
      <c r="A145" s="380">
        <v>693</v>
      </c>
      <c r="B145" s="391">
        <v>9165210</v>
      </c>
      <c r="C145" s="68">
        <v>5210</v>
      </c>
      <c r="D145" s="120"/>
      <c r="E145" s="120" t="s">
        <v>232</v>
      </c>
      <c r="F145" s="120"/>
      <c r="G145" s="120"/>
      <c r="H145" s="68"/>
      <c r="I145" s="381">
        <v>112611.74</v>
      </c>
      <c r="J145" s="381">
        <v>4698.8</v>
      </c>
      <c r="K145" s="381">
        <v>0</v>
      </c>
      <c r="L145" s="381">
        <v>19177.269999999997</v>
      </c>
      <c r="M145" s="381">
        <v>0</v>
      </c>
      <c r="N145" s="381">
        <v>0</v>
      </c>
      <c r="O145" s="381">
        <v>136487.81</v>
      </c>
      <c r="P145" s="381"/>
      <c r="Q145" s="381">
        <v>2128314</v>
      </c>
      <c r="R145" s="381">
        <v>0</v>
      </c>
      <c r="S145" s="381">
        <v>100869</v>
      </c>
      <c r="T145" s="381">
        <v>0</v>
      </c>
      <c r="U145" s="381">
        <v>93315</v>
      </c>
      <c r="V145" s="381">
        <v>89453</v>
      </c>
      <c r="W145" s="381">
        <v>0</v>
      </c>
      <c r="X145" s="381">
        <v>0</v>
      </c>
      <c r="Y145" s="381">
        <v>128842</v>
      </c>
      <c r="Z145" s="381">
        <v>0</v>
      </c>
      <c r="AA145" s="381">
        <v>0</v>
      </c>
      <c r="AB145" s="381">
        <v>0</v>
      </c>
      <c r="AC145" s="381">
        <v>33054</v>
      </c>
      <c r="AD145" s="381">
        <v>5000</v>
      </c>
      <c r="AE145" s="381">
        <v>0</v>
      </c>
      <c r="AF145" s="381">
        <v>0</v>
      </c>
      <c r="AG145" s="381">
        <v>0</v>
      </c>
      <c r="AH145" s="381">
        <v>0</v>
      </c>
      <c r="AI145" s="381">
        <v>0</v>
      </c>
      <c r="AJ145" s="381">
        <v>0</v>
      </c>
      <c r="AK145" s="381">
        <v>0</v>
      </c>
      <c r="AL145" s="381">
        <v>2578847</v>
      </c>
      <c r="AM145" s="381"/>
      <c r="AN145" s="381">
        <v>1337284</v>
      </c>
      <c r="AO145" s="381">
        <v>48500</v>
      </c>
      <c r="AP145" s="381">
        <v>373895</v>
      </c>
      <c r="AQ145" s="381">
        <v>98068</v>
      </c>
      <c r="AR145" s="381">
        <v>138117</v>
      </c>
      <c r="AS145" s="381">
        <v>0</v>
      </c>
      <c r="AT145" s="381">
        <v>191696</v>
      </c>
      <c r="AU145" s="381">
        <v>0</v>
      </c>
      <c r="AV145" s="381">
        <v>5380</v>
      </c>
      <c r="AW145" s="381">
        <v>1281</v>
      </c>
      <c r="AX145" s="381">
        <v>0</v>
      </c>
      <c r="AY145" s="381">
        <v>18200</v>
      </c>
      <c r="AZ145" s="381">
        <v>11600</v>
      </c>
      <c r="BA145" s="381">
        <v>0</v>
      </c>
      <c r="BB145" s="381">
        <v>4400</v>
      </c>
      <c r="BC145" s="381">
        <v>55000</v>
      </c>
      <c r="BD145" s="381">
        <v>7822</v>
      </c>
      <c r="BE145" s="381">
        <v>5500</v>
      </c>
      <c r="BF145" s="381">
        <v>132790</v>
      </c>
      <c r="BG145" s="381">
        <v>0</v>
      </c>
      <c r="BH145" s="381">
        <v>0</v>
      </c>
      <c r="BI145" s="381">
        <v>5051</v>
      </c>
      <c r="BJ145" s="381">
        <v>0</v>
      </c>
      <c r="BK145" s="381">
        <v>6750</v>
      </c>
      <c r="BL145" s="381">
        <v>5500</v>
      </c>
      <c r="BM145" s="381">
        <v>500</v>
      </c>
      <c r="BN145" s="381">
        <v>3200</v>
      </c>
      <c r="BO145" s="381">
        <v>3500</v>
      </c>
      <c r="BP145" s="381">
        <v>8200</v>
      </c>
      <c r="BQ145" s="381">
        <v>22971</v>
      </c>
      <c r="BR145" s="381">
        <v>0</v>
      </c>
      <c r="BS145" s="381">
        <v>99658</v>
      </c>
      <c r="BT145" s="381">
        <v>5500</v>
      </c>
      <c r="BU145" s="381">
        <v>14995</v>
      </c>
      <c r="BV145" s="381">
        <v>0</v>
      </c>
      <c r="BW145" s="381">
        <v>0</v>
      </c>
      <c r="BX145" s="381">
        <v>0</v>
      </c>
      <c r="BY145" s="382">
        <v>0</v>
      </c>
      <c r="BZ145" s="382">
        <v>0</v>
      </c>
      <c r="CA145" s="382">
        <v>2605358</v>
      </c>
      <c r="CB145" s="381"/>
      <c r="CC145" s="381">
        <v>8691</v>
      </c>
      <c r="CD145" s="381">
        <v>0</v>
      </c>
      <c r="CE145" s="381">
        <v>0</v>
      </c>
      <c r="CF145" s="381">
        <v>8691</v>
      </c>
      <c r="CG145" s="381"/>
      <c r="CH145" s="381">
        <v>0</v>
      </c>
      <c r="CI145" s="381">
        <v>27868</v>
      </c>
      <c r="CJ145" s="381">
        <v>0</v>
      </c>
      <c r="CK145" s="381">
        <v>0</v>
      </c>
      <c r="CL145" s="381">
        <v>0</v>
      </c>
      <c r="CM145" s="381">
        <v>0</v>
      </c>
      <c r="CN145" s="381">
        <v>0</v>
      </c>
      <c r="CO145" s="381">
        <v>0</v>
      </c>
      <c r="CP145" s="381">
        <v>27868</v>
      </c>
      <c r="CQ145" s="381"/>
      <c r="CR145" s="381">
        <v>90799.540000000008</v>
      </c>
      <c r="CS145" s="381">
        <v>0</v>
      </c>
      <c r="CT145" s="381">
        <v>0</v>
      </c>
      <c r="CU145" s="381">
        <v>0.26999999999679858</v>
      </c>
      <c r="CV145" s="381">
        <v>0</v>
      </c>
      <c r="CW145" s="381">
        <v>0</v>
      </c>
      <c r="CX145" s="381">
        <v>90799.81</v>
      </c>
      <c r="CY145" s="381"/>
      <c r="CZ145" s="117"/>
      <c r="DA145" s="384"/>
      <c r="DB145" s="117"/>
      <c r="DC145" s="384"/>
      <c r="DD145" s="385"/>
      <c r="DE145" s="117"/>
      <c r="DF145" s="117"/>
      <c r="DG145" s="381"/>
      <c r="DH145" s="386"/>
      <c r="DI145" s="387"/>
      <c r="DJ145" s="381"/>
      <c r="DK145" s="381">
        <v>117310.54000000001</v>
      </c>
      <c r="DL145" s="381">
        <v>19177.269999999997</v>
      </c>
      <c r="DM145" s="381">
        <v>136487.81</v>
      </c>
      <c r="DN145" s="381">
        <v>90799.540000000008</v>
      </c>
      <c r="DO145" s="381">
        <v>0.26999999999679858</v>
      </c>
      <c r="DP145" s="381">
        <v>90799.81</v>
      </c>
      <c r="DQ145" s="383"/>
      <c r="DR145" s="381"/>
      <c r="DS145" s="388"/>
      <c r="DT145" s="388"/>
    </row>
    <row r="146" spans="1:131" ht="15">
      <c r="A146" s="380">
        <v>585</v>
      </c>
      <c r="B146" s="391">
        <v>9162117</v>
      </c>
      <c r="C146" s="68">
        <v>2117</v>
      </c>
      <c r="D146" s="120"/>
      <c r="E146" s="120" t="s">
        <v>263</v>
      </c>
      <c r="F146" s="120"/>
      <c r="G146" s="120"/>
      <c r="H146" s="68"/>
      <c r="I146" s="381">
        <v>259195.72000000003</v>
      </c>
      <c r="J146" s="381">
        <v>17653</v>
      </c>
      <c r="K146" s="381">
        <v>0</v>
      </c>
      <c r="L146" s="381">
        <v>0</v>
      </c>
      <c r="M146" s="381">
        <v>0</v>
      </c>
      <c r="N146" s="381">
        <v>8.0000000000183036E-2</v>
      </c>
      <c r="O146" s="381">
        <v>276848.80000000005</v>
      </c>
      <c r="P146" s="389"/>
      <c r="Q146" s="381">
        <v>1235528</v>
      </c>
      <c r="R146" s="381">
        <v>0</v>
      </c>
      <c r="S146" s="381">
        <v>176821</v>
      </c>
      <c r="T146" s="381">
        <v>0</v>
      </c>
      <c r="U146" s="381">
        <v>100305</v>
      </c>
      <c r="V146" s="381">
        <v>32980</v>
      </c>
      <c r="W146" s="381">
        <v>0</v>
      </c>
      <c r="X146" s="381">
        <v>12000</v>
      </c>
      <c r="Y146" s="381">
        <v>50000</v>
      </c>
      <c r="Z146" s="381">
        <v>0</v>
      </c>
      <c r="AA146" s="381">
        <v>0</v>
      </c>
      <c r="AB146" s="381">
        <v>0</v>
      </c>
      <c r="AC146" s="381">
        <v>0</v>
      </c>
      <c r="AD146" s="381">
        <v>3000</v>
      </c>
      <c r="AE146" s="381">
        <v>0</v>
      </c>
      <c r="AF146" s="381">
        <v>0</v>
      </c>
      <c r="AG146" s="381">
        <v>0</v>
      </c>
      <c r="AH146" s="381">
        <v>0</v>
      </c>
      <c r="AI146" s="381">
        <v>0</v>
      </c>
      <c r="AJ146" s="381">
        <v>0</v>
      </c>
      <c r="AK146" s="381">
        <v>0</v>
      </c>
      <c r="AL146" s="381">
        <v>1610634</v>
      </c>
      <c r="AM146" s="389"/>
      <c r="AN146" s="381">
        <v>843499</v>
      </c>
      <c r="AO146" s="381">
        <v>31000</v>
      </c>
      <c r="AP146" s="381">
        <v>336950</v>
      </c>
      <c r="AQ146" s="381">
        <v>37674</v>
      </c>
      <c r="AR146" s="381">
        <v>70298</v>
      </c>
      <c r="AS146" s="381">
        <v>0</v>
      </c>
      <c r="AT146" s="381">
        <v>38222</v>
      </c>
      <c r="AU146" s="381">
        <v>6049</v>
      </c>
      <c r="AV146" s="381">
        <v>5000</v>
      </c>
      <c r="AW146" s="381">
        <v>1643</v>
      </c>
      <c r="AX146" s="381">
        <v>0</v>
      </c>
      <c r="AY146" s="381">
        <v>9550</v>
      </c>
      <c r="AZ146" s="381">
        <v>5013</v>
      </c>
      <c r="BA146" s="381">
        <v>3700</v>
      </c>
      <c r="BB146" s="381">
        <v>10000</v>
      </c>
      <c r="BC146" s="381">
        <v>32518</v>
      </c>
      <c r="BD146" s="381">
        <v>19386</v>
      </c>
      <c r="BE146" s="381">
        <v>5750</v>
      </c>
      <c r="BF146" s="381">
        <v>76995</v>
      </c>
      <c r="BG146" s="381">
        <v>0</v>
      </c>
      <c r="BH146" s="381">
        <v>0</v>
      </c>
      <c r="BI146" s="381">
        <v>2200</v>
      </c>
      <c r="BJ146" s="381">
        <v>0</v>
      </c>
      <c r="BK146" s="381">
        <v>13750</v>
      </c>
      <c r="BL146" s="381">
        <v>0</v>
      </c>
      <c r="BM146" s="381">
        <v>0</v>
      </c>
      <c r="BN146" s="381">
        <v>0</v>
      </c>
      <c r="BO146" s="381">
        <v>0</v>
      </c>
      <c r="BP146" s="381">
        <v>3000</v>
      </c>
      <c r="BQ146" s="381">
        <v>10014</v>
      </c>
      <c r="BR146" s="381">
        <v>38030</v>
      </c>
      <c r="BS146" s="381">
        <v>38567</v>
      </c>
      <c r="BT146" s="381">
        <v>54056</v>
      </c>
      <c r="BU146" s="381">
        <v>18911</v>
      </c>
      <c r="BV146" s="381">
        <v>0</v>
      </c>
      <c r="BW146" s="381">
        <v>0</v>
      </c>
      <c r="BX146" s="381">
        <v>0</v>
      </c>
      <c r="BY146" s="382">
        <v>-0.28000000000000114</v>
      </c>
      <c r="BZ146" s="382">
        <v>0.1999999999998181</v>
      </c>
      <c r="CA146" s="382">
        <v>1711774.92</v>
      </c>
      <c r="CB146" s="389"/>
      <c r="CC146" s="381">
        <v>6306</v>
      </c>
      <c r="CD146" s="381">
        <v>0</v>
      </c>
      <c r="CE146" s="381">
        <v>0</v>
      </c>
      <c r="CF146" s="381">
        <v>6306</v>
      </c>
      <c r="CG146" s="389"/>
      <c r="CH146" s="381">
        <v>0</v>
      </c>
      <c r="CI146" s="381">
        <v>6306</v>
      </c>
      <c r="CJ146" s="381">
        <v>0</v>
      </c>
      <c r="CK146" s="381">
        <v>0</v>
      </c>
      <c r="CL146" s="381">
        <v>0</v>
      </c>
      <c r="CM146" s="381">
        <v>0</v>
      </c>
      <c r="CN146" s="381">
        <v>0</v>
      </c>
      <c r="CO146" s="381">
        <v>0</v>
      </c>
      <c r="CP146" s="381">
        <v>6306</v>
      </c>
      <c r="CQ146" s="390"/>
      <c r="CR146" s="381">
        <v>175707.72000000006</v>
      </c>
      <c r="CS146" s="381">
        <v>0</v>
      </c>
      <c r="CT146" s="381">
        <v>0</v>
      </c>
      <c r="CU146" s="381">
        <v>0</v>
      </c>
      <c r="CV146" s="381">
        <v>0</v>
      </c>
      <c r="CW146" s="381">
        <v>8.0000000000183036E-2</v>
      </c>
      <c r="CX146" s="381">
        <v>175707.80000000005</v>
      </c>
      <c r="CY146" s="381"/>
      <c r="CZ146" s="117"/>
      <c r="DA146" s="384"/>
      <c r="DB146" s="117"/>
      <c r="DC146" s="384"/>
      <c r="DD146" s="385"/>
      <c r="DE146" s="117"/>
      <c r="DF146" s="117"/>
      <c r="DG146" s="381"/>
      <c r="DH146" s="386"/>
      <c r="DI146" s="387"/>
      <c r="DJ146" s="381"/>
      <c r="DK146" s="381">
        <v>276848.80000000005</v>
      </c>
      <c r="DL146" s="381">
        <v>0</v>
      </c>
      <c r="DM146" s="381">
        <v>276848.80000000005</v>
      </c>
      <c r="DN146" s="381">
        <v>175707.80000000005</v>
      </c>
      <c r="DO146" s="381">
        <v>0</v>
      </c>
      <c r="DP146" s="381">
        <v>175707.80000000005</v>
      </c>
      <c r="DQ146" s="383"/>
      <c r="DR146" s="381"/>
      <c r="DS146" s="388"/>
      <c r="DT146" s="388"/>
    </row>
    <row r="147" spans="1:131" ht="14.25">
      <c r="A147" s="380">
        <v>535</v>
      </c>
      <c r="B147" s="391">
        <v>9163086</v>
      </c>
      <c r="C147" s="68">
        <v>3086</v>
      </c>
      <c r="D147" s="120"/>
      <c r="E147" s="120" t="s">
        <v>272</v>
      </c>
      <c r="F147" s="120"/>
      <c r="G147" s="120"/>
      <c r="H147" s="68"/>
      <c r="I147" s="381">
        <v>52548.790000000023</v>
      </c>
      <c r="J147" s="381">
        <v>26586.83</v>
      </c>
      <c r="K147" s="381">
        <v>0</v>
      </c>
      <c r="L147" s="381">
        <v>9736.14</v>
      </c>
      <c r="M147" s="381">
        <v>0</v>
      </c>
      <c r="N147" s="381">
        <v>0</v>
      </c>
      <c r="O147" s="381">
        <v>88871.760000000024</v>
      </c>
      <c r="P147" s="381"/>
      <c r="Q147" s="381">
        <v>271496</v>
      </c>
      <c r="R147" s="381">
        <v>0</v>
      </c>
      <c r="S147" s="381">
        <v>47057</v>
      </c>
      <c r="T147" s="381">
        <v>0</v>
      </c>
      <c r="U147" s="381">
        <v>16665</v>
      </c>
      <c r="V147" s="381">
        <v>17270</v>
      </c>
      <c r="W147" s="381">
        <v>0</v>
      </c>
      <c r="X147" s="381">
        <v>0</v>
      </c>
      <c r="Y147" s="381">
        <v>3500</v>
      </c>
      <c r="Z147" s="381">
        <v>0</v>
      </c>
      <c r="AA147" s="381">
        <v>0</v>
      </c>
      <c r="AB147" s="381">
        <v>0</v>
      </c>
      <c r="AC147" s="381">
        <v>750</v>
      </c>
      <c r="AD147" s="381">
        <v>0</v>
      </c>
      <c r="AE147" s="381">
        <v>0</v>
      </c>
      <c r="AF147" s="381">
        <v>0</v>
      </c>
      <c r="AG147" s="381">
        <v>0</v>
      </c>
      <c r="AH147" s="381">
        <v>0</v>
      </c>
      <c r="AI147" s="381">
        <v>0</v>
      </c>
      <c r="AJ147" s="381">
        <v>0</v>
      </c>
      <c r="AK147" s="381">
        <v>0</v>
      </c>
      <c r="AL147" s="381">
        <v>356738</v>
      </c>
      <c r="AM147" s="381"/>
      <c r="AN147" s="381">
        <v>171817</v>
      </c>
      <c r="AO147" s="381">
        <v>1600</v>
      </c>
      <c r="AP147" s="381">
        <v>41956</v>
      </c>
      <c r="AQ147" s="381">
        <v>0</v>
      </c>
      <c r="AR147" s="381">
        <v>19328</v>
      </c>
      <c r="AS147" s="381">
        <v>0</v>
      </c>
      <c r="AT147" s="381">
        <v>6860</v>
      </c>
      <c r="AU147" s="381">
        <v>950</v>
      </c>
      <c r="AV147" s="381">
        <v>1400</v>
      </c>
      <c r="AW147" s="381">
        <v>1464</v>
      </c>
      <c r="AX147" s="381">
        <v>0</v>
      </c>
      <c r="AY147" s="381">
        <v>2661</v>
      </c>
      <c r="AZ147" s="381">
        <v>1771</v>
      </c>
      <c r="BA147" s="381">
        <v>8918</v>
      </c>
      <c r="BB147" s="381">
        <v>650</v>
      </c>
      <c r="BC147" s="381">
        <v>11500</v>
      </c>
      <c r="BD147" s="381">
        <v>2794</v>
      </c>
      <c r="BE147" s="381">
        <v>1680</v>
      </c>
      <c r="BF147" s="381">
        <v>27758</v>
      </c>
      <c r="BG147" s="381">
        <v>2500</v>
      </c>
      <c r="BH147" s="381">
        <v>0</v>
      </c>
      <c r="BI147" s="381">
        <v>400</v>
      </c>
      <c r="BJ147" s="381">
        <v>510</v>
      </c>
      <c r="BK147" s="381">
        <v>0</v>
      </c>
      <c r="BL147" s="381">
        <v>0</v>
      </c>
      <c r="BM147" s="381">
        <v>2800</v>
      </c>
      <c r="BN147" s="381">
        <v>0</v>
      </c>
      <c r="BO147" s="381">
        <v>1100</v>
      </c>
      <c r="BP147" s="381">
        <v>1133</v>
      </c>
      <c r="BQ147" s="381">
        <v>0</v>
      </c>
      <c r="BR147" s="381">
        <v>9125</v>
      </c>
      <c r="BS147" s="381">
        <v>1900</v>
      </c>
      <c r="BT147" s="381">
        <v>74105</v>
      </c>
      <c r="BU147" s="381">
        <v>11092</v>
      </c>
      <c r="BV147" s="381">
        <v>0</v>
      </c>
      <c r="BW147" s="381">
        <v>0</v>
      </c>
      <c r="BX147" s="381">
        <v>0</v>
      </c>
      <c r="BY147" s="382">
        <v>0</v>
      </c>
      <c r="BZ147" s="382">
        <v>0</v>
      </c>
      <c r="CA147" s="382">
        <v>407772</v>
      </c>
      <c r="CB147" s="381"/>
      <c r="CC147" s="381">
        <v>4248</v>
      </c>
      <c r="CD147" s="381">
        <v>0</v>
      </c>
      <c r="CE147" s="381">
        <v>0</v>
      </c>
      <c r="CF147" s="381">
        <v>4248</v>
      </c>
      <c r="CG147" s="381"/>
      <c r="CH147" s="381">
        <v>0</v>
      </c>
      <c r="CI147" s="381">
        <v>13984</v>
      </c>
      <c r="CJ147" s="381">
        <v>0</v>
      </c>
      <c r="CK147" s="381">
        <v>0</v>
      </c>
      <c r="CL147" s="381">
        <v>0</v>
      </c>
      <c r="CM147" s="381">
        <v>0</v>
      </c>
      <c r="CN147" s="381">
        <v>0</v>
      </c>
      <c r="CO147" s="381">
        <v>0</v>
      </c>
      <c r="CP147" s="381">
        <v>13984</v>
      </c>
      <c r="CQ147" s="381"/>
      <c r="CR147" s="381">
        <v>28101.620000000024</v>
      </c>
      <c r="CS147" s="381">
        <v>0</v>
      </c>
      <c r="CT147" s="381">
        <v>0</v>
      </c>
      <c r="CU147" s="381">
        <v>0.13999999999941792</v>
      </c>
      <c r="CV147" s="381">
        <v>0</v>
      </c>
      <c r="CW147" s="381">
        <v>0</v>
      </c>
      <c r="CX147" s="381">
        <v>28101.760000000024</v>
      </c>
      <c r="CY147" s="381"/>
      <c r="CZ147" s="117"/>
      <c r="DA147" s="384"/>
      <c r="DB147" s="117"/>
      <c r="DC147" s="384"/>
      <c r="DD147" s="385"/>
      <c r="DE147" s="117"/>
      <c r="DF147" s="117"/>
      <c r="DG147" s="381"/>
      <c r="DH147" s="386"/>
      <c r="DI147" s="387"/>
      <c r="DJ147" s="381"/>
      <c r="DK147" s="381">
        <v>79135.620000000024</v>
      </c>
      <c r="DL147" s="381">
        <v>9736.14</v>
      </c>
      <c r="DM147" s="381">
        <v>88871.760000000024</v>
      </c>
      <c r="DN147" s="381">
        <v>28101.620000000024</v>
      </c>
      <c r="DO147" s="381">
        <v>0.13999999999941792</v>
      </c>
      <c r="DP147" s="381">
        <v>28101.760000000024</v>
      </c>
      <c r="DQ147" s="383"/>
      <c r="DR147" s="381"/>
      <c r="DS147" s="388"/>
      <c r="DT147" s="388"/>
    </row>
    <row r="148" spans="1:131" ht="14.25">
      <c r="A148" s="380">
        <v>731</v>
      </c>
      <c r="B148" s="391">
        <v>9163341</v>
      </c>
      <c r="C148" s="68">
        <v>3341</v>
      </c>
      <c r="D148" s="120"/>
      <c r="E148" s="120" t="s">
        <v>767</v>
      </c>
      <c r="F148" s="120"/>
      <c r="G148" s="120"/>
      <c r="H148" s="68"/>
      <c r="I148" s="381">
        <v>148549.94000000003</v>
      </c>
      <c r="J148" s="381">
        <v>0</v>
      </c>
      <c r="K148" s="381">
        <v>0</v>
      </c>
      <c r="L148" s="381">
        <v>0</v>
      </c>
      <c r="M148" s="381">
        <v>0</v>
      </c>
      <c r="N148" s="381">
        <v>0</v>
      </c>
      <c r="O148" s="381">
        <v>148549.94000000003</v>
      </c>
      <c r="P148" s="381"/>
      <c r="Q148" s="381">
        <v>656932</v>
      </c>
      <c r="R148" s="381">
        <v>0</v>
      </c>
      <c r="S148" s="381">
        <v>31460</v>
      </c>
      <c r="T148" s="381">
        <v>0</v>
      </c>
      <c r="U148" s="381">
        <v>9090</v>
      </c>
      <c r="V148" s="381">
        <v>34338</v>
      </c>
      <c r="W148" s="381">
        <v>0</v>
      </c>
      <c r="X148" s="381">
        <v>0</v>
      </c>
      <c r="Y148" s="381">
        <v>32000</v>
      </c>
      <c r="Z148" s="381">
        <v>0</v>
      </c>
      <c r="AA148" s="381">
        <v>5000</v>
      </c>
      <c r="AB148" s="381">
        <v>0</v>
      </c>
      <c r="AC148" s="381">
        <v>31600</v>
      </c>
      <c r="AD148" s="381">
        <v>0</v>
      </c>
      <c r="AE148" s="381">
        <v>0</v>
      </c>
      <c r="AF148" s="381">
        <v>0</v>
      </c>
      <c r="AG148" s="381">
        <v>0</v>
      </c>
      <c r="AH148" s="381">
        <v>0</v>
      </c>
      <c r="AI148" s="381">
        <v>0</v>
      </c>
      <c r="AJ148" s="381">
        <v>0</v>
      </c>
      <c r="AK148" s="381">
        <v>0</v>
      </c>
      <c r="AL148" s="381">
        <v>800420</v>
      </c>
      <c r="AM148" s="381"/>
      <c r="AN148" s="381">
        <v>367046</v>
      </c>
      <c r="AO148" s="381">
        <v>11176</v>
      </c>
      <c r="AP148" s="381">
        <v>111249</v>
      </c>
      <c r="AQ148" s="381">
        <v>17901</v>
      </c>
      <c r="AR148" s="381">
        <v>49256</v>
      </c>
      <c r="AS148" s="381">
        <v>0</v>
      </c>
      <c r="AT148" s="381">
        <v>37296</v>
      </c>
      <c r="AU148" s="381">
        <v>1157</v>
      </c>
      <c r="AV148" s="381">
        <v>8740</v>
      </c>
      <c r="AW148" s="381">
        <v>6026</v>
      </c>
      <c r="AX148" s="381">
        <v>0</v>
      </c>
      <c r="AY148" s="381">
        <v>16317</v>
      </c>
      <c r="AZ148" s="381">
        <v>1367</v>
      </c>
      <c r="BA148" s="381">
        <v>1940</v>
      </c>
      <c r="BB148" s="381">
        <v>2236</v>
      </c>
      <c r="BC148" s="381">
        <v>6200</v>
      </c>
      <c r="BD148" s="381">
        <v>1621</v>
      </c>
      <c r="BE148" s="381">
        <v>2009</v>
      </c>
      <c r="BF148" s="381">
        <v>79073</v>
      </c>
      <c r="BG148" s="381">
        <v>0</v>
      </c>
      <c r="BH148" s="381">
        <v>0</v>
      </c>
      <c r="BI148" s="381">
        <v>10000</v>
      </c>
      <c r="BJ148" s="381">
        <v>0</v>
      </c>
      <c r="BK148" s="381">
        <v>0</v>
      </c>
      <c r="BL148" s="381">
        <v>9901</v>
      </c>
      <c r="BM148" s="381">
        <v>9000</v>
      </c>
      <c r="BN148" s="381">
        <v>0</v>
      </c>
      <c r="BO148" s="381">
        <v>1712</v>
      </c>
      <c r="BP148" s="381">
        <v>1289</v>
      </c>
      <c r="BQ148" s="381">
        <v>5722</v>
      </c>
      <c r="BR148" s="381">
        <v>0</v>
      </c>
      <c r="BS148" s="381">
        <v>23686</v>
      </c>
      <c r="BT148" s="381">
        <v>22000</v>
      </c>
      <c r="BU148" s="381">
        <v>21905</v>
      </c>
      <c r="BV148" s="381">
        <v>0</v>
      </c>
      <c r="BW148" s="381">
        <v>0</v>
      </c>
      <c r="BX148" s="381">
        <v>0</v>
      </c>
      <c r="BY148" s="382">
        <v>0</v>
      </c>
      <c r="BZ148" s="382">
        <v>0</v>
      </c>
      <c r="CA148" s="382">
        <v>825825</v>
      </c>
      <c r="CB148" s="381"/>
      <c r="CC148" s="381">
        <v>0</v>
      </c>
      <c r="CD148" s="381">
        <v>0</v>
      </c>
      <c r="CE148" s="381">
        <v>0</v>
      </c>
      <c r="CF148" s="381">
        <v>0</v>
      </c>
      <c r="CG148" s="381"/>
      <c r="CH148" s="381">
        <v>0</v>
      </c>
      <c r="CI148" s="381">
        <v>0</v>
      </c>
      <c r="CJ148" s="381">
        <v>0</v>
      </c>
      <c r="CK148" s="381">
        <v>0</v>
      </c>
      <c r="CL148" s="381">
        <v>0</v>
      </c>
      <c r="CM148" s="381">
        <v>0</v>
      </c>
      <c r="CN148" s="381">
        <v>0</v>
      </c>
      <c r="CO148" s="381">
        <v>0</v>
      </c>
      <c r="CP148" s="381">
        <v>0</v>
      </c>
      <c r="CQ148" s="381"/>
      <c r="CR148" s="381">
        <v>123144.94000000003</v>
      </c>
      <c r="CS148" s="381">
        <v>0</v>
      </c>
      <c r="CT148" s="381">
        <v>0</v>
      </c>
      <c r="CU148" s="381">
        <v>0</v>
      </c>
      <c r="CV148" s="381">
        <v>0</v>
      </c>
      <c r="CW148" s="381">
        <v>0</v>
      </c>
      <c r="CX148" s="381">
        <v>123144.94000000003</v>
      </c>
      <c r="CY148" s="381"/>
      <c r="CZ148" s="117"/>
      <c r="DA148" s="384"/>
      <c r="DB148" s="117"/>
      <c r="DC148" s="384"/>
      <c r="DD148" s="385"/>
      <c r="DE148" s="117"/>
      <c r="DF148" s="117"/>
      <c r="DG148" s="381"/>
      <c r="DH148" s="386"/>
      <c r="DI148" s="387"/>
      <c r="DJ148" s="381"/>
      <c r="DK148" s="381">
        <v>148549.94000000003</v>
      </c>
      <c r="DL148" s="381">
        <v>0</v>
      </c>
      <c r="DM148" s="381">
        <v>148549.94000000003</v>
      </c>
      <c r="DN148" s="381">
        <v>123144.94000000003</v>
      </c>
      <c r="DO148" s="381">
        <v>0</v>
      </c>
      <c r="DP148" s="381">
        <v>123144.94000000003</v>
      </c>
      <c r="DQ148" s="383"/>
      <c r="DR148" s="381"/>
      <c r="DS148" s="388"/>
      <c r="DT148" s="388"/>
    </row>
    <row r="149" spans="1:131" ht="15">
      <c r="A149" s="380">
        <v>845</v>
      </c>
      <c r="B149" s="391">
        <v>9163081</v>
      </c>
      <c r="C149" s="68">
        <v>3081</v>
      </c>
      <c r="D149" s="120"/>
      <c r="E149" s="120" t="s">
        <v>280</v>
      </c>
      <c r="F149" s="120"/>
      <c r="G149" s="120"/>
      <c r="H149" s="68"/>
      <c r="I149" s="381">
        <v>127966.05000000005</v>
      </c>
      <c r="J149" s="381">
        <v>19526</v>
      </c>
      <c r="K149" s="381">
        <v>0</v>
      </c>
      <c r="L149" s="381">
        <v>13060.490000000002</v>
      </c>
      <c r="M149" s="381">
        <v>0</v>
      </c>
      <c r="N149" s="381">
        <v>0</v>
      </c>
      <c r="O149" s="381">
        <v>160552.54000000004</v>
      </c>
      <c r="P149" s="389"/>
      <c r="Q149" s="381">
        <v>436540</v>
      </c>
      <c r="R149" s="381">
        <v>0</v>
      </c>
      <c r="S149" s="381">
        <v>6589</v>
      </c>
      <c r="T149" s="381">
        <v>0</v>
      </c>
      <c r="U149" s="381">
        <v>28785</v>
      </c>
      <c r="V149" s="381">
        <v>22802</v>
      </c>
      <c r="W149" s="381">
        <v>0</v>
      </c>
      <c r="X149" s="381">
        <v>0</v>
      </c>
      <c r="Y149" s="381">
        <v>500</v>
      </c>
      <c r="Z149" s="381">
        <v>0</v>
      </c>
      <c r="AA149" s="381">
        <v>0</v>
      </c>
      <c r="AB149" s="381">
        <v>0</v>
      </c>
      <c r="AC149" s="381">
        <v>800</v>
      </c>
      <c r="AD149" s="381">
        <v>0</v>
      </c>
      <c r="AE149" s="381">
        <v>0</v>
      </c>
      <c r="AF149" s="381">
        <v>0</v>
      </c>
      <c r="AG149" s="381">
        <v>0</v>
      </c>
      <c r="AH149" s="381">
        <v>0</v>
      </c>
      <c r="AI149" s="381">
        <v>0</v>
      </c>
      <c r="AJ149" s="381">
        <v>0</v>
      </c>
      <c r="AK149" s="381">
        <v>0</v>
      </c>
      <c r="AL149" s="381">
        <v>496016</v>
      </c>
      <c r="AM149" s="389"/>
      <c r="AN149" s="381">
        <v>222564</v>
      </c>
      <c r="AO149" s="381">
        <v>7000</v>
      </c>
      <c r="AP149" s="381">
        <v>89789</v>
      </c>
      <c r="AQ149" s="381">
        <v>8723</v>
      </c>
      <c r="AR149" s="381">
        <v>31650</v>
      </c>
      <c r="AS149" s="381">
        <v>0</v>
      </c>
      <c r="AT149" s="381">
        <v>20135</v>
      </c>
      <c r="AU149" s="381">
        <v>2300</v>
      </c>
      <c r="AV149" s="381">
        <v>3800</v>
      </c>
      <c r="AW149" s="381">
        <v>3915</v>
      </c>
      <c r="AX149" s="381">
        <v>942</v>
      </c>
      <c r="AY149" s="381">
        <v>8000</v>
      </c>
      <c r="AZ149" s="381">
        <v>0</v>
      </c>
      <c r="BA149" s="381">
        <v>2007</v>
      </c>
      <c r="BB149" s="381">
        <v>500</v>
      </c>
      <c r="BC149" s="381">
        <v>6000</v>
      </c>
      <c r="BD149" s="381">
        <v>5115</v>
      </c>
      <c r="BE149" s="381">
        <v>2850</v>
      </c>
      <c r="BF149" s="381">
        <v>34263</v>
      </c>
      <c r="BG149" s="381">
        <v>0</v>
      </c>
      <c r="BH149" s="381">
        <v>0</v>
      </c>
      <c r="BI149" s="381">
        <v>3300</v>
      </c>
      <c r="BJ149" s="381">
        <v>0</v>
      </c>
      <c r="BK149" s="381">
        <v>0</v>
      </c>
      <c r="BL149" s="381">
        <v>0</v>
      </c>
      <c r="BM149" s="381">
        <v>0</v>
      </c>
      <c r="BN149" s="381">
        <v>0</v>
      </c>
      <c r="BO149" s="381">
        <v>2690</v>
      </c>
      <c r="BP149" s="381">
        <v>4900</v>
      </c>
      <c r="BQ149" s="381">
        <v>2591</v>
      </c>
      <c r="BR149" s="381">
        <v>0</v>
      </c>
      <c r="BS149" s="381">
        <v>16729</v>
      </c>
      <c r="BT149" s="381">
        <v>7000</v>
      </c>
      <c r="BU149" s="381">
        <v>27582</v>
      </c>
      <c r="BV149" s="381">
        <v>0</v>
      </c>
      <c r="BW149" s="381">
        <v>0</v>
      </c>
      <c r="BX149" s="381">
        <v>0</v>
      </c>
      <c r="BY149" s="382">
        <v>0</v>
      </c>
      <c r="BZ149" s="382">
        <v>0</v>
      </c>
      <c r="CA149" s="382">
        <v>514345</v>
      </c>
      <c r="CB149" s="389"/>
      <c r="CC149" s="381">
        <v>4563</v>
      </c>
      <c r="CD149" s="381">
        <v>0</v>
      </c>
      <c r="CE149" s="381">
        <v>0</v>
      </c>
      <c r="CF149" s="381">
        <v>4563</v>
      </c>
      <c r="CG149" s="389"/>
      <c r="CH149" s="381">
        <v>0</v>
      </c>
      <c r="CI149" s="381">
        <v>17623</v>
      </c>
      <c r="CJ149" s="381">
        <v>0</v>
      </c>
      <c r="CK149" s="381">
        <v>0</v>
      </c>
      <c r="CL149" s="381">
        <v>0</v>
      </c>
      <c r="CM149" s="381">
        <v>0</v>
      </c>
      <c r="CN149" s="381">
        <v>0</v>
      </c>
      <c r="CO149" s="381">
        <v>0</v>
      </c>
      <c r="CP149" s="381">
        <v>17623</v>
      </c>
      <c r="CQ149" s="390"/>
      <c r="CR149" s="381">
        <v>129163.05000000005</v>
      </c>
      <c r="CS149" s="381">
        <v>0</v>
      </c>
      <c r="CT149" s="381">
        <v>0</v>
      </c>
      <c r="CU149" s="381">
        <v>0.49000000000160071</v>
      </c>
      <c r="CV149" s="381">
        <v>0</v>
      </c>
      <c r="CW149" s="381">
        <v>0</v>
      </c>
      <c r="CX149" s="381">
        <v>129163.54000000005</v>
      </c>
      <c r="CY149" s="381"/>
      <c r="CZ149" s="117"/>
      <c r="DA149" s="384"/>
      <c r="DB149" s="117"/>
      <c r="DC149" s="384"/>
      <c r="DD149" s="385"/>
      <c r="DE149" s="117"/>
      <c r="DF149" s="117"/>
      <c r="DG149" s="381"/>
      <c r="DH149" s="386"/>
      <c r="DI149" s="387"/>
      <c r="DJ149" s="381"/>
      <c r="DK149" s="381">
        <v>147492.05000000005</v>
      </c>
      <c r="DL149" s="381">
        <v>13060.490000000002</v>
      </c>
      <c r="DM149" s="381">
        <v>160552.54000000004</v>
      </c>
      <c r="DN149" s="381">
        <v>129163.05000000005</v>
      </c>
      <c r="DO149" s="381">
        <v>0.49000000000160071</v>
      </c>
      <c r="DP149" s="381">
        <v>129163.54000000005</v>
      </c>
      <c r="DQ149" s="383"/>
      <c r="DR149" s="381"/>
      <c r="DS149" s="388"/>
      <c r="DT149" s="388"/>
    </row>
    <row r="150" spans="1:131" ht="14.25">
      <c r="A150" s="380">
        <v>580</v>
      </c>
      <c r="B150" s="391">
        <v>9162143</v>
      </c>
      <c r="C150" s="68">
        <v>2143</v>
      </c>
      <c r="D150" s="120"/>
      <c r="E150" s="120" t="s">
        <v>245</v>
      </c>
      <c r="F150" s="120"/>
      <c r="G150" s="120"/>
      <c r="H150" s="68"/>
      <c r="I150" s="381">
        <v>103870.88000000021</v>
      </c>
      <c r="J150" s="381">
        <v>18646.72</v>
      </c>
      <c r="K150" s="381">
        <v>0</v>
      </c>
      <c r="L150" s="381">
        <v>-5999.9999999999964</v>
      </c>
      <c r="M150" s="381">
        <v>0</v>
      </c>
      <c r="N150" s="381">
        <v>0</v>
      </c>
      <c r="O150" s="381">
        <v>116517.60000000021</v>
      </c>
      <c r="P150" s="381"/>
      <c r="Q150" s="381">
        <v>1153412</v>
      </c>
      <c r="R150" s="381">
        <v>0</v>
      </c>
      <c r="S150" s="381">
        <v>128916</v>
      </c>
      <c r="T150" s="381">
        <v>0</v>
      </c>
      <c r="U150" s="381">
        <v>86655</v>
      </c>
      <c r="V150" s="381">
        <v>40839</v>
      </c>
      <c r="W150" s="381">
        <v>0</v>
      </c>
      <c r="X150" s="381">
        <v>4000</v>
      </c>
      <c r="Y150" s="381">
        <v>51386</v>
      </c>
      <c r="Z150" s="381">
        <v>0</v>
      </c>
      <c r="AA150" s="381">
        <v>0</v>
      </c>
      <c r="AB150" s="381">
        <v>0</v>
      </c>
      <c r="AC150" s="381">
        <v>0</v>
      </c>
      <c r="AD150" s="381">
        <v>0</v>
      </c>
      <c r="AE150" s="381">
        <v>0</v>
      </c>
      <c r="AF150" s="381">
        <v>0</v>
      </c>
      <c r="AG150" s="381">
        <v>0</v>
      </c>
      <c r="AH150" s="381">
        <v>0</v>
      </c>
      <c r="AI150" s="381">
        <v>0</v>
      </c>
      <c r="AJ150" s="381">
        <v>0</v>
      </c>
      <c r="AK150" s="381">
        <v>0</v>
      </c>
      <c r="AL150" s="381">
        <v>1465208</v>
      </c>
      <c r="AM150" s="381"/>
      <c r="AN150" s="381">
        <v>686849</v>
      </c>
      <c r="AO150" s="381">
        <v>15500</v>
      </c>
      <c r="AP150" s="381">
        <v>419013</v>
      </c>
      <c r="AQ150" s="381">
        <v>27871</v>
      </c>
      <c r="AR150" s="381">
        <v>65892</v>
      </c>
      <c r="AS150" s="381">
        <v>0</v>
      </c>
      <c r="AT150" s="381">
        <v>95004</v>
      </c>
      <c r="AU150" s="381">
        <v>5897</v>
      </c>
      <c r="AV150" s="381">
        <v>5190</v>
      </c>
      <c r="AW150" s="381">
        <v>14635</v>
      </c>
      <c r="AX150" s="381">
        <v>3501</v>
      </c>
      <c r="AY150" s="381">
        <v>17574</v>
      </c>
      <c r="AZ150" s="381">
        <v>6762</v>
      </c>
      <c r="BA150" s="381">
        <v>4032</v>
      </c>
      <c r="BB150" s="381">
        <v>2000</v>
      </c>
      <c r="BC150" s="381">
        <v>25230</v>
      </c>
      <c r="BD150" s="381">
        <v>15206</v>
      </c>
      <c r="BE150" s="381">
        <v>6450</v>
      </c>
      <c r="BF150" s="381">
        <v>60796</v>
      </c>
      <c r="BG150" s="381">
        <v>4000</v>
      </c>
      <c r="BH150" s="381">
        <v>0</v>
      </c>
      <c r="BI150" s="381">
        <v>3110</v>
      </c>
      <c r="BJ150" s="381">
        <v>1000</v>
      </c>
      <c r="BK150" s="381">
        <v>0</v>
      </c>
      <c r="BL150" s="381">
        <v>0</v>
      </c>
      <c r="BM150" s="381">
        <v>3174</v>
      </c>
      <c r="BN150" s="381">
        <v>0</v>
      </c>
      <c r="BO150" s="381">
        <v>6160</v>
      </c>
      <c r="BP150" s="381">
        <v>11174</v>
      </c>
      <c r="BQ150" s="381">
        <v>0</v>
      </c>
      <c r="BR150" s="381">
        <v>56482</v>
      </c>
      <c r="BS150" s="381">
        <v>5000</v>
      </c>
      <c r="BT150" s="381">
        <v>17962</v>
      </c>
      <c r="BU150" s="381">
        <v>23792</v>
      </c>
      <c r="BV150" s="381">
        <v>0</v>
      </c>
      <c r="BW150" s="381">
        <v>0</v>
      </c>
      <c r="BX150" s="381">
        <v>0</v>
      </c>
      <c r="BY150" s="382">
        <v>0</v>
      </c>
      <c r="BZ150" s="382">
        <v>0</v>
      </c>
      <c r="CA150" s="382">
        <v>1609256</v>
      </c>
      <c r="CB150" s="381"/>
      <c r="CC150" s="381">
        <v>6362</v>
      </c>
      <c r="CD150" s="381">
        <v>0</v>
      </c>
      <c r="CE150" s="381">
        <v>0</v>
      </c>
      <c r="CF150" s="381">
        <v>6362</v>
      </c>
      <c r="CG150" s="381"/>
      <c r="CH150" s="381">
        <v>0</v>
      </c>
      <c r="CI150" s="381">
        <v>362</v>
      </c>
      <c r="CJ150" s="381">
        <v>0</v>
      </c>
      <c r="CK150" s="381">
        <v>0</v>
      </c>
      <c r="CL150" s="381">
        <v>0</v>
      </c>
      <c r="CM150" s="381">
        <v>0</v>
      </c>
      <c r="CN150" s="381">
        <v>0</v>
      </c>
      <c r="CO150" s="381">
        <v>0</v>
      </c>
      <c r="CP150" s="381">
        <v>362</v>
      </c>
      <c r="CQ150" s="381"/>
      <c r="CR150" s="381">
        <v>-21530.39999999979</v>
      </c>
      <c r="CS150" s="381">
        <v>0</v>
      </c>
      <c r="CT150" s="381">
        <v>0</v>
      </c>
      <c r="CU150" s="381">
        <v>3.637978807091713E-12</v>
      </c>
      <c r="CV150" s="381">
        <v>0</v>
      </c>
      <c r="CW150" s="381">
        <v>0</v>
      </c>
      <c r="CX150" s="381">
        <v>-21530.399999999787</v>
      </c>
      <c r="CY150" s="381"/>
      <c r="CZ150" s="117"/>
      <c r="DA150" s="384"/>
      <c r="DB150" s="117"/>
      <c r="DC150" s="384"/>
      <c r="DD150" s="385"/>
      <c r="DE150" s="117"/>
      <c r="DF150" s="117"/>
      <c r="DG150" s="381"/>
      <c r="DH150" s="386"/>
      <c r="DI150" s="387"/>
      <c r="DJ150" s="381"/>
      <c r="DK150" s="381">
        <v>122517.60000000021</v>
      </c>
      <c r="DL150" s="381">
        <v>-5999.9999999999964</v>
      </c>
      <c r="DM150" s="381">
        <v>116517.60000000021</v>
      </c>
      <c r="DN150" s="381">
        <v>-21530.39999999979</v>
      </c>
      <c r="DO150" s="381">
        <v>3.637978807091713E-12</v>
      </c>
      <c r="DP150" s="381">
        <v>-21530.399999999787</v>
      </c>
      <c r="DQ150" s="383"/>
      <c r="DR150" s="381"/>
      <c r="DS150" s="388"/>
      <c r="DT150" s="388"/>
    </row>
    <row r="151" spans="1:131" ht="14.25">
      <c r="A151" s="380">
        <v>791</v>
      </c>
      <c r="B151" s="391">
        <v>9162146</v>
      </c>
      <c r="C151" s="68">
        <v>2146</v>
      </c>
      <c r="D151" s="120"/>
      <c r="E151" s="120" t="s">
        <v>766</v>
      </c>
      <c r="F151" s="120"/>
      <c r="G151" s="120"/>
      <c r="H151" s="68"/>
      <c r="I151" s="381">
        <v>-168205.30000000022</v>
      </c>
      <c r="J151" s="381">
        <v>601.39</v>
      </c>
      <c r="K151" s="381">
        <v>0</v>
      </c>
      <c r="L151" s="381">
        <v>1574.38</v>
      </c>
      <c r="M151" s="381">
        <v>0</v>
      </c>
      <c r="N151" s="381">
        <v>-19474.250000000058</v>
      </c>
      <c r="O151" s="381">
        <v>-185503.78000000026</v>
      </c>
      <c r="P151" s="381"/>
      <c r="Q151" s="381">
        <v>731563</v>
      </c>
      <c r="R151" s="381">
        <v>0</v>
      </c>
      <c r="S151" s="381">
        <v>21534</v>
      </c>
      <c r="T151" s="381">
        <v>0</v>
      </c>
      <c r="U151" s="381">
        <v>46965</v>
      </c>
      <c r="V151" s="381">
        <v>54749</v>
      </c>
      <c r="W151" s="381">
        <v>0</v>
      </c>
      <c r="X151" s="381">
        <v>0</v>
      </c>
      <c r="Y151" s="381">
        <v>40782</v>
      </c>
      <c r="Z151" s="381">
        <v>0</v>
      </c>
      <c r="AA151" s="381">
        <v>0</v>
      </c>
      <c r="AB151" s="381">
        <v>0</v>
      </c>
      <c r="AC151" s="381">
        <v>0</v>
      </c>
      <c r="AD151" s="381">
        <v>0</v>
      </c>
      <c r="AE151" s="381">
        <v>0</v>
      </c>
      <c r="AF151" s="381">
        <v>226731</v>
      </c>
      <c r="AG151" s="381">
        <v>3500</v>
      </c>
      <c r="AH151" s="381">
        <v>0</v>
      </c>
      <c r="AI151" s="381">
        <v>0</v>
      </c>
      <c r="AJ151" s="381">
        <v>0</v>
      </c>
      <c r="AK151" s="381">
        <v>0</v>
      </c>
      <c r="AL151" s="381">
        <v>1125824</v>
      </c>
      <c r="AM151" s="381"/>
      <c r="AN151" s="381">
        <v>361085</v>
      </c>
      <c r="AO151" s="381">
        <v>0</v>
      </c>
      <c r="AP151" s="381">
        <v>148320</v>
      </c>
      <c r="AQ151" s="381">
        <v>55012</v>
      </c>
      <c r="AR151" s="381">
        <v>64898</v>
      </c>
      <c r="AS151" s="381">
        <v>0</v>
      </c>
      <c r="AT151" s="381">
        <v>42412</v>
      </c>
      <c r="AU151" s="381">
        <v>4820</v>
      </c>
      <c r="AV151" s="381">
        <v>2041</v>
      </c>
      <c r="AW151" s="381">
        <v>339</v>
      </c>
      <c r="AX151" s="381">
        <v>0</v>
      </c>
      <c r="AY151" s="381">
        <v>16326</v>
      </c>
      <c r="AZ151" s="381">
        <v>2060</v>
      </c>
      <c r="BA151" s="381">
        <v>3605</v>
      </c>
      <c r="BB151" s="381">
        <v>4120</v>
      </c>
      <c r="BC151" s="381">
        <v>32960</v>
      </c>
      <c r="BD151" s="381">
        <v>16947</v>
      </c>
      <c r="BE151" s="381">
        <v>3151</v>
      </c>
      <c r="BF151" s="381">
        <v>11938</v>
      </c>
      <c r="BG151" s="381">
        <v>6000</v>
      </c>
      <c r="BH151" s="381">
        <v>0</v>
      </c>
      <c r="BI151" s="381">
        <v>0</v>
      </c>
      <c r="BJ151" s="381">
        <v>2000</v>
      </c>
      <c r="BK151" s="381">
        <v>0</v>
      </c>
      <c r="BL151" s="381">
        <v>0</v>
      </c>
      <c r="BM151" s="381">
        <v>2915</v>
      </c>
      <c r="BN151" s="381">
        <v>0</v>
      </c>
      <c r="BO151" s="381">
        <v>4639</v>
      </c>
      <c r="BP151" s="381">
        <v>5958</v>
      </c>
      <c r="BQ151" s="381">
        <v>0</v>
      </c>
      <c r="BR151" s="381">
        <v>59045</v>
      </c>
      <c r="BS151" s="381">
        <v>6000</v>
      </c>
      <c r="BT151" s="381">
        <v>5443</v>
      </c>
      <c r="BU151" s="381">
        <v>15992</v>
      </c>
      <c r="BV151" s="381">
        <v>0</v>
      </c>
      <c r="BW151" s="381">
        <v>0</v>
      </c>
      <c r="BX151" s="381">
        <v>0</v>
      </c>
      <c r="BY151" s="382">
        <v>227195</v>
      </c>
      <c r="BZ151" s="382">
        <v>2000</v>
      </c>
      <c r="CA151" s="382">
        <v>1107221</v>
      </c>
      <c r="CB151" s="381"/>
      <c r="CC151" s="381">
        <v>5316</v>
      </c>
      <c r="CD151" s="381">
        <v>0</v>
      </c>
      <c r="CE151" s="381">
        <v>0</v>
      </c>
      <c r="CF151" s="381">
        <v>5316</v>
      </c>
      <c r="CG151" s="381"/>
      <c r="CH151" s="381">
        <v>0</v>
      </c>
      <c r="CI151" s="381">
        <v>6890</v>
      </c>
      <c r="CJ151" s="381">
        <v>0</v>
      </c>
      <c r="CK151" s="381">
        <v>0</v>
      </c>
      <c r="CL151" s="381">
        <v>0</v>
      </c>
      <c r="CM151" s="381">
        <v>0</v>
      </c>
      <c r="CN151" s="381">
        <v>0</v>
      </c>
      <c r="CO151" s="381">
        <v>0</v>
      </c>
      <c r="CP151" s="381">
        <v>6890</v>
      </c>
      <c r="CQ151" s="381"/>
      <c r="CR151" s="381">
        <v>-150036.91000000021</v>
      </c>
      <c r="CS151" s="381">
        <v>0</v>
      </c>
      <c r="CT151" s="381">
        <v>0</v>
      </c>
      <c r="CU151" s="381">
        <v>0.38000000000010914</v>
      </c>
      <c r="CV151" s="381">
        <v>0</v>
      </c>
      <c r="CW151" s="381">
        <v>-18438.250000000058</v>
      </c>
      <c r="CX151" s="381">
        <v>-168474.78000000026</v>
      </c>
      <c r="CY151" s="381"/>
      <c r="CZ151" s="117"/>
      <c r="DA151" s="384"/>
      <c r="DB151" s="117"/>
      <c r="DC151" s="384"/>
      <c r="DD151" s="385"/>
      <c r="DE151" s="117"/>
      <c r="DF151" s="117"/>
      <c r="DG151" s="381"/>
      <c r="DH151" s="386"/>
      <c r="DI151" s="387"/>
      <c r="DJ151" s="381"/>
      <c r="DK151" s="381">
        <v>-187078.16000000027</v>
      </c>
      <c r="DL151" s="381">
        <v>1574.38</v>
      </c>
      <c r="DM151" s="381">
        <v>-185503.78000000026</v>
      </c>
      <c r="DN151" s="381">
        <v>-168475.16000000027</v>
      </c>
      <c r="DO151" s="381">
        <v>0.38000000000010914</v>
      </c>
      <c r="DP151" s="381">
        <v>-168474.78000000026</v>
      </c>
      <c r="DQ151" s="383"/>
      <c r="DR151" s="381"/>
      <c r="DS151" s="388"/>
      <c r="DT151" s="388"/>
    </row>
    <row r="152" spans="1:131" ht="14.25">
      <c r="A152" s="380">
        <v>797</v>
      </c>
      <c r="B152" s="391">
        <v>9162090</v>
      </c>
      <c r="C152" s="68">
        <v>2090</v>
      </c>
      <c r="D152" s="120"/>
      <c r="E152" s="120" t="s">
        <v>286</v>
      </c>
      <c r="F152" s="120"/>
      <c r="G152" s="120"/>
      <c r="H152" s="68"/>
      <c r="I152" s="381">
        <v>268759.78999999998</v>
      </c>
      <c r="J152" s="381">
        <v>0</v>
      </c>
      <c r="K152" s="381">
        <v>0</v>
      </c>
      <c r="L152" s="381">
        <v>-0.22000000000116415</v>
      </c>
      <c r="M152" s="381">
        <v>0</v>
      </c>
      <c r="N152" s="381">
        <v>0</v>
      </c>
      <c r="O152" s="381">
        <v>268759.56999999995</v>
      </c>
      <c r="P152" s="381"/>
      <c r="Q152" s="381">
        <v>1083902</v>
      </c>
      <c r="R152" s="381">
        <v>0</v>
      </c>
      <c r="S152" s="381">
        <v>151688</v>
      </c>
      <c r="T152" s="381">
        <v>0</v>
      </c>
      <c r="U152" s="381">
        <v>114220</v>
      </c>
      <c r="V152" s="381">
        <v>18035</v>
      </c>
      <c r="W152" s="381">
        <v>0</v>
      </c>
      <c r="X152" s="381">
        <v>6000</v>
      </c>
      <c r="Y152" s="381">
        <v>0</v>
      </c>
      <c r="Z152" s="381">
        <v>0</v>
      </c>
      <c r="AA152" s="381">
        <v>0</v>
      </c>
      <c r="AB152" s="381">
        <v>0</v>
      </c>
      <c r="AC152" s="381">
        <v>14000</v>
      </c>
      <c r="AD152" s="381">
        <v>0</v>
      </c>
      <c r="AE152" s="381">
        <v>0</v>
      </c>
      <c r="AF152" s="381">
        <v>0</v>
      </c>
      <c r="AG152" s="381">
        <v>0</v>
      </c>
      <c r="AH152" s="381">
        <v>0</v>
      </c>
      <c r="AI152" s="381">
        <v>0</v>
      </c>
      <c r="AJ152" s="381">
        <v>0</v>
      </c>
      <c r="AK152" s="381">
        <v>0</v>
      </c>
      <c r="AL152" s="381">
        <v>1387845</v>
      </c>
      <c r="AM152" s="381"/>
      <c r="AN152" s="381">
        <v>539755</v>
      </c>
      <c r="AO152" s="381">
        <v>0</v>
      </c>
      <c r="AP152" s="381">
        <v>332313</v>
      </c>
      <c r="AQ152" s="381">
        <v>58379</v>
      </c>
      <c r="AR152" s="381">
        <v>59745</v>
      </c>
      <c r="AS152" s="381">
        <v>0</v>
      </c>
      <c r="AT152" s="381">
        <v>43997</v>
      </c>
      <c r="AU152" s="381">
        <v>6151</v>
      </c>
      <c r="AV152" s="381">
        <v>5974</v>
      </c>
      <c r="AW152" s="381">
        <v>519</v>
      </c>
      <c r="AX152" s="381">
        <v>11496</v>
      </c>
      <c r="AY152" s="381">
        <v>18665</v>
      </c>
      <c r="AZ152" s="381">
        <v>2318</v>
      </c>
      <c r="BA152" s="381">
        <v>3090</v>
      </c>
      <c r="BB152" s="381">
        <v>5665</v>
      </c>
      <c r="BC152" s="381">
        <v>24320</v>
      </c>
      <c r="BD152" s="381">
        <v>19960</v>
      </c>
      <c r="BE152" s="381">
        <v>2575</v>
      </c>
      <c r="BF152" s="381">
        <v>61688</v>
      </c>
      <c r="BG152" s="381">
        <v>2575</v>
      </c>
      <c r="BH152" s="381">
        <v>0</v>
      </c>
      <c r="BI152" s="381">
        <v>14935</v>
      </c>
      <c r="BJ152" s="381">
        <v>6480</v>
      </c>
      <c r="BK152" s="381">
        <v>0</v>
      </c>
      <c r="BL152" s="381">
        <v>0</v>
      </c>
      <c r="BM152" s="381">
        <v>1785</v>
      </c>
      <c r="BN152" s="381">
        <v>0</v>
      </c>
      <c r="BO152" s="381">
        <v>5047</v>
      </c>
      <c r="BP152" s="381">
        <v>9176</v>
      </c>
      <c r="BQ152" s="381">
        <v>0</v>
      </c>
      <c r="BR152" s="381">
        <v>35008</v>
      </c>
      <c r="BS152" s="381">
        <v>28500</v>
      </c>
      <c r="BT152" s="381">
        <v>76000</v>
      </c>
      <c r="BU152" s="381">
        <v>18856</v>
      </c>
      <c r="BV152" s="381">
        <v>0</v>
      </c>
      <c r="BW152" s="381">
        <v>0</v>
      </c>
      <c r="BX152" s="381">
        <v>0</v>
      </c>
      <c r="BY152" s="382">
        <v>0</v>
      </c>
      <c r="BZ152" s="382">
        <v>0</v>
      </c>
      <c r="CA152" s="382">
        <v>1394972</v>
      </c>
      <c r="CB152" s="381"/>
      <c r="CC152" s="381">
        <v>6329</v>
      </c>
      <c r="CD152" s="381">
        <v>0</v>
      </c>
      <c r="CE152" s="381">
        <v>0</v>
      </c>
      <c r="CF152" s="381">
        <v>6329</v>
      </c>
      <c r="CG152" s="381"/>
      <c r="CH152" s="381">
        <v>0</v>
      </c>
      <c r="CI152" s="381">
        <v>6329</v>
      </c>
      <c r="CJ152" s="381">
        <v>0</v>
      </c>
      <c r="CK152" s="381">
        <v>0</v>
      </c>
      <c r="CL152" s="381">
        <v>0</v>
      </c>
      <c r="CM152" s="381">
        <v>0</v>
      </c>
      <c r="CN152" s="381">
        <v>0</v>
      </c>
      <c r="CO152" s="381">
        <v>0</v>
      </c>
      <c r="CP152" s="381">
        <v>6329</v>
      </c>
      <c r="CQ152" s="381"/>
      <c r="CR152" s="381">
        <v>261632.78999999998</v>
      </c>
      <c r="CS152" s="381">
        <v>0</v>
      </c>
      <c r="CT152" s="381">
        <v>0</v>
      </c>
      <c r="CU152" s="381">
        <v>-0.22000000000116415</v>
      </c>
      <c r="CV152" s="381">
        <v>0</v>
      </c>
      <c r="CW152" s="381">
        <v>0</v>
      </c>
      <c r="CX152" s="381">
        <v>261632.56999999998</v>
      </c>
      <c r="CY152" s="381"/>
      <c r="CZ152" s="117"/>
      <c r="DA152" s="384"/>
      <c r="DB152" s="117"/>
      <c r="DC152" s="384"/>
      <c r="DD152" s="385"/>
      <c r="DE152" s="117"/>
      <c r="DF152" s="117"/>
      <c r="DG152" s="381"/>
      <c r="DH152" s="386"/>
      <c r="DI152" s="387"/>
      <c r="DJ152" s="381"/>
      <c r="DK152" s="381">
        <v>268759.78999999998</v>
      </c>
      <c r="DL152" s="381">
        <v>-0.22000000000116415</v>
      </c>
      <c r="DM152" s="381">
        <v>268759.56999999995</v>
      </c>
      <c r="DN152" s="381">
        <v>261632.78999999998</v>
      </c>
      <c r="DO152" s="381">
        <v>-0.22000000000116415</v>
      </c>
      <c r="DP152" s="381">
        <v>261632.56999999998</v>
      </c>
      <c r="DQ152" s="383"/>
      <c r="DR152" s="381"/>
      <c r="DS152" s="388"/>
      <c r="DT152" s="388"/>
      <c r="DU152" s="381"/>
    </row>
    <row r="153" spans="1:131" ht="14.25">
      <c r="A153" s="380">
        <v>609</v>
      </c>
      <c r="B153" s="391">
        <v>9163027</v>
      </c>
      <c r="C153" s="68">
        <v>3027</v>
      </c>
      <c r="D153" s="120"/>
      <c r="E153" s="120" t="s">
        <v>265</v>
      </c>
      <c r="F153" s="120"/>
      <c r="G153" s="120"/>
      <c r="H153" s="68"/>
      <c r="I153" s="381">
        <v>83478.649999999951</v>
      </c>
      <c r="J153" s="381">
        <v>5216.08</v>
      </c>
      <c r="K153" s="381">
        <v>0</v>
      </c>
      <c r="L153" s="381">
        <v>-7.2759576141834259E-12</v>
      </c>
      <c r="M153" s="381">
        <v>0</v>
      </c>
      <c r="N153" s="381">
        <v>0</v>
      </c>
      <c r="O153" s="381">
        <v>88694.729999999952</v>
      </c>
      <c r="P153" s="381"/>
      <c r="Q153" s="381">
        <v>519628</v>
      </c>
      <c r="R153" s="381">
        <v>0</v>
      </c>
      <c r="S153" s="381">
        <v>0</v>
      </c>
      <c r="T153" s="381">
        <v>0</v>
      </c>
      <c r="U153" s="381">
        <v>2960</v>
      </c>
      <c r="V153" s="381">
        <v>28549</v>
      </c>
      <c r="W153" s="381">
        <v>0</v>
      </c>
      <c r="X153" s="381">
        <v>0</v>
      </c>
      <c r="Y153" s="381">
        <v>5000</v>
      </c>
      <c r="Z153" s="381">
        <v>0</v>
      </c>
      <c r="AA153" s="381">
        <v>0</v>
      </c>
      <c r="AB153" s="381">
        <v>0</v>
      </c>
      <c r="AC153" s="381">
        <v>9500</v>
      </c>
      <c r="AD153" s="381">
        <v>0</v>
      </c>
      <c r="AE153" s="381">
        <v>0</v>
      </c>
      <c r="AF153" s="381">
        <v>0</v>
      </c>
      <c r="AG153" s="381">
        <v>0</v>
      </c>
      <c r="AH153" s="381">
        <v>0</v>
      </c>
      <c r="AI153" s="381">
        <v>0</v>
      </c>
      <c r="AJ153" s="381">
        <v>0</v>
      </c>
      <c r="AK153" s="381">
        <v>0</v>
      </c>
      <c r="AL153" s="381">
        <v>565637</v>
      </c>
      <c r="AM153" s="381"/>
      <c r="AN153" s="381">
        <v>295614</v>
      </c>
      <c r="AO153" s="381">
        <v>1800</v>
      </c>
      <c r="AP153" s="381">
        <v>77563</v>
      </c>
      <c r="AQ153" s="381">
        <v>0</v>
      </c>
      <c r="AR153" s="381">
        <v>53223</v>
      </c>
      <c r="AS153" s="381">
        <v>0</v>
      </c>
      <c r="AT153" s="381">
        <v>4928</v>
      </c>
      <c r="AU153" s="381">
        <v>2307</v>
      </c>
      <c r="AV153" s="381">
        <v>3500</v>
      </c>
      <c r="AW153" s="381">
        <v>2010</v>
      </c>
      <c r="AX153" s="381">
        <v>0</v>
      </c>
      <c r="AY153" s="381">
        <v>9202</v>
      </c>
      <c r="AZ153" s="381">
        <v>4000</v>
      </c>
      <c r="BA153" s="381">
        <v>18054</v>
      </c>
      <c r="BB153" s="381">
        <v>2000</v>
      </c>
      <c r="BC153" s="381">
        <v>15000</v>
      </c>
      <c r="BD153" s="381">
        <v>4990</v>
      </c>
      <c r="BE153" s="381">
        <v>11500</v>
      </c>
      <c r="BF153" s="381">
        <v>43266</v>
      </c>
      <c r="BG153" s="381">
        <v>0</v>
      </c>
      <c r="BH153" s="381">
        <v>0</v>
      </c>
      <c r="BI153" s="381">
        <v>1500</v>
      </c>
      <c r="BJ153" s="381">
        <v>0</v>
      </c>
      <c r="BK153" s="381">
        <v>2000</v>
      </c>
      <c r="BL153" s="381">
        <v>2000</v>
      </c>
      <c r="BM153" s="381">
        <v>0</v>
      </c>
      <c r="BN153" s="381">
        <v>1000</v>
      </c>
      <c r="BO153" s="381">
        <v>3995</v>
      </c>
      <c r="BP153" s="381">
        <v>3800</v>
      </c>
      <c r="BQ153" s="381">
        <v>3725</v>
      </c>
      <c r="BR153" s="381">
        <v>0</v>
      </c>
      <c r="BS153" s="381">
        <v>13914</v>
      </c>
      <c r="BT153" s="381">
        <v>16500</v>
      </c>
      <c r="BU153" s="381">
        <v>19418</v>
      </c>
      <c r="BV153" s="381">
        <v>0</v>
      </c>
      <c r="BW153" s="381">
        <v>0</v>
      </c>
      <c r="BX153" s="381">
        <v>0</v>
      </c>
      <c r="BY153" s="382">
        <v>0</v>
      </c>
      <c r="BZ153" s="382">
        <v>0</v>
      </c>
      <c r="CA153" s="382">
        <v>616809</v>
      </c>
      <c r="CB153" s="381"/>
      <c r="CC153" s="381">
        <v>4787</v>
      </c>
      <c r="CD153" s="381">
        <v>0</v>
      </c>
      <c r="CE153" s="381">
        <v>0</v>
      </c>
      <c r="CF153" s="381">
        <v>4787</v>
      </c>
      <c r="CG153" s="381"/>
      <c r="CH153" s="381">
        <v>0</v>
      </c>
      <c r="CI153" s="381">
        <v>4787</v>
      </c>
      <c r="CJ153" s="381">
        <v>0</v>
      </c>
      <c r="CK153" s="381">
        <v>0</v>
      </c>
      <c r="CL153" s="381">
        <v>0</v>
      </c>
      <c r="CM153" s="381">
        <v>0</v>
      </c>
      <c r="CN153" s="381">
        <v>0</v>
      </c>
      <c r="CO153" s="381">
        <v>0</v>
      </c>
      <c r="CP153" s="381">
        <v>4787</v>
      </c>
      <c r="CQ153" s="381"/>
      <c r="CR153" s="381">
        <v>37522.729999999952</v>
      </c>
      <c r="CS153" s="381">
        <v>0</v>
      </c>
      <c r="CT153" s="381">
        <v>0</v>
      </c>
      <c r="CU153" s="381">
        <v>-7.2759576141834259E-12</v>
      </c>
      <c r="CV153" s="381">
        <v>0</v>
      </c>
      <c r="CW153" s="381">
        <v>0</v>
      </c>
      <c r="CX153" s="381">
        <v>37522.729999999945</v>
      </c>
      <c r="CY153" s="381"/>
      <c r="CZ153" s="117"/>
      <c r="DA153" s="384"/>
      <c r="DB153" s="117"/>
      <c r="DC153" s="384"/>
      <c r="DD153" s="385"/>
      <c r="DE153" s="117"/>
      <c r="DF153" s="117"/>
      <c r="DG153" s="381"/>
      <c r="DH153" s="386"/>
      <c r="DI153" s="387"/>
      <c r="DJ153" s="381"/>
      <c r="DK153" s="381">
        <v>88694.729999999952</v>
      </c>
      <c r="DL153" s="381">
        <v>-7.2759576141834259E-12</v>
      </c>
      <c r="DM153" s="381">
        <v>88694.729999999952</v>
      </c>
      <c r="DN153" s="381">
        <v>37522.729999999952</v>
      </c>
      <c r="DO153" s="381">
        <v>-7.2759576141834259E-12</v>
      </c>
      <c r="DP153" s="381">
        <v>37522.729999999945</v>
      </c>
      <c r="DQ153" s="383"/>
      <c r="DR153" s="381"/>
      <c r="DS153" s="388"/>
      <c r="DT153" s="388"/>
    </row>
    <row r="154" spans="1:131" ht="15">
      <c r="A154" s="380">
        <v>800</v>
      </c>
      <c r="B154" s="391">
        <v>9163025</v>
      </c>
      <c r="C154" s="68">
        <v>3025</v>
      </c>
      <c r="D154" s="120"/>
      <c r="E154" s="120" t="s">
        <v>240</v>
      </c>
      <c r="F154" s="120"/>
      <c r="G154" s="120"/>
      <c r="H154" s="68"/>
      <c r="I154" s="381">
        <v>-344600.44999999995</v>
      </c>
      <c r="J154" s="381">
        <v>0</v>
      </c>
      <c r="K154" s="381">
        <v>0</v>
      </c>
      <c r="L154" s="381">
        <v>27162.639999999999</v>
      </c>
      <c r="M154" s="381">
        <v>0</v>
      </c>
      <c r="N154" s="381">
        <v>0</v>
      </c>
      <c r="O154" s="381">
        <v>-317437.80999999994</v>
      </c>
      <c r="P154" s="389"/>
      <c r="Q154" s="381">
        <v>1046252</v>
      </c>
      <c r="R154" s="381">
        <v>0</v>
      </c>
      <c r="S154" s="381">
        <v>97767</v>
      </c>
      <c r="T154" s="381">
        <v>0</v>
      </c>
      <c r="U154" s="381">
        <v>16550</v>
      </c>
      <c r="V154" s="381">
        <v>52795</v>
      </c>
      <c r="W154" s="381">
        <v>0</v>
      </c>
      <c r="X154" s="381">
        <v>1500</v>
      </c>
      <c r="Y154" s="381">
        <v>54393</v>
      </c>
      <c r="Z154" s="381">
        <v>2500</v>
      </c>
      <c r="AA154" s="381">
        <v>0</v>
      </c>
      <c r="AB154" s="381">
        <v>0</v>
      </c>
      <c r="AC154" s="381">
        <v>17000</v>
      </c>
      <c r="AD154" s="381">
        <v>0</v>
      </c>
      <c r="AE154" s="381">
        <v>0</v>
      </c>
      <c r="AF154" s="381">
        <v>0</v>
      </c>
      <c r="AG154" s="381">
        <v>0</v>
      </c>
      <c r="AH154" s="381">
        <v>0</v>
      </c>
      <c r="AI154" s="381">
        <v>0</v>
      </c>
      <c r="AJ154" s="381">
        <v>0</v>
      </c>
      <c r="AK154" s="381">
        <v>0</v>
      </c>
      <c r="AL154" s="381">
        <v>1288757</v>
      </c>
      <c r="AM154" s="389"/>
      <c r="AN154" s="381">
        <v>620030</v>
      </c>
      <c r="AO154" s="381">
        <v>3000</v>
      </c>
      <c r="AP154" s="381">
        <v>280216</v>
      </c>
      <c r="AQ154" s="381">
        <v>29296</v>
      </c>
      <c r="AR154" s="381">
        <v>65280</v>
      </c>
      <c r="AS154" s="381">
        <v>0</v>
      </c>
      <c r="AT154" s="381">
        <v>65222</v>
      </c>
      <c r="AU154" s="381">
        <v>5209</v>
      </c>
      <c r="AV154" s="381">
        <v>6000</v>
      </c>
      <c r="AW154" s="381">
        <v>610</v>
      </c>
      <c r="AX154" s="381">
        <v>0</v>
      </c>
      <c r="AY154" s="381">
        <v>16576</v>
      </c>
      <c r="AZ154" s="381">
        <v>5162</v>
      </c>
      <c r="BA154" s="381">
        <v>3100</v>
      </c>
      <c r="BB154" s="381">
        <v>2900</v>
      </c>
      <c r="BC154" s="381">
        <v>20285</v>
      </c>
      <c r="BD154" s="381">
        <v>15594</v>
      </c>
      <c r="BE154" s="381">
        <v>2100</v>
      </c>
      <c r="BF154" s="381">
        <v>51600</v>
      </c>
      <c r="BG154" s="381">
        <v>0</v>
      </c>
      <c r="BH154" s="381">
        <v>0</v>
      </c>
      <c r="BI154" s="381">
        <v>3426</v>
      </c>
      <c r="BJ154" s="381">
        <v>0</v>
      </c>
      <c r="BK154" s="381">
        <v>3500</v>
      </c>
      <c r="BL154" s="381">
        <v>996</v>
      </c>
      <c r="BM154" s="381">
        <v>0</v>
      </c>
      <c r="BN154" s="381">
        <v>0</v>
      </c>
      <c r="BO154" s="381">
        <v>5500</v>
      </c>
      <c r="BP154" s="381">
        <v>1625</v>
      </c>
      <c r="BQ154" s="381">
        <v>10796</v>
      </c>
      <c r="BR154" s="381">
        <v>8000</v>
      </c>
      <c r="BS154" s="381">
        <v>43851</v>
      </c>
      <c r="BT154" s="381">
        <v>24600</v>
      </c>
      <c r="BU154" s="381">
        <v>14809</v>
      </c>
      <c r="BV154" s="381">
        <v>0</v>
      </c>
      <c r="BW154" s="381">
        <v>0</v>
      </c>
      <c r="BX154" s="381">
        <v>0</v>
      </c>
      <c r="BY154" s="382">
        <v>0</v>
      </c>
      <c r="BZ154" s="382">
        <v>0</v>
      </c>
      <c r="CA154" s="382">
        <v>1309283</v>
      </c>
      <c r="CB154" s="389"/>
      <c r="CC154" s="381">
        <v>6216</v>
      </c>
      <c r="CD154" s="381">
        <v>0</v>
      </c>
      <c r="CE154" s="381">
        <v>0</v>
      </c>
      <c r="CF154" s="381">
        <v>6216</v>
      </c>
      <c r="CG154" s="389"/>
      <c r="CH154" s="381">
        <v>0</v>
      </c>
      <c r="CI154" s="381">
        <v>33378</v>
      </c>
      <c r="CJ154" s="381">
        <v>0</v>
      </c>
      <c r="CK154" s="381">
        <v>0</v>
      </c>
      <c r="CL154" s="381">
        <v>0</v>
      </c>
      <c r="CM154" s="381">
        <v>0</v>
      </c>
      <c r="CN154" s="381">
        <v>0</v>
      </c>
      <c r="CO154" s="381">
        <v>0</v>
      </c>
      <c r="CP154" s="381">
        <v>33378</v>
      </c>
      <c r="CQ154" s="390"/>
      <c r="CR154" s="381">
        <v>-365126.44999999995</v>
      </c>
      <c r="CS154" s="381">
        <v>0</v>
      </c>
      <c r="CT154" s="381">
        <v>0</v>
      </c>
      <c r="CU154" s="381">
        <v>0.63999999999941792</v>
      </c>
      <c r="CV154" s="381">
        <v>0</v>
      </c>
      <c r="CW154" s="381">
        <v>0</v>
      </c>
      <c r="CX154" s="381">
        <v>-365125.80999999994</v>
      </c>
      <c r="CY154" s="381"/>
      <c r="CZ154" s="117"/>
      <c r="DA154" s="384"/>
      <c r="DB154" s="117"/>
      <c r="DC154" s="384"/>
      <c r="DD154" s="385"/>
      <c r="DE154" s="117"/>
      <c r="DF154" s="117"/>
      <c r="DG154" s="381"/>
      <c r="DH154" s="386"/>
      <c r="DI154" s="387"/>
      <c r="DJ154" s="381"/>
      <c r="DK154" s="381">
        <v>-344600.44999999995</v>
      </c>
      <c r="DL154" s="381">
        <v>27162.639999999999</v>
      </c>
      <c r="DM154" s="381">
        <v>-317437.80999999994</v>
      </c>
      <c r="DN154" s="381">
        <v>-365126.44999999995</v>
      </c>
      <c r="DO154" s="381">
        <v>0.63999999999941792</v>
      </c>
      <c r="DP154" s="381">
        <v>-365125.80999999994</v>
      </c>
      <c r="DQ154" s="383"/>
      <c r="DR154" s="381"/>
      <c r="DS154" s="388"/>
      <c r="DT154" s="388"/>
    </row>
    <row r="155" spans="1:131" ht="14.25">
      <c r="A155" s="380">
        <v>890</v>
      </c>
      <c r="B155" s="391">
        <v>9163093</v>
      </c>
      <c r="C155" s="68" t="s">
        <v>980</v>
      </c>
      <c r="E155" s="120" t="s">
        <v>196</v>
      </c>
      <c r="F155" s="120"/>
      <c r="G155" s="120"/>
      <c r="H155" s="68"/>
      <c r="I155" s="381">
        <v>-173462.42000000022</v>
      </c>
      <c r="J155" s="381">
        <v>24</v>
      </c>
      <c r="K155" s="381">
        <v>0</v>
      </c>
      <c r="L155" s="381">
        <v>868.9300000000012</v>
      </c>
      <c r="M155" s="381">
        <v>0</v>
      </c>
      <c r="N155" s="381">
        <v>0</v>
      </c>
      <c r="O155" s="381">
        <v>-172569.49000000022</v>
      </c>
      <c r="P155" s="381"/>
      <c r="Q155" s="381">
        <v>1155848</v>
      </c>
      <c r="R155" s="381">
        <v>0</v>
      </c>
      <c r="S155" s="381">
        <v>77284</v>
      </c>
      <c r="T155" s="381">
        <v>0</v>
      </c>
      <c r="U155" s="381">
        <v>58505</v>
      </c>
      <c r="V155" s="381">
        <v>52367</v>
      </c>
      <c r="W155" s="381">
        <v>0</v>
      </c>
      <c r="X155" s="381">
        <v>1500</v>
      </c>
      <c r="Y155" s="381">
        <v>53509</v>
      </c>
      <c r="Z155" s="381">
        <v>0</v>
      </c>
      <c r="AA155" s="381">
        <v>0</v>
      </c>
      <c r="AB155" s="381">
        <v>0</v>
      </c>
      <c r="AC155" s="381">
        <v>15300</v>
      </c>
      <c r="AD155" s="381">
        <v>0</v>
      </c>
      <c r="AE155" s="381">
        <v>0</v>
      </c>
      <c r="AF155" s="381">
        <v>0</v>
      </c>
      <c r="AG155" s="381">
        <v>0</v>
      </c>
      <c r="AH155" s="381">
        <v>0</v>
      </c>
      <c r="AI155" s="381">
        <v>0</v>
      </c>
      <c r="AJ155" s="381">
        <v>0</v>
      </c>
      <c r="AK155" s="381">
        <v>0</v>
      </c>
      <c r="AL155" s="381">
        <v>1414313</v>
      </c>
      <c r="AM155" s="381"/>
      <c r="AN155" s="381">
        <v>707784</v>
      </c>
      <c r="AO155" s="381">
        <v>5000</v>
      </c>
      <c r="AP155" s="381">
        <v>259837</v>
      </c>
      <c r="AQ155" s="381">
        <v>37354</v>
      </c>
      <c r="AR155" s="381">
        <v>56484</v>
      </c>
      <c r="AS155" s="381">
        <v>0</v>
      </c>
      <c r="AT155" s="381">
        <v>72343</v>
      </c>
      <c r="AU155" s="381">
        <v>5900</v>
      </c>
      <c r="AV155" s="381">
        <v>8346</v>
      </c>
      <c r="AW155" s="381">
        <v>622</v>
      </c>
      <c r="AX155" s="381">
        <v>0</v>
      </c>
      <c r="AY155" s="381">
        <v>12094</v>
      </c>
      <c r="AZ155" s="381">
        <v>0</v>
      </c>
      <c r="BA155" s="381">
        <v>6507</v>
      </c>
      <c r="BB155" s="381">
        <v>4000</v>
      </c>
      <c r="BC155" s="381">
        <v>14633</v>
      </c>
      <c r="BD155" s="381">
        <v>16467</v>
      </c>
      <c r="BE155" s="381">
        <v>3000</v>
      </c>
      <c r="BF155" s="381">
        <v>65950</v>
      </c>
      <c r="BG155" s="381">
        <v>4100</v>
      </c>
      <c r="BH155" s="381">
        <v>0</v>
      </c>
      <c r="BI155" s="381">
        <v>8750</v>
      </c>
      <c r="BJ155" s="381">
        <v>20550</v>
      </c>
      <c r="BK155" s="381">
        <v>0</v>
      </c>
      <c r="BL155" s="381">
        <v>0</v>
      </c>
      <c r="BM155" s="381">
        <v>2974</v>
      </c>
      <c r="BN155" s="381">
        <v>0</v>
      </c>
      <c r="BO155" s="381">
        <v>2550</v>
      </c>
      <c r="BP155" s="381">
        <v>9300</v>
      </c>
      <c r="BQ155" s="381">
        <v>0</v>
      </c>
      <c r="BR155" s="381">
        <v>52372</v>
      </c>
      <c r="BS155" s="381">
        <v>8000</v>
      </c>
      <c r="BT155" s="381">
        <v>25142</v>
      </c>
      <c r="BU155" s="381">
        <v>27834</v>
      </c>
      <c r="BV155" s="381">
        <v>0</v>
      </c>
      <c r="BW155" s="381">
        <v>0</v>
      </c>
      <c r="BX155" s="381">
        <v>0</v>
      </c>
      <c r="BY155" s="382">
        <v>0</v>
      </c>
      <c r="BZ155" s="382">
        <v>0</v>
      </c>
      <c r="CA155" s="382">
        <v>1437893</v>
      </c>
      <c r="CB155" s="381"/>
      <c r="CC155" s="381">
        <v>6295</v>
      </c>
      <c r="CD155" s="381">
        <v>0</v>
      </c>
      <c r="CE155" s="381">
        <v>0</v>
      </c>
      <c r="CF155" s="381">
        <v>6295</v>
      </c>
      <c r="CG155" s="381"/>
      <c r="CH155" s="381">
        <v>0</v>
      </c>
      <c r="CI155" s="381">
        <f>6295+870</f>
        <v>7165</v>
      </c>
      <c r="CJ155" s="381">
        <v>0</v>
      </c>
      <c r="CK155" s="381">
        <v>0</v>
      </c>
      <c r="CL155" s="381">
        <v>0</v>
      </c>
      <c r="CM155" s="381">
        <v>0</v>
      </c>
      <c r="CN155" s="381">
        <v>0</v>
      </c>
      <c r="CO155" s="381">
        <v>0</v>
      </c>
      <c r="CP155" s="381">
        <v>7165</v>
      </c>
      <c r="CQ155" s="381"/>
      <c r="CR155" s="381">
        <v>-197018.42000000022</v>
      </c>
      <c r="CS155" s="381">
        <v>0</v>
      </c>
      <c r="CT155" s="381">
        <v>0</v>
      </c>
      <c r="CU155" s="381">
        <v>-1.0699999999987995</v>
      </c>
      <c r="CV155" s="381">
        <v>0</v>
      </c>
      <c r="CW155" s="381">
        <v>0</v>
      </c>
      <c r="CX155" s="381">
        <v>-197019.49000000022</v>
      </c>
      <c r="CY155" s="384"/>
      <c r="CZ155" s="117"/>
      <c r="DA155" s="384"/>
      <c r="DB155" s="385"/>
      <c r="DC155" s="117"/>
      <c r="DD155" s="117"/>
      <c r="DE155" s="381"/>
      <c r="DF155" s="386"/>
      <c r="DG155" s="387"/>
      <c r="DH155" s="381"/>
      <c r="DI155" s="381"/>
      <c r="DJ155" s="381"/>
      <c r="DK155" s="381">
        <v>-173438.42000000022</v>
      </c>
      <c r="DL155" s="381">
        <v>868.9300000000012</v>
      </c>
      <c r="DM155" s="381">
        <v>-172569.49000000022</v>
      </c>
      <c r="DN155" s="381">
        <v>-197018.42000000022</v>
      </c>
      <c r="DO155" s="383">
        <v>-1.0699999999987995</v>
      </c>
      <c r="DP155" s="381">
        <v>-197019.49000000022</v>
      </c>
      <c r="DQ155" s="383"/>
      <c r="DR155" s="388"/>
    </row>
    <row r="156" spans="1:131" ht="14.25">
      <c r="A156" s="380">
        <v>672</v>
      </c>
      <c r="B156" s="391">
        <v>9163327</v>
      </c>
      <c r="C156" s="68" t="s">
        <v>998</v>
      </c>
      <c r="D156" s="68"/>
      <c r="E156" s="120" t="s">
        <v>281</v>
      </c>
      <c r="F156" s="120"/>
      <c r="G156" s="120"/>
      <c r="H156" s="120"/>
      <c r="I156" s="381">
        <v>68518.069999999847</v>
      </c>
      <c r="J156" s="381">
        <v>5079.9500000000007</v>
      </c>
      <c r="K156" s="381">
        <v>0</v>
      </c>
      <c r="L156" s="381">
        <v>-510.84</v>
      </c>
      <c r="M156" s="381">
        <v>0</v>
      </c>
      <c r="N156" s="381">
        <v>-1377.01</v>
      </c>
      <c r="O156" s="381">
        <v>71710.169999999853</v>
      </c>
      <c r="P156" s="381"/>
      <c r="Q156" s="381">
        <v>619141</v>
      </c>
      <c r="R156" s="381">
        <v>0</v>
      </c>
      <c r="S156" s="381">
        <v>35562</v>
      </c>
      <c r="T156" s="381">
        <v>0</v>
      </c>
      <c r="U156" s="381">
        <v>8880</v>
      </c>
      <c r="V156" s="381">
        <v>37189</v>
      </c>
      <c r="W156" s="381">
        <v>0</v>
      </c>
      <c r="X156" s="381">
        <v>0</v>
      </c>
      <c r="Y156" s="381">
        <v>15061</v>
      </c>
      <c r="Z156" s="381">
        <v>0</v>
      </c>
      <c r="AA156" s="381">
        <v>0</v>
      </c>
      <c r="AB156" s="381">
        <v>0</v>
      </c>
      <c r="AC156" s="381">
        <v>0</v>
      </c>
      <c r="AD156" s="381">
        <v>0</v>
      </c>
      <c r="AE156" s="381">
        <v>0</v>
      </c>
      <c r="AF156" s="381">
        <v>0</v>
      </c>
      <c r="AG156" s="381">
        <v>0</v>
      </c>
      <c r="AH156" s="381">
        <v>0</v>
      </c>
      <c r="AI156" s="381">
        <v>0</v>
      </c>
      <c r="AJ156" s="381">
        <v>0</v>
      </c>
      <c r="AK156" s="381">
        <v>0</v>
      </c>
      <c r="AL156" s="381">
        <v>715833</v>
      </c>
      <c r="AM156" s="381"/>
      <c r="AN156" s="381">
        <v>372821</v>
      </c>
      <c r="AO156" s="381">
        <v>10000</v>
      </c>
      <c r="AP156" s="381">
        <v>172394</v>
      </c>
      <c r="AQ156" s="381">
        <v>0</v>
      </c>
      <c r="AR156" s="381">
        <v>53263</v>
      </c>
      <c r="AS156" s="381">
        <v>0</v>
      </c>
      <c r="AT156" s="381">
        <v>43340</v>
      </c>
      <c r="AU156" s="381">
        <v>200</v>
      </c>
      <c r="AV156" s="381">
        <v>7500</v>
      </c>
      <c r="AW156" s="381">
        <v>3938</v>
      </c>
      <c r="AX156" s="381">
        <v>0</v>
      </c>
      <c r="AY156" s="381">
        <v>7405</v>
      </c>
      <c r="AZ156" s="381">
        <v>1500</v>
      </c>
      <c r="BA156" s="381">
        <v>17818</v>
      </c>
      <c r="BB156" s="381">
        <v>4000</v>
      </c>
      <c r="BC156" s="381">
        <v>16987</v>
      </c>
      <c r="BD156" s="381">
        <v>1747</v>
      </c>
      <c r="BE156" s="381">
        <v>2640</v>
      </c>
      <c r="BF156" s="381">
        <v>30442</v>
      </c>
      <c r="BG156" s="381">
        <v>2862</v>
      </c>
      <c r="BH156" s="381">
        <v>0</v>
      </c>
      <c r="BI156" s="381">
        <v>1562</v>
      </c>
      <c r="BJ156" s="381">
        <v>0</v>
      </c>
      <c r="BK156" s="381">
        <v>0</v>
      </c>
      <c r="BL156" s="381">
        <v>0</v>
      </c>
      <c r="BM156" s="381">
        <v>0</v>
      </c>
      <c r="BN156" s="381">
        <v>0</v>
      </c>
      <c r="BO156" s="381">
        <v>5050</v>
      </c>
      <c r="BP156" s="381">
        <v>5344</v>
      </c>
      <c r="BQ156" s="381">
        <v>0</v>
      </c>
      <c r="BR156" s="381">
        <v>24325</v>
      </c>
      <c r="BS156" s="381">
        <v>0</v>
      </c>
      <c r="BT156" s="381">
        <v>13937</v>
      </c>
      <c r="BU156" s="381">
        <v>11507</v>
      </c>
      <c r="BV156" s="381">
        <v>0</v>
      </c>
      <c r="BW156" s="381">
        <v>0</v>
      </c>
      <c r="BX156" s="381">
        <v>0</v>
      </c>
      <c r="BY156" s="382">
        <v>0</v>
      </c>
      <c r="BZ156" s="382">
        <v>0</v>
      </c>
      <c r="CA156" s="382">
        <v>810582</v>
      </c>
      <c r="CB156" s="381"/>
      <c r="CC156" s="381">
        <v>0</v>
      </c>
      <c r="CD156" s="381">
        <v>0</v>
      </c>
      <c r="CE156" s="381">
        <v>0</v>
      </c>
      <c r="CF156" s="381">
        <v>0</v>
      </c>
      <c r="CG156" s="381"/>
      <c r="CH156" s="381">
        <v>0</v>
      </c>
      <c r="CI156" s="381">
        <v>0</v>
      </c>
      <c r="CJ156" s="381">
        <v>0</v>
      </c>
      <c r="CK156" s="381">
        <v>0</v>
      </c>
      <c r="CL156" s="381">
        <v>0</v>
      </c>
      <c r="CM156" s="381">
        <v>0</v>
      </c>
      <c r="CN156" s="381">
        <v>0</v>
      </c>
      <c r="CO156" s="381">
        <v>0</v>
      </c>
      <c r="CP156" s="381">
        <v>0</v>
      </c>
      <c r="CQ156" s="381"/>
      <c r="CR156" s="381">
        <v>-21150.980000000152</v>
      </c>
      <c r="CS156" s="381">
        <v>0</v>
      </c>
      <c r="CT156" s="381">
        <v>0</v>
      </c>
      <c r="CU156" s="381">
        <v>-510.84</v>
      </c>
      <c r="CV156" s="381">
        <v>0</v>
      </c>
      <c r="CW156" s="381">
        <v>-1377.01</v>
      </c>
      <c r="CX156" s="381">
        <v>-23038.830000000151</v>
      </c>
      <c r="CY156" s="381"/>
      <c r="CZ156" s="381"/>
      <c r="DA156" s="381"/>
      <c r="DB156" s="381"/>
      <c r="DC156" s="381"/>
      <c r="DD156" s="381"/>
      <c r="DE156" s="381"/>
      <c r="DF156" s="381"/>
      <c r="DG156" s="117"/>
      <c r="DH156" s="384"/>
      <c r="DI156" s="117"/>
      <c r="DJ156" s="384"/>
      <c r="DK156" s="381">
        <v>72221.009999999849</v>
      </c>
      <c r="DL156" s="381">
        <v>-510.84</v>
      </c>
      <c r="DM156" s="381">
        <v>71710.169999999853</v>
      </c>
      <c r="DN156" s="381">
        <v>-22527.990000000151</v>
      </c>
      <c r="DO156" s="381">
        <v>-510.84</v>
      </c>
      <c r="DP156" s="381">
        <v>-23038.830000000151</v>
      </c>
      <c r="DQ156" s="383"/>
      <c r="DR156" s="381"/>
      <c r="DS156" s="381"/>
      <c r="DT156" s="381"/>
      <c r="DU156" s="381"/>
      <c r="DV156" s="381"/>
      <c r="DW156" s="381"/>
      <c r="DX156" s="383"/>
      <c r="DY156" s="381"/>
      <c r="DZ156" s="388"/>
      <c r="EA156" s="388"/>
    </row>
    <row r="157" spans="1:131" ht="15">
      <c r="A157" s="380">
        <v>558</v>
      </c>
      <c r="B157" s="391">
        <v>9162042</v>
      </c>
      <c r="C157" s="68" t="s">
        <v>1002</v>
      </c>
      <c r="D157" s="120"/>
      <c r="E157" s="120" t="s">
        <v>1003</v>
      </c>
      <c r="F157" s="120"/>
      <c r="G157" s="120"/>
      <c r="H157" s="68"/>
      <c r="I157" s="381">
        <v>-76349.179999999906</v>
      </c>
      <c r="J157" s="381">
        <v>12369.27</v>
      </c>
      <c r="K157" s="381">
        <v>0</v>
      </c>
      <c r="L157" s="381">
        <v>23399.9</v>
      </c>
      <c r="M157" s="381">
        <v>0</v>
      </c>
      <c r="N157" s="381">
        <v>0</v>
      </c>
      <c r="O157" s="381">
        <v>-40580.0099999999</v>
      </c>
      <c r="P157" s="389"/>
      <c r="Q157" s="381">
        <v>1123449</v>
      </c>
      <c r="R157" s="381">
        <v>0</v>
      </c>
      <c r="S157" s="381">
        <v>46535</v>
      </c>
      <c r="T157" s="381">
        <v>0</v>
      </c>
      <c r="U157" s="381">
        <v>51425</v>
      </c>
      <c r="V157" s="381">
        <v>64329</v>
      </c>
      <c r="W157" s="381">
        <v>0</v>
      </c>
      <c r="X157" s="381">
        <v>0</v>
      </c>
      <c r="Y157" s="381">
        <v>4214</v>
      </c>
      <c r="Z157" s="381">
        <v>0</v>
      </c>
      <c r="AA157" s="381">
        <v>0</v>
      </c>
      <c r="AB157" s="381">
        <v>0</v>
      </c>
      <c r="AC157" s="381">
        <v>8000</v>
      </c>
      <c r="AD157" s="381">
        <v>0</v>
      </c>
      <c r="AE157" s="381">
        <v>0</v>
      </c>
      <c r="AF157" s="381">
        <v>0</v>
      </c>
      <c r="AG157" s="381">
        <v>0</v>
      </c>
      <c r="AH157" s="381">
        <v>0</v>
      </c>
      <c r="AI157" s="381">
        <v>0</v>
      </c>
      <c r="AJ157" s="381">
        <v>0</v>
      </c>
      <c r="AK157" s="381">
        <v>0</v>
      </c>
      <c r="AL157" s="381">
        <v>1297952</v>
      </c>
      <c r="AM157" s="389"/>
      <c r="AN157" s="381">
        <v>594762</v>
      </c>
      <c r="AO157" s="381">
        <v>10000</v>
      </c>
      <c r="AP157" s="381">
        <v>264369</v>
      </c>
      <c r="AQ157" s="381">
        <v>31265</v>
      </c>
      <c r="AR157" s="381">
        <v>75754</v>
      </c>
      <c r="AS157" s="381">
        <v>0</v>
      </c>
      <c r="AT157" s="381">
        <v>28550</v>
      </c>
      <c r="AU157" s="381">
        <v>6018</v>
      </c>
      <c r="AV157" s="381">
        <v>9600</v>
      </c>
      <c r="AW157" s="381">
        <v>10476</v>
      </c>
      <c r="AX157" s="381">
        <v>0</v>
      </c>
      <c r="AY157" s="381">
        <v>9789</v>
      </c>
      <c r="AZ157" s="381">
        <v>4759</v>
      </c>
      <c r="BA157" s="381">
        <v>2400</v>
      </c>
      <c r="BB157" s="381">
        <v>5500</v>
      </c>
      <c r="BC157" s="381">
        <v>27500</v>
      </c>
      <c r="BD157" s="381">
        <v>18213</v>
      </c>
      <c r="BE157" s="381">
        <v>8700</v>
      </c>
      <c r="BF157" s="381">
        <v>106129</v>
      </c>
      <c r="BG157" s="381">
        <v>4200</v>
      </c>
      <c r="BH157" s="381">
        <v>2000</v>
      </c>
      <c r="BI157" s="381">
        <v>6000</v>
      </c>
      <c r="BJ157" s="381">
        <v>15750</v>
      </c>
      <c r="BK157" s="381">
        <v>1000</v>
      </c>
      <c r="BL157" s="381">
        <v>1000</v>
      </c>
      <c r="BM157" s="381">
        <v>6672</v>
      </c>
      <c r="BN157" s="381">
        <v>0</v>
      </c>
      <c r="BO157" s="381">
        <v>3209</v>
      </c>
      <c r="BP157" s="381">
        <v>8421</v>
      </c>
      <c r="BQ157" s="381">
        <v>0</v>
      </c>
      <c r="BR157" s="381">
        <v>46889</v>
      </c>
      <c r="BS157" s="381">
        <v>5000</v>
      </c>
      <c r="BT157" s="381">
        <v>2500</v>
      </c>
      <c r="BU157" s="381">
        <v>21909</v>
      </c>
      <c r="BV157" s="381">
        <v>0</v>
      </c>
      <c r="BW157" s="381">
        <v>0</v>
      </c>
      <c r="BX157" s="381">
        <v>5000</v>
      </c>
      <c r="BY157" s="382">
        <v>0</v>
      </c>
      <c r="BZ157" s="382">
        <v>0</v>
      </c>
      <c r="CA157" s="382">
        <v>1343334</v>
      </c>
      <c r="CB157" s="389"/>
      <c r="CC157" s="381">
        <v>10137</v>
      </c>
      <c r="CD157" s="381">
        <v>0</v>
      </c>
      <c r="CE157" s="381">
        <v>0</v>
      </c>
      <c r="CF157" s="381">
        <v>10137</v>
      </c>
      <c r="CG157" s="389"/>
      <c r="CH157" s="381">
        <v>0</v>
      </c>
      <c r="CI157" s="381">
        <v>33537</v>
      </c>
      <c r="CJ157" s="381">
        <v>0</v>
      </c>
      <c r="CK157" s="381">
        <v>0</v>
      </c>
      <c r="CL157" s="381">
        <v>0</v>
      </c>
      <c r="CM157" s="381">
        <v>0</v>
      </c>
      <c r="CN157" s="381">
        <v>0</v>
      </c>
      <c r="CO157" s="381">
        <v>0</v>
      </c>
      <c r="CP157" s="381">
        <v>33537</v>
      </c>
      <c r="CQ157" s="390"/>
      <c r="CR157" s="381">
        <v>-109361.9099999999</v>
      </c>
      <c r="CS157" s="381">
        <v>0</v>
      </c>
      <c r="CT157" s="381">
        <v>0</v>
      </c>
      <c r="CU157" s="381">
        <v>-9.9999999998544808E-2</v>
      </c>
      <c r="CV157" s="381">
        <v>0</v>
      </c>
      <c r="CW157" s="381">
        <v>0</v>
      </c>
      <c r="CX157" s="381">
        <v>-109362.00999999989</v>
      </c>
      <c r="CY157" s="381"/>
      <c r="CZ157" s="117"/>
      <c r="DA157" s="384"/>
      <c r="DB157" s="117"/>
      <c r="DC157" s="384"/>
      <c r="DD157" s="385"/>
      <c r="DE157" s="117"/>
      <c r="DF157" s="117"/>
      <c r="DG157" s="381"/>
      <c r="DH157" s="386"/>
      <c r="DI157" s="387"/>
      <c r="DJ157" s="381"/>
      <c r="DK157" s="381">
        <v>-63979.909999999902</v>
      </c>
      <c r="DL157" s="381">
        <v>23399.9</v>
      </c>
      <c r="DM157" s="381">
        <v>-40580.0099999999</v>
      </c>
      <c r="DN157" s="381">
        <v>-109361.9099999999</v>
      </c>
      <c r="DO157" s="381">
        <v>-9.9999999998544808E-2</v>
      </c>
      <c r="DP157" s="381">
        <v>-109362.00999999989</v>
      </c>
      <c r="DQ157" s="383"/>
      <c r="DR157" s="381"/>
      <c r="DS157" s="388"/>
      <c r="DT157" s="388"/>
    </row>
    <row r="158" spans="1:131" ht="14.25">
      <c r="A158" s="380">
        <v>837</v>
      </c>
      <c r="B158" s="391">
        <v>9162102</v>
      </c>
      <c r="C158" s="68" t="s">
        <v>1001</v>
      </c>
      <c r="D158" s="120"/>
      <c r="E158" s="120" t="s">
        <v>273</v>
      </c>
      <c r="F158" s="120"/>
      <c r="G158" s="120"/>
      <c r="H158" s="68"/>
      <c r="I158" s="381">
        <v>36373.680000000066</v>
      </c>
      <c r="J158" s="381">
        <v>8602</v>
      </c>
      <c r="K158" s="381">
        <v>0</v>
      </c>
      <c r="L158" s="381">
        <v>31009.439999999999</v>
      </c>
      <c r="M158" s="381">
        <v>0</v>
      </c>
      <c r="N158" s="381">
        <v>3572.5499999999993</v>
      </c>
      <c r="O158" s="381">
        <v>79557.670000000071</v>
      </c>
      <c r="P158" s="381"/>
      <c r="Q158" s="381">
        <v>423985</v>
      </c>
      <c r="R158" s="381">
        <v>0</v>
      </c>
      <c r="S158" s="381">
        <v>0</v>
      </c>
      <c r="T158" s="381">
        <v>0</v>
      </c>
      <c r="U158" s="381">
        <v>5920</v>
      </c>
      <c r="V158" s="381">
        <v>22377</v>
      </c>
      <c r="W158" s="381">
        <v>0</v>
      </c>
      <c r="X158" s="381">
        <v>0</v>
      </c>
      <c r="Y158" s="381">
        <v>4890</v>
      </c>
      <c r="Z158" s="381">
        <v>0</v>
      </c>
      <c r="AA158" s="381">
        <v>0</v>
      </c>
      <c r="AB158" s="381">
        <v>0</v>
      </c>
      <c r="AC158" s="381">
        <v>0</v>
      </c>
      <c r="AD158" s="381">
        <v>0</v>
      </c>
      <c r="AE158" s="381">
        <v>0</v>
      </c>
      <c r="AF158" s="381">
        <v>10000</v>
      </c>
      <c r="AG158" s="381">
        <v>1200</v>
      </c>
      <c r="AH158" s="381">
        <v>0</v>
      </c>
      <c r="AI158" s="381">
        <v>0</v>
      </c>
      <c r="AJ158" s="381">
        <v>0</v>
      </c>
      <c r="AK158" s="381">
        <v>0</v>
      </c>
      <c r="AL158" s="381">
        <v>468372</v>
      </c>
      <c r="AM158" s="381"/>
      <c r="AN158" s="381">
        <v>230169</v>
      </c>
      <c r="AO158" s="381">
        <v>2500</v>
      </c>
      <c r="AP158" s="381">
        <v>109251</v>
      </c>
      <c r="AQ158" s="381">
        <v>0</v>
      </c>
      <c r="AR158" s="381">
        <v>41898</v>
      </c>
      <c r="AS158" s="381">
        <v>0</v>
      </c>
      <c r="AT158" s="381">
        <v>17502</v>
      </c>
      <c r="AU158" s="381">
        <v>2168</v>
      </c>
      <c r="AV158" s="381">
        <v>2255</v>
      </c>
      <c r="AW158" s="381">
        <v>4816</v>
      </c>
      <c r="AX158" s="381">
        <v>0</v>
      </c>
      <c r="AY158" s="381">
        <v>6144</v>
      </c>
      <c r="AZ158" s="381">
        <v>3000</v>
      </c>
      <c r="BA158" s="381">
        <v>2000</v>
      </c>
      <c r="BB158" s="381">
        <v>1155</v>
      </c>
      <c r="BC158" s="381">
        <v>5775</v>
      </c>
      <c r="BD158" s="381">
        <v>8109</v>
      </c>
      <c r="BE158" s="381">
        <v>12510</v>
      </c>
      <c r="BF158" s="381">
        <v>36696</v>
      </c>
      <c r="BG158" s="381">
        <v>2000</v>
      </c>
      <c r="BH158" s="381">
        <v>0</v>
      </c>
      <c r="BI158" s="381">
        <v>1000</v>
      </c>
      <c r="BJ158" s="381">
        <v>4200</v>
      </c>
      <c r="BK158" s="381">
        <v>2500</v>
      </c>
      <c r="BL158" s="381">
        <v>9500</v>
      </c>
      <c r="BM158" s="381">
        <v>3290</v>
      </c>
      <c r="BN158" s="381">
        <v>0</v>
      </c>
      <c r="BO158" s="381">
        <v>2300</v>
      </c>
      <c r="BP158" s="381">
        <v>2051</v>
      </c>
      <c r="BQ158" s="381">
        <v>0</v>
      </c>
      <c r="BR158" s="381">
        <v>8234</v>
      </c>
      <c r="BS158" s="381">
        <v>2500</v>
      </c>
      <c r="BT158" s="381">
        <v>0</v>
      </c>
      <c r="BU158" s="381">
        <v>16643</v>
      </c>
      <c r="BV158" s="381">
        <v>0</v>
      </c>
      <c r="BW158" s="381">
        <v>0</v>
      </c>
      <c r="BX158" s="381">
        <v>0</v>
      </c>
      <c r="BY158" s="382">
        <v>22822</v>
      </c>
      <c r="BZ158" s="382">
        <v>0</v>
      </c>
      <c r="CA158" s="382">
        <v>562988</v>
      </c>
      <c r="CB158" s="381"/>
      <c r="CC158" s="381">
        <v>4574</v>
      </c>
      <c r="CD158" s="381">
        <v>0</v>
      </c>
      <c r="CE158" s="381">
        <v>0</v>
      </c>
      <c r="CF158" s="381">
        <v>4574</v>
      </c>
      <c r="CG158" s="381"/>
      <c r="CH158" s="381">
        <v>0</v>
      </c>
      <c r="CI158" s="381">
        <v>35583</v>
      </c>
      <c r="CJ158" s="381">
        <v>0</v>
      </c>
      <c r="CK158" s="381">
        <v>0</v>
      </c>
      <c r="CL158" s="381">
        <v>0</v>
      </c>
      <c r="CM158" s="381">
        <v>0</v>
      </c>
      <c r="CN158" s="381">
        <v>0</v>
      </c>
      <c r="CO158" s="381">
        <v>0</v>
      </c>
      <c r="CP158" s="381">
        <v>35583</v>
      </c>
      <c r="CQ158" s="381"/>
      <c r="CR158" s="381">
        <v>-38018.319999999934</v>
      </c>
      <c r="CS158" s="381">
        <v>0</v>
      </c>
      <c r="CT158" s="381">
        <v>0</v>
      </c>
      <c r="CU158" s="381">
        <v>0.43999999999869033</v>
      </c>
      <c r="CV158" s="381">
        <v>0</v>
      </c>
      <c r="CW158" s="381">
        <v>-8049.4500000000007</v>
      </c>
      <c r="CX158" s="381">
        <v>-46067.329999999929</v>
      </c>
      <c r="CY158" s="381"/>
      <c r="CZ158" s="117"/>
      <c r="DA158" s="384"/>
      <c r="DB158" s="117"/>
      <c r="DC158" s="384"/>
      <c r="DD158" s="385"/>
      <c r="DE158" s="117"/>
      <c r="DF158" s="117"/>
      <c r="DG158" s="381"/>
      <c r="DH158" s="386"/>
      <c r="DI158" s="387"/>
      <c r="DJ158" s="381"/>
      <c r="DK158" s="381">
        <v>48548.230000000069</v>
      </c>
      <c r="DL158" s="381">
        <v>31009.439999999999</v>
      </c>
      <c r="DM158" s="381">
        <v>79557.670000000071</v>
      </c>
      <c r="DN158" s="381">
        <v>-46067.769999999931</v>
      </c>
      <c r="DO158" s="381">
        <v>0.43999999999869033</v>
      </c>
      <c r="DP158" s="381">
        <v>-46067.329999999929</v>
      </c>
      <c r="DQ158" s="383"/>
      <c r="DR158" s="381"/>
      <c r="DS158" s="388"/>
      <c r="DT158" s="388"/>
    </row>
    <row r="159" spans="1:131" ht="14.25">
      <c r="A159" s="380"/>
      <c r="B159" s="68"/>
      <c r="C159" s="68"/>
      <c r="D159" s="120"/>
      <c r="E159" s="120"/>
      <c r="F159" s="120"/>
      <c r="G159" s="120"/>
      <c r="H159" s="68"/>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117"/>
      <c r="DA159" s="384"/>
      <c r="DB159" s="117"/>
      <c r="DC159" s="384"/>
      <c r="DD159" s="385"/>
      <c r="DE159" s="117"/>
      <c r="DF159" s="117"/>
      <c r="DG159" s="381"/>
      <c r="DH159" s="386"/>
      <c r="DI159" s="387"/>
      <c r="DJ159" s="381"/>
      <c r="DK159" s="381"/>
      <c r="DL159" s="381"/>
      <c r="DM159" s="381"/>
      <c r="DN159" s="381"/>
      <c r="DO159" s="381"/>
      <c r="DP159" s="381"/>
      <c r="DQ159" s="383"/>
      <c r="DR159" s="381"/>
      <c r="DS159" s="388"/>
      <c r="DT159" s="388"/>
    </row>
    <row r="160" spans="1:131" ht="14.25">
      <c r="A160" s="380"/>
      <c r="B160" s="68"/>
      <c r="C160" s="68"/>
      <c r="D160" s="120"/>
      <c r="E160" s="120"/>
      <c r="F160" s="120"/>
      <c r="G160" s="120"/>
      <c r="H160" s="68"/>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117"/>
      <c r="DA160" s="384"/>
      <c r="DB160" s="117"/>
      <c r="DC160" s="384"/>
      <c r="DD160" s="385"/>
      <c r="DE160" s="117"/>
      <c r="DF160" s="117"/>
      <c r="DG160" s="381"/>
      <c r="DH160" s="386"/>
      <c r="DI160" s="387"/>
      <c r="DJ160" s="381"/>
      <c r="DK160" s="381"/>
      <c r="DL160" s="381"/>
      <c r="DM160" s="381"/>
      <c r="DN160" s="381"/>
      <c r="DO160" s="381"/>
      <c r="DP160" s="381"/>
      <c r="DQ160" s="383"/>
      <c r="DR160" s="381"/>
      <c r="DS160" s="388"/>
      <c r="DT160" s="388"/>
    </row>
    <row r="161" spans="1:124" ht="14.25">
      <c r="A161" s="380"/>
      <c r="B161" s="68"/>
      <c r="C161" s="68"/>
      <c r="D161" s="120"/>
      <c r="E161" s="120"/>
      <c r="F161" s="120"/>
      <c r="G161" s="120"/>
      <c r="H161" s="68"/>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117"/>
      <c r="DA161" s="384"/>
      <c r="DB161" s="117"/>
      <c r="DC161" s="384"/>
      <c r="DD161" s="385"/>
      <c r="DE161" s="117"/>
      <c r="DF161" s="117"/>
      <c r="DG161" s="381"/>
      <c r="DH161" s="386"/>
      <c r="DI161" s="387"/>
      <c r="DJ161" s="381"/>
      <c r="DK161" s="381"/>
      <c r="DL161" s="381"/>
      <c r="DM161" s="381"/>
      <c r="DN161" s="381"/>
      <c r="DO161" s="381"/>
      <c r="DP161" s="381"/>
      <c r="DQ161" s="383"/>
      <c r="DR161" s="381"/>
      <c r="DS161" s="388"/>
      <c r="DT161" s="388"/>
    </row>
    <row r="162" spans="1:124" ht="15">
      <c r="A162" s="380"/>
      <c r="B162" s="68"/>
      <c r="C162" s="68"/>
      <c r="D162" s="120"/>
      <c r="E162" s="120"/>
      <c r="F162" s="120"/>
      <c r="G162" s="120"/>
      <c r="H162" s="68"/>
      <c r="I162" s="381"/>
      <c r="J162" s="381"/>
      <c r="K162" s="381"/>
      <c r="L162" s="381"/>
      <c r="M162" s="381"/>
      <c r="N162" s="381"/>
      <c r="O162" s="381"/>
      <c r="P162" s="389"/>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81"/>
      <c r="AM162" s="389"/>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81"/>
      <c r="CB162" s="389"/>
      <c r="CC162" s="394"/>
      <c r="CD162" s="394"/>
      <c r="CE162" s="394"/>
      <c r="CF162" s="381"/>
      <c r="CG162" s="389"/>
      <c r="CH162" s="394"/>
      <c r="CI162" s="394"/>
      <c r="CJ162" s="394"/>
      <c r="CK162" s="394"/>
      <c r="CL162" s="394"/>
      <c r="CM162" s="394"/>
      <c r="CN162" s="394"/>
      <c r="CO162" s="394"/>
      <c r="CP162" s="381"/>
      <c r="CQ162" s="390"/>
      <c r="CR162" s="394"/>
      <c r="CS162" s="394"/>
      <c r="CT162" s="381"/>
      <c r="CU162" s="394"/>
      <c r="CV162" s="381"/>
      <c r="CW162" s="394"/>
      <c r="CX162" s="381"/>
      <c r="CY162" s="381"/>
      <c r="CZ162" s="117"/>
      <c r="DA162" s="384"/>
      <c r="DB162" s="117"/>
      <c r="DC162" s="384"/>
      <c r="DD162" s="385"/>
      <c r="DE162" s="117"/>
      <c r="DF162" s="117"/>
      <c r="DG162" s="381"/>
      <c r="DH162" s="386"/>
      <c r="DI162" s="387"/>
      <c r="DJ162" s="381"/>
      <c r="DK162" s="381"/>
      <c r="DL162" s="381"/>
      <c r="DM162" s="381"/>
      <c r="DN162" s="381"/>
      <c r="DO162" s="381"/>
      <c r="DP162" s="381"/>
      <c r="DQ162" s="383"/>
      <c r="DR162" s="381"/>
      <c r="DS162" s="388"/>
      <c r="DT162" s="388"/>
    </row>
    <row r="163" spans="1:124" ht="14.25">
      <c r="A163" s="380"/>
      <c r="B163" s="68"/>
      <c r="C163" s="68"/>
      <c r="D163" s="120"/>
      <c r="E163" s="120"/>
      <c r="F163" s="120"/>
      <c r="G163" s="120"/>
      <c r="H163" s="68"/>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117"/>
      <c r="DA163" s="384"/>
      <c r="DB163" s="117"/>
      <c r="DC163" s="384"/>
      <c r="DD163" s="385"/>
      <c r="DE163" s="117"/>
      <c r="DF163" s="117"/>
      <c r="DG163" s="381"/>
      <c r="DH163" s="386"/>
      <c r="DI163" s="387"/>
      <c r="DJ163" s="381"/>
      <c r="DK163" s="381"/>
      <c r="DL163" s="381"/>
      <c r="DM163" s="381"/>
      <c r="DN163" s="381"/>
      <c r="DO163" s="381"/>
      <c r="DP163" s="381"/>
      <c r="DQ163" s="383"/>
      <c r="DR163" s="381"/>
      <c r="DS163" s="388"/>
      <c r="DT163" s="388"/>
    </row>
    <row r="164" spans="1:124" ht="14.25">
      <c r="A164" s="380"/>
      <c r="B164" s="68"/>
      <c r="C164" s="68"/>
      <c r="D164" s="120"/>
      <c r="E164" s="120"/>
      <c r="F164" s="120"/>
      <c r="G164" s="120"/>
      <c r="H164" s="68"/>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117"/>
      <c r="DA164" s="384"/>
      <c r="DB164" s="117"/>
      <c r="DC164" s="384"/>
      <c r="DD164" s="385"/>
      <c r="DE164" s="117"/>
      <c r="DF164" s="117"/>
      <c r="DG164" s="381"/>
      <c r="DH164" s="386"/>
      <c r="DI164" s="387"/>
      <c r="DJ164" s="381"/>
      <c r="DK164" s="381"/>
      <c r="DL164" s="381"/>
      <c r="DM164" s="381"/>
      <c r="DN164" s="381"/>
      <c r="DO164" s="381"/>
      <c r="DP164" s="381"/>
      <c r="DQ164" s="383"/>
      <c r="DR164" s="381"/>
      <c r="DS164" s="388"/>
      <c r="DT164" s="388"/>
    </row>
    <row r="165" spans="1:124" ht="15">
      <c r="A165" s="380"/>
      <c r="B165" s="68"/>
      <c r="C165" s="68"/>
      <c r="D165" s="120"/>
      <c r="E165" s="120"/>
      <c r="F165" s="120"/>
      <c r="G165" s="120"/>
      <c r="H165" s="68"/>
      <c r="I165" s="381"/>
      <c r="J165" s="381"/>
      <c r="K165" s="381"/>
      <c r="L165" s="381"/>
      <c r="M165" s="381"/>
      <c r="N165" s="381"/>
      <c r="O165" s="381"/>
      <c r="P165" s="389"/>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81"/>
      <c r="AM165" s="389"/>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81"/>
      <c r="CB165" s="389"/>
      <c r="CC165" s="394"/>
      <c r="CD165" s="394"/>
      <c r="CE165" s="394"/>
      <c r="CF165" s="381"/>
      <c r="CG165" s="389"/>
      <c r="CH165" s="394"/>
      <c r="CI165" s="394"/>
      <c r="CJ165" s="394"/>
      <c r="CK165" s="394"/>
      <c r="CL165" s="394"/>
      <c r="CM165" s="394"/>
      <c r="CN165" s="394"/>
      <c r="CO165" s="394"/>
      <c r="CP165" s="381"/>
      <c r="CQ165" s="390"/>
      <c r="CR165" s="394"/>
      <c r="CS165" s="394"/>
      <c r="CT165" s="381"/>
      <c r="CU165" s="394"/>
      <c r="CV165" s="381"/>
      <c r="CW165" s="394"/>
      <c r="CX165" s="381"/>
      <c r="CY165" s="381"/>
      <c r="CZ165" s="117"/>
      <c r="DA165" s="384"/>
      <c r="DB165" s="117"/>
      <c r="DC165" s="384"/>
      <c r="DD165" s="385"/>
      <c r="DE165" s="117"/>
      <c r="DF165" s="117"/>
      <c r="DG165" s="381"/>
      <c r="DH165" s="386"/>
      <c r="DI165" s="387"/>
      <c r="DJ165" s="381"/>
      <c r="DK165" s="381"/>
      <c r="DL165" s="381"/>
      <c r="DM165" s="381"/>
      <c r="DN165" s="381"/>
      <c r="DO165" s="381"/>
      <c r="DP165" s="381"/>
      <c r="DQ165" s="383"/>
      <c r="DR165" s="381"/>
      <c r="DS165" s="388"/>
      <c r="DT165" s="388"/>
    </row>
    <row r="166" spans="1:124" ht="14.25">
      <c r="A166" s="380"/>
      <c r="B166" s="68"/>
      <c r="C166" s="68"/>
      <c r="D166" s="120"/>
      <c r="E166" s="120"/>
      <c r="F166" s="120"/>
      <c r="G166" s="120"/>
      <c r="H166" s="68"/>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117"/>
      <c r="DA166" s="384"/>
      <c r="DB166" s="117"/>
      <c r="DC166" s="384"/>
      <c r="DD166" s="385"/>
      <c r="DE166" s="117"/>
      <c r="DF166" s="117"/>
      <c r="DG166" s="381"/>
      <c r="DH166" s="386"/>
      <c r="DI166" s="387"/>
      <c r="DJ166" s="381"/>
      <c r="DK166" s="381"/>
      <c r="DL166" s="381"/>
      <c r="DM166" s="381"/>
      <c r="DN166" s="381"/>
      <c r="DO166" s="381"/>
      <c r="DP166" s="381"/>
      <c r="DQ166" s="383"/>
      <c r="DR166" s="381"/>
      <c r="DS166" s="388"/>
      <c r="DT166" s="388"/>
    </row>
    <row r="167" spans="1:124" ht="14.25">
      <c r="A167" s="395"/>
      <c r="D167" s="120"/>
      <c r="E167" s="120"/>
      <c r="F167" s="120"/>
      <c r="G167" s="120"/>
      <c r="H167" s="68"/>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117"/>
      <c r="DA167" s="384"/>
      <c r="DB167" s="117"/>
      <c r="DC167" s="384"/>
      <c r="DD167" s="385"/>
      <c r="DE167" s="117"/>
      <c r="DF167" s="117"/>
      <c r="DG167" s="381"/>
      <c r="DH167" s="386"/>
      <c r="DI167" s="387"/>
      <c r="DJ167" s="381"/>
      <c r="DK167" s="381"/>
      <c r="DL167" s="381"/>
      <c r="DM167" s="381"/>
      <c r="DN167" s="381"/>
      <c r="DO167" s="381"/>
      <c r="DP167" s="381"/>
      <c r="DQ167" s="383"/>
      <c r="DR167" s="381"/>
      <c r="DS167" s="388"/>
      <c r="DT167" s="388"/>
    </row>
    <row r="168" spans="1:124" ht="14.25">
      <c r="A168" s="395"/>
      <c r="D168" s="120"/>
      <c r="E168" s="120"/>
      <c r="F168" s="120"/>
      <c r="G168" s="120"/>
      <c r="H168" s="68"/>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117"/>
      <c r="DA168" s="384"/>
      <c r="DB168" s="117"/>
      <c r="DC168" s="384"/>
      <c r="DD168" s="385"/>
      <c r="DE168" s="117"/>
      <c r="DF168" s="117"/>
      <c r="DG168" s="381"/>
      <c r="DH168" s="386"/>
      <c r="DI168" s="387"/>
      <c r="DJ168" s="381"/>
      <c r="DK168" s="381"/>
      <c r="DL168" s="381"/>
      <c r="DM168" s="381"/>
      <c r="DN168" s="381"/>
      <c r="DO168" s="381"/>
      <c r="DP168" s="381"/>
      <c r="DQ168" s="383"/>
      <c r="DR168" s="381"/>
      <c r="DS168" s="388"/>
      <c r="DT168" s="388"/>
    </row>
    <row r="169" spans="1:124" ht="14.25">
      <c r="A169" s="395"/>
      <c r="D169" s="120"/>
      <c r="E169" s="120"/>
      <c r="F169" s="120"/>
      <c r="G169" s="120"/>
      <c r="H169" s="68"/>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117"/>
      <c r="DA169" s="384"/>
      <c r="DB169" s="117"/>
      <c r="DC169" s="384"/>
      <c r="DD169" s="385"/>
      <c r="DE169" s="117"/>
      <c r="DF169" s="117"/>
      <c r="DG169" s="381"/>
      <c r="DH169" s="386"/>
      <c r="DI169" s="387"/>
      <c r="DJ169" s="381"/>
      <c r="DK169" s="381"/>
      <c r="DL169" s="381"/>
      <c r="DM169" s="381"/>
      <c r="DN169" s="381"/>
      <c r="DO169" s="381"/>
      <c r="DP169" s="381"/>
      <c r="DQ169" s="383"/>
      <c r="DR169" s="381"/>
      <c r="DS169" s="388"/>
      <c r="DT169" s="388"/>
    </row>
    <row r="170" spans="1:124" ht="15">
      <c r="A170" s="395"/>
      <c r="D170" s="120"/>
      <c r="E170" s="120"/>
      <c r="F170" s="120"/>
      <c r="G170" s="120"/>
      <c r="H170" s="68"/>
      <c r="I170" s="389"/>
      <c r="J170" s="389"/>
      <c r="K170" s="389"/>
      <c r="L170" s="394"/>
      <c r="M170" s="394"/>
      <c r="N170" s="394"/>
      <c r="O170" s="381"/>
      <c r="P170" s="389"/>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81"/>
      <c r="AM170" s="389"/>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81"/>
      <c r="CB170" s="389"/>
      <c r="CC170" s="394"/>
      <c r="CD170" s="394"/>
      <c r="CE170" s="394"/>
      <c r="CF170" s="381"/>
      <c r="CG170" s="389"/>
      <c r="CH170" s="394"/>
      <c r="CI170" s="394"/>
      <c r="CJ170" s="394"/>
      <c r="CK170" s="394"/>
      <c r="CL170" s="394"/>
      <c r="CM170" s="394"/>
      <c r="CN170" s="394"/>
      <c r="CO170" s="394"/>
      <c r="CP170" s="381"/>
      <c r="CQ170" s="390"/>
      <c r="CR170" s="394"/>
      <c r="CS170" s="394"/>
      <c r="CT170" s="381"/>
      <c r="CU170" s="394"/>
      <c r="CV170" s="381"/>
      <c r="CW170" s="394"/>
      <c r="CX170" s="381"/>
      <c r="CY170" s="381"/>
      <c r="CZ170" s="117"/>
      <c r="DA170" s="384"/>
      <c r="DB170" s="117"/>
      <c r="DC170" s="384"/>
      <c r="DD170" s="385"/>
      <c r="DE170" s="117"/>
      <c r="DF170" s="117"/>
      <c r="DG170" s="381"/>
      <c r="DH170" s="386"/>
      <c r="DI170" s="387"/>
      <c r="DJ170" s="381"/>
      <c r="DK170" s="381"/>
      <c r="DL170" s="381"/>
      <c r="DM170" s="381"/>
      <c r="DN170" s="381"/>
      <c r="DO170" s="381"/>
      <c r="DP170" s="381"/>
      <c r="DQ170" s="383"/>
      <c r="DR170" s="381"/>
      <c r="DS170" s="388"/>
      <c r="DT170" s="388"/>
    </row>
    <row r="171" spans="1:124" ht="14.25">
      <c r="A171" s="395"/>
      <c r="D171" s="120"/>
      <c r="E171" s="120"/>
      <c r="F171" s="120"/>
      <c r="G171" s="120"/>
      <c r="H171" s="68"/>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117"/>
      <c r="DA171" s="384"/>
      <c r="DB171" s="117"/>
      <c r="DC171" s="384"/>
      <c r="DD171" s="385"/>
      <c r="DE171" s="117"/>
      <c r="DF171" s="117"/>
      <c r="DG171" s="381"/>
      <c r="DH171" s="386"/>
      <c r="DI171" s="387"/>
      <c r="DJ171" s="381"/>
      <c r="DK171" s="381"/>
      <c r="DL171" s="381"/>
      <c r="DM171" s="381"/>
      <c r="DN171" s="381"/>
      <c r="DO171" s="381"/>
      <c r="DP171" s="381"/>
      <c r="DQ171" s="383"/>
      <c r="DR171" s="381"/>
      <c r="DS171" s="388"/>
      <c r="DT171" s="388"/>
    </row>
    <row r="172" spans="1:124" ht="14.25">
      <c r="A172" s="395"/>
      <c r="D172" s="120"/>
      <c r="E172" s="120"/>
      <c r="F172" s="120"/>
      <c r="G172" s="120"/>
      <c r="H172" s="68"/>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117"/>
      <c r="DA172" s="384"/>
      <c r="DB172" s="117"/>
      <c r="DC172" s="384"/>
      <c r="DD172" s="385"/>
      <c r="DE172" s="117"/>
      <c r="DF172" s="117"/>
      <c r="DG172" s="381"/>
      <c r="DH172" s="386"/>
      <c r="DI172" s="387"/>
      <c r="DJ172" s="381"/>
      <c r="DK172" s="381"/>
      <c r="DL172" s="381"/>
      <c r="DM172" s="381"/>
      <c r="DN172" s="381"/>
      <c r="DO172" s="381"/>
      <c r="DP172" s="381"/>
      <c r="DQ172" s="383"/>
      <c r="DR172" s="381"/>
      <c r="DS172" s="388"/>
      <c r="DT172" s="388"/>
    </row>
    <row r="173" spans="1:124" ht="15">
      <c r="A173" s="395"/>
      <c r="D173" s="120"/>
      <c r="E173" s="120"/>
      <c r="F173" s="120"/>
      <c r="G173" s="120"/>
      <c r="H173" s="68"/>
      <c r="I173" s="389"/>
      <c r="J173" s="389"/>
      <c r="K173" s="389"/>
      <c r="L173" s="394"/>
      <c r="M173" s="394"/>
      <c r="N173" s="394"/>
      <c r="O173" s="381"/>
      <c r="P173" s="389"/>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81"/>
      <c r="AM173" s="389"/>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81"/>
      <c r="CB173" s="389"/>
      <c r="CC173" s="394"/>
      <c r="CD173" s="394"/>
      <c r="CE173" s="394"/>
      <c r="CF173" s="381"/>
      <c r="CG173" s="389"/>
      <c r="CH173" s="394"/>
      <c r="CI173" s="394"/>
      <c r="CJ173" s="394"/>
      <c r="CK173" s="394"/>
      <c r="CL173" s="394"/>
      <c r="CM173" s="394"/>
      <c r="CN173" s="394"/>
      <c r="CO173" s="394"/>
      <c r="CP173" s="381"/>
      <c r="CQ173" s="390"/>
      <c r="CR173" s="394"/>
      <c r="CS173" s="394"/>
      <c r="CT173" s="381"/>
      <c r="CU173" s="394"/>
      <c r="CV173" s="381"/>
      <c r="CW173" s="394"/>
      <c r="CX173" s="381"/>
      <c r="CY173" s="381"/>
      <c r="CZ173" s="117"/>
      <c r="DA173" s="384"/>
      <c r="DB173" s="117"/>
      <c r="DC173" s="384"/>
      <c r="DD173" s="385"/>
      <c r="DE173" s="117"/>
      <c r="DF173" s="117"/>
      <c r="DG173" s="381"/>
      <c r="DH173" s="386"/>
      <c r="DI173" s="387"/>
      <c r="DJ173" s="381"/>
      <c r="DK173" s="381"/>
      <c r="DL173" s="381"/>
      <c r="DM173" s="381"/>
      <c r="DN173" s="381"/>
      <c r="DO173" s="381"/>
      <c r="DP173" s="381"/>
      <c r="DQ173" s="383"/>
      <c r="DR173" s="381"/>
      <c r="DS173" s="388"/>
      <c r="DT173" s="388"/>
    </row>
    <row r="174" spans="1:124" ht="14.25">
      <c r="A174" s="395"/>
      <c r="D174" s="120"/>
      <c r="E174" s="120"/>
      <c r="F174" s="120"/>
      <c r="G174" s="120"/>
      <c r="H174" s="68"/>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117"/>
      <c r="DA174" s="384"/>
      <c r="DB174" s="117"/>
      <c r="DC174" s="384"/>
      <c r="DD174" s="385"/>
      <c r="DE174" s="117"/>
      <c r="DF174" s="117"/>
      <c r="DG174" s="381"/>
      <c r="DH174" s="386"/>
      <c r="DI174" s="387"/>
      <c r="DJ174" s="381"/>
      <c r="DK174" s="381"/>
      <c r="DL174" s="381"/>
      <c r="DM174" s="381"/>
      <c r="DN174" s="381"/>
      <c r="DO174" s="381"/>
      <c r="DP174" s="381"/>
      <c r="DQ174" s="383"/>
      <c r="DR174" s="381"/>
      <c r="DS174" s="388"/>
      <c r="DT174" s="388"/>
    </row>
    <row r="175" spans="1:124" ht="14.25">
      <c r="A175" s="395"/>
      <c r="D175" s="120"/>
      <c r="E175" s="120"/>
      <c r="F175" s="120"/>
      <c r="G175" s="120"/>
      <c r="H175" s="68"/>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117"/>
      <c r="DA175" s="384"/>
      <c r="DB175" s="117"/>
      <c r="DC175" s="384"/>
      <c r="DD175" s="385"/>
      <c r="DE175" s="117"/>
      <c r="DF175" s="117"/>
      <c r="DG175" s="381"/>
      <c r="DH175" s="386"/>
      <c r="DI175" s="387"/>
      <c r="DJ175" s="381"/>
      <c r="DK175" s="381"/>
      <c r="DL175" s="381"/>
      <c r="DM175" s="381"/>
      <c r="DN175" s="381"/>
      <c r="DO175" s="381"/>
      <c r="DP175" s="381"/>
      <c r="DQ175" s="383"/>
      <c r="DR175" s="381"/>
      <c r="DS175" s="388"/>
      <c r="DT175" s="388"/>
    </row>
    <row r="176" spans="1:124" ht="14.25">
      <c r="A176" s="395"/>
      <c r="D176" s="120"/>
      <c r="E176" s="120"/>
      <c r="F176" s="120"/>
      <c r="G176" s="120"/>
      <c r="H176" s="68"/>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117"/>
      <c r="DA176" s="384"/>
      <c r="DB176" s="117"/>
      <c r="DC176" s="384"/>
      <c r="DD176" s="385"/>
      <c r="DE176" s="117"/>
      <c r="DF176" s="117"/>
      <c r="DG176" s="381"/>
      <c r="DH176" s="386"/>
      <c r="DI176" s="387"/>
      <c r="DJ176" s="381"/>
      <c r="DK176" s="381"/>
      <c r="DL176" s="381"/>
      <c r="DM176" s="381"/>
      <c r="DN176" s="381"/>
      <c r="DO176" s="381"/>
      <c r="DP176" s="381"/>
      <c r="DQ176" s="383"/>
      <c r="DR176" s="381"/>
      <c r="DS176" s="388"/>
      <c r="DT176" s="388"/>
    </row>
    <row r="177" spans="1:124" ht="14.25">
      <c r="A177" s="395"/>
      <c r="D177" s="120"/>
      <c r="E177" s="120"/>
      <c r="F177" s="120"/>
      <c r="G177" s="120"/>
      <c r="H177" s="68"/>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117"/>
      <c r="DA177" s="384"/>
      <c r="DB177" s="117"/>
      <c r="DC177" s="384"/>
      <c r="DD177" s="385"/>
      <c r="DE177" s="117"/>
      <c r="DF177" s="117"/>
      <c r="DG177" s="381"/>
      <c r="DH177" s="386"/>
      <c r="DI177" s="387"/>
      <c r="DJ177" s="381"/>
      <c r="DK177" s="381"/>
      <c r="DL177" s="381"/>
      <c r="DM177" s="381"/>
      <c r="DN177" s="381"/>
      <c r="DO177" s="381"/>
      <c r="DP177" s="381"/>
      <c r="DQ177" s="383"/>
      <c r="DR177" s="381"/>
      <c r="DS177" s="388"/>
      <c r="DT177" s="388"/>
    </row>
    <row r="178" spans="1:124" ht="15">
      <c r="A178" s="395"/>
      <c r="D178" s="120"/>
      <c r="E178" s="120"/>
      <c r="F178" s="120"/>
      <c r="G178" s="120"/>
      <c r="H178" s="68"/>
      <c r="I178" s="389"/>
      <c r="J178" s="389"/>
      <c r="K178" s="389"/>
      <c r="L178" s="394"/>
      <c r="M178" s="394"/>
      <c r="N178" s="394"/>
      <c r="O178" s="381"/>
      <c r="P178" s="389"/>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81"/>
      <c r="AM178" s="389"/>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81"/>
      <c r="CB178" s="389"/>
      <c r="CC178" s="394"/>
      <c r="CD178" s="394"/>
      <c r="CE178" s="394"/>
      <c r="CF178" s="381"/>
      <c r="CG178" s="389"/>
      <c r="CH178" s="394"/>
      <c r="CI178" s="394"/>
      <c r="CJ178" s="394"/>
      <c r="CK178" s="394"/>
      <c r="CL178" s="394"/>
      <c r="CM178" s="394"/>
      <c r="CN178" s="394"/>
      <c r="CO178" s="394"/>
      <c r="CP178" s="381"/>
      <c r="CQ178" s="390"/>
      <c r="CR178" s="394"/>
      <c r="CS178" s="394"/>
      <c r="CT178" s="381"/>
      <c r="CU178" s="394"/>
      <c r="CV178" s="381"/>
      <c r="CW178" s="394"/>
      <c r="CX178" s="381"/>
      <c r="CY178" s="381"/>
      <c r="CZ178" s="117"/>
      <c r="DA178" s="384"/>
      <c r="DB178" s="117"/>
      <c r="DC178" s="384"/>
      <c r="DD178" s="385"/>
      <c r="DE178" s="117"/>
      <c r="DF178" s="117"/>
      <c r="DG178" s="381"/>
      <c r="DH178" s="386"/>
      <c r="DI178" s="387"/>
      <c r="DJ178" s="381"/>
      <c r="DK178" s="381"/>
      <c r="DL178" s="381"/>
      <c r="DM178" s="381"/>
      <c r="DN178" s="381"/>
      <c r="DO178" s="381"/>
      <c r="DP178" s="381"/>
      <c r="DQ178" s="383"/>
      <c r="DR178" s="381"/>
      <c r="DS178" s="388"/>
      <c r="DT178" s="388"/>
    </row>
    <row r="179" spans="1:124" ht="14.25">
      <c r="A179" s="395"/>
      <c r="D179" s="120"/>
      <c r="E179" s="120"/>
      <c r="F179" s="120"/>
      <c r="G179" s="120"/>
      <c r="H179" s="68"/>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117"/>
      <c r="DA179" s="384"/>
      <c r="DB179" s="117"/>
      <c r="DC179" s="384"/>
      <c r="DD179" s="385"/>
      <c r="DE179" s="117"/>
      <c r="DF179" s="117"/>
      <c r="DG179" s="381"/>
      <c r="DH179" s="386"/>
      <c r="DI179" s="387"/>
      <c r="DJ179" s="381"/>
      <c r="DK179" s="381"/>
      <c r="DL179" s="381"/>
      <c r="DM179" s="381"/>
      <c r="DN179" s="381"/>
      <c r="DO179" s="381"/>
      <c r="DP179" s="381"/>
      <c r="DQ179" s="383"/>
      <c r="DR179" s="381"/>
      <c r="DS179" s="388"/>
      <c r="DT179" s="388"/>
    </row>
    <row r="180" spans="1:124" ht="14.25">
      <c r="A180" s="395"/>
      <c r="D180" s="120"/>
      <c r="E180" s="120"/>
      <c r="F180" s="120"/>
      <c r="G180" s="120"/>
      <c r="H180" s="68"/>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117"/>
      <c r="DA180" s="384"/>
      <c r="DB180" s="117"/>
      <c r="DC180" s="384"/>
      <c r="DD180" s="385"/>
      <c r="DE180" s="117"/>
      <c r="DF180" s="117"/>
      <c r="DG180" s="381"/>
      <c r="DH180" s="386"/>
      <c r="DI180" s="387"/>
      <c r="DJ180" s="381"/>
      <c r="DK180" s="381"/>
      <c r="DL180" s="381"/>
      <c r="DM180" s="381"/>
      <c r="DN180" s="381"/>
      <c r="DO180" s="381"/>
      <c r="DP180" s="381"/>
      <c r="DQ180" s="383"/>
      <c r="DR180" s="381"/>
      <c r="DS180" s="388"/>
      <c r="DT180" s="388"/>
    </row>
    <row r="181" spans="1:124" ht="15">
      <c r="A181" s="395"/>
      <c r="D181" s="120"/>
      <c r="E181" s="120"/>
      <c r="F181" s="120"/>
      <c r="G181" s="120"/>
      <c r="H181" s="68"/>
      <c r="I181" s="389"/>
      <c r="J181" s="389"/>
      <c r="K181" s="389"/>
      <c r="L181" s="394"/>
      <c r="M181" s="394"/>
      <c r="N181" s="394"/>
      <c r="O181" s="381"/>
      <c r="P181" s="389"/>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81"/>
      <c r="AM181" s="389"/>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81"/>
      <c r="CB181" s="389"/>
      <c r="CC181" s="394"/>
      <c r="CD181" s="394"/>
      <c r="CE181" s="394"/>
      <c r="CF181" s="381"/>
      <c r="CG181" s="389"/>
      <c r="CH181" s="394"/>
      <c r="CI181" s="394"/>
      <c r="CJ181" s="394"/>
      <c r="CK181" s="394"/>
      <c r="CL181" s="394"/>
      <c r="CM181" s="394"/>
      <c r="CN181" s="394"/>
      <c r="CO181" s="394"/>
      <c r="CP181" s="381"/>
      <c r="CQ181" s="390"/>
      <c r="CR181" s="394"/>
      <c r="CS181" s="394"/>
      <c r="CT181" s="381"/>
      <c r="CU181" s="394"/>
      <c r="CV181" s="381"/>
      <c r="CW181" s="394"/>
      <c r="CX181" s="381"/>
      <c r="CY181" s="381"/>
      <c r="CZ181" s="117"/>
      <c r="DA181" s="384"/>
      <c r="DB181" s="117"/>
      <c r="DC181" s="384"/>
      <c r="DD181" s="385"/>
      <c r="DE181" s="117"/>
      <c r="DF181" s="117"/>
      <c r="DG181" s="381"/>
      <c r="DH181" s="386"/>
      <c r="DI181" s="387"/>
      <c r="DJ181" s="381"/>
      <c r="DK181" s="381"/>
      <c r="DL181" s="381"/>
      <c r="DM181" s="381"/>
      <c r="DN181" s="381"/>
      <c r="DO181" s="381"/>
      <c r="DP181" s="381"/>
      <c r="DQ181" s="383"/>
      <c r="DR181" s="381"/>
      <c r="DS181" s="388"/>
      <c r="DT181" s="388"/>
    </row>
    <row r="182" spans="1:124" ht="14.25">
      <c r="A182" s="395"/>
      <c r="D182" s="120"/>
      <c r="E182" s="120"/>
      <c r="F182" s="120"/>
      <c r="G182" s="120"/>
      <c r="H182" s="68"/>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117"/>
      <c r="DA182" s="384"/>
      <c r="DB182" s="117"/>
      <c r="DC182" s="384"/>
      <c r="DD182" s="385"/>
      <c r="DE182" s="117"/>
      <c r="DF182" s="117"/>
      <c r="DG182" s="381"/>
      <c r="DH182" s="386"/>
      <c r="DI182" s="387"/>
      <c r="DJ182" s="381"/>
      <c r="DK182" s="381"/>
      <c r="DL182" s="381"/>
      <c r="DM182" s="381"/>
      <c r="DN182" s="381"/>
      <c r="DO182" s="381"/>
      <c r="DP182" s="381"/>
      <c r="DQ182" s="383"/>
      <c r="DR182" s="381"/>
      <c r="DS182" s="388"/>
      <c r="DT182" s="388"/>
    </row>
    <row r="183" spans="1:124" ht="14.25">
      <c r="A183" s="395"/>
      <c r="D183" s="120"/>
      <c r="E183" s="120"/>
      <c r="F183" s="120"/>
      <c r="G183" s="120"/>
      <c r="H183" s="68"/>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117"/>
      <c r="DA183" s="384"/>
      <c r="DB183" s="117"/>
      <c r="DC183" s="384"/>
      <c r="DD183" s="385"/>
      <c r="DE183" s="117"/>
      <c r="DF183" s="117"/>
      <c r="DG183" s="381"/>
      <c r="DH183" s="386"/>
      <c r="DI183" s="387"/>
      <c r="DJ183" s="381"/>
      <c r="DK183" s="381"/>
      <c r="DL183" s="381"/>
      <c r="DM183" s="381"/>
      <c r="DN183" s="381"/>
      <c r="DO183" s="381"/>
      <c r="DP183" s="381"/>
      <c r="DQ183" s="383"/>
      <c r="DR183" s="381"/>
      <c r="DS183" s="388"/>
      <c r="DT183" s="388"/>
    </row>
    <row r="184" spans="1:124" ht="14.25">
      <c r="A184" s="395"/>
      <c r="D184" s="120"/>
      <c r="E184" s="120"/>
      <c r="F184" s="120"/>
      <c r="G184" s="120"/>
      <c r="H184" s="68"/>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117"/>
      <c r="DA184" s="384"/>
      <c r="DB184" s="117"/>
      <c r="DC184" s="384"/>
      <c r="DD184" s="385"/>
      <c r="DE184" s="117"/>
      <c r="DF184" s="117"/>
      <c r="DG184" s="381"/>
      <c r="DH184" s="386"/>
      <c r="DI184" s="387"/>
      <c r="DJ184" s="381"/>
      <c r="DK184" s="381"/>
      <c r="DL184" s="381"/>
      <c r="DM184" s="381"/>
      <c r="DN184" s="381"/>
      <c r="DO184" s="381"/>
      <c r="DP184" s="381"/>
      <c r="DQ184" s="383"/>
      <c r="DR184" s="381"/>
      <c r="DS184" s="388"/>
      <c r="DT184" s="388"/>
    </row>
    <row r="185" spans="1:124" ht="14.25">
      <c r="A185" s="395"/>
      <c r="D185" s="120"/>
      <c r="E185" s="120"/>
      <c r="F185" s="120"/>
      <c r="G185" s="120"/>
      <c r="H185" s="68"/>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117"/>
      <c r="DA185" s="384"/>
      <c r="DB185" s="117"/>
      <c r="DC185" s="384"/>
      <c r="DD185" s="385"/>
      <c r="DE185" s="117"/>
      <c r="DF185" s="117"/>
      <c r="DG185" s="381"/>
      <c r="DH185" s="386"/>
      <c r="DI185" s="387"/>
      <c r="DJ185" s="381"/>
      <c r="DK185" s="381"/>
      <c r="DL185" s="381"/>
      <c r="DM185" s="381"/>
      <c r="DN185" s="381"/>
      <c r="DO185" s="381"/>
      <c r="DP185" s="381"/>
      <c r="DQ185" s="383"/>
      <c r="DR185" s="381"/>
      <c r="DS185" s="388"/>
      <c r="DT185" s="388"/>
    </row>
    <row r="186" spans="1:124" ht="15">
      <c r="A186" s="395"/>
      <c r="D186" s="120"/>
      <c r="E186" s="120"/>
      <c r="F186" s="120"/>
      <c r="G186" s="120"/>
      <c r="H186" s="68"/>
      <c r="I186" s="389"/>
      <c r="J186" s="389"/>
      <c r="K186" s="389"/>
      <c r="L186" s="394"/>
      <c r="M186" s="394"/>
      <c r="N186" s="394"/>
      <c r="O186" s="381"/>
      <c r="P186" s="389"/>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81"/>
      <c r="AM186" s="389"/>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81"/>
      <c r="CB186" s="389"/>
      <c r="CC186" s="394"/>
      <c r="CD186" s="394"/>
      <c r="CE186" s="394"/>
      <c r="CF186" s="381"/>
      <c r="CG186" s="389"/>
      <c r="CH186" s="394"/>
      <c r="CI186" s="394"/>
      <c r="CJ186" s="394"/>
      <c r="CK186" s="394"/>
      <c r="CL186" s="394"/>
      <c r="CM186" s="394"/>
      <c r="CN186" s="394"/>
      <c r="CO186" s="394"/>
      <c r="CP186" s="381"/>
      <c r="CQ186" s="390"/>
      <c r="CR186" s="394"/>
      <c r="CS186" s="394"/>
      <c r="CT186" s="381"/>
      <c r="CU186" s="394"/>
      <c r="CV186" s="381"/>
      <c r="CW186" s="394"/>
      <c r="CX186" s="381"/>
      <c r="CY186" s="381"/>
      <c r="CZ186" s="117"/>
      <c r="DA186" s="384"/>
      <c r="DB186" s="117"/>
      <c r="DC186" s="384"/>
      <c r="DD186" s="385"/>
      <c r="DE186" s="117"/>
      <c r="DF186" s="117"/>
      <c r="DG186" s="381"/>
      <c r="DH186" s="386"/>
      <c r="DI186" s="387"/>
      <c r="DJ186" s="381"/>
      <c r="DK186" s="381"/>
      <c r="DL186" s="381"/>
      <c r="DM186" s="381"/>
      <c r="DN186" s="381"/>
      <c r="DO186" s="381"/>
      <c r="DP186" s="381"/>
      <c r="DQ186" s="383"/>
      <c r="DR186" s="381"/>
      <c r="DS186" s="388"/>
      <c r="DT186" s="388"/>
    </row>
    <row r="187" spans="1:124" ht="14.25">
      <c r="A187" s="395"/>
      <c r="D187" s="120"/>
      <c r="E187" s="120"/>
      <c r="F187" s="120"/>
      <c r="G187" s="120"/>
      <c r="H187" s="68"/>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117"/>
      <c r="DA187" s="384"/>
      <c r="DB187" s="117"/>
      <c r="DC187" s="384"/>
      <c r="DD187" s="385"/>
      <c r="DE187" s="117"/>
      <c r="DF187" s="117"/>
      <c r="DG187" s="381"/>
      <c r="DH187" s="386"/>
      <c r="DI187" s="387"/>
      <c r="DJ187" s="381"/>
      <c r="DK187" s="381"/>
      <c r="DL187" s="381"/>
      <c r="DM187" s="381"/>
      <c r="DN187" s="381"/>
      <c r="DO187" s="381"/>
      <c r="DP187" s="381"/>
      <c r="DQ187" s="383"/>
      <c r="DR187" s="381"/>
      <c r="DS187" s="388"/>
      <c r="DT187" s="388"/>
    </row>
    <row r="188" spans="1:124" ht="14.25">
      <c r="A188" s="395"/>
      <c r="D188" s="120"/>
      <c r="E188" s="120"/>
      <c r="F188" s="120"/>
      <c r="G188" s="120"/>
      <c r="H188" s="68"/>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117"/>
      <c r="DA188" s="384"/>
      <c r="DB188" s="117"/>
      <c r="DC188" s="384"/>
      <c r="DD188" s="385"/>
      <c r="DE188" s="117"/>
      <c r="DF188" s="117"/>
      <c r="DG188" s="381"/>
      <c r="DH188" s="386"/>
      <c r="DI188" s="387"/>
      <c r="DJ188" s="381"/>
      <c r="DK188" s="381"/>
      <c r="DL188" s="381"/>
      <c r="DM188" s="381"/>
      <c r="DN188" s="381"/>
      <c r="DO188" s="381"/>
      <c r="DP188" s="381"/>
      <c r="DQ188" s="383"/>
      <c r="DR188" s="381"/>
      <c r="DS188" s="388"/>
      <c r="DT188" s="388"/>
    </row>
    <row r="189" spans="1:124" ht="15">
      <c r="A189" s="395"/>
      <c r="D189" s="120"/>
      <c r="E189" s="120"/>
      <c r="F189" s="120"/>
      <c r="G189" s="120"/>
      <c r="H189" s="68"/>
      <c r="I189" s="389"/>
      <c r="J189" s="389"/>
      <c r="K189" s="389"/>
      <c r="L189" s="394"/>
      <c r="M189" s="394"/>
      <c r="N189" s="394"/>
      <c r="O189" s="381"/>
      <c r="P189" s="389"/>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81"/>
      <c r="AM189" s="389"/>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81"/>
      <c r="CB189" s="389"/>
      <c r="CC189" s="394"/>
      <c r="CD189" s="394"/>
      <c r="CE189" s="394"/>
      <c r="CF189" s="381"/>
      <c r="CG189" s="389"/>
      <c r="CH189" s="394"/>
      <c r="CI189" s="394"/>
      <c r="CJ189" s="394"/>
      <c r="CK189" s="394"/>
      <c r="CL189" s="394"/>
      <c r="CM189" s="394"/>
      <c r="CN189" s="394"/>
      <c r="CO189" s="394"/>
      <c r="CP189" s="381"/>
      <c r="CQ189" s="390"/>
      <c r="CR189" s="394"/>
      <c r="CS189" s="394"/>
      <c r="CT189" s="381"/>
      <c r="CU189" s="394"/>
      <c r="CV189" s="381"/>
      <c r="CW189" s="394"/>
      <c r="CX189" s="381"/>
      <c r="CY189" s="381"/>
      <c r="CZ189" s="117"/>
      <c r="DA189" s="384"/>
      <c r="DB189" s="117"/>
      <c r="DC189" s="384"/>
      <c r="DD189" s="385"/>
      <c r="DE189" s="117"/>
      <c r="DF189" s="117"/>
      <c r="DG189" s="381"/>
      <c r="DH189" s="386"/>
      <c r="DI189" s="387"/>
      <c r="DJ189" s="381"/>
      <c r="DK189" s="381"/>
      <c r="DL189" s="381"/>
      <c r="DM189" s="381"/>
      <c r="DN189" s="381"/>
      <c r="DO189" s="381"/>
      <c r="DP189" s="381"/>
      <c r="DQ189" s="383"/>
      <c r="DR189" s="381"/>
      <c r="DS189" s="388"/>
      <c r="DT189" s="388"/>
    </row>
    <row r="190" spans="1:124" ht="14.25">
      <c r="A190" s="395"/>
      <c r="D190" s="120"/>
      <c r="E190" s="120"/>
      <c r="F190" s="120"/>
      <c r="G190" s="120"/>
      <c r="H190" s="68"/>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117"/>
      <c r="DA190" s="384"/>
      <c r="DB190" s="117"/>
      <c r="DC190" s="384"/>
      <c r="DD190" s="385"/>
      <c r="DE190" s="117"/>
      <c r="DF190" s="117"/>
      <c r="DG190" s="381"/>
      <c r="DH190" s="386"/>
      <c r="DI190" s="387"/>
      <c r="DJ190" s="381"/>
      <c r="DK190" s="381"/>
      <c r="DL190" s="381"/>
      <c r="DM190" s="381"/>
      <c r="DN190" s="381"/>
      <c r="DO190" s="381"/>
      <c r="DP190" s="381"/>
      <c r="DQ190" s="383"/>
      <c r="DR190" s="381"/>
      <c r="DS190" s="388"/>
      <c r="DT190" s="388"/>
    </row>
    <row r="191" spans="1:124" ht="14.25">
      <c r="A191" s="395"/>
      <c r="D191" s="120"/>
      <c r="E191" s="120"/>
      <c r="F191" s="120"/>
      <c r="G191" s="120"/>
      <c r="H191" s="68"/>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117"/>
      <c r="DA191" s="384"/>
      <c r="DB191" s="117"/>
      <c r="DC191" s="384"/>
      <c r="DD191" s="385"/>
      <c r="DE191" s="117"/>
      <c r="DF191" s="117"/>
      <c r="DG191" s="381"/>
      <c r="DH191" s="386"/>
      <c r="DI191" s="387"/>
      <c r="DJ191" s="381"/>
      <c r="DK191" s="381"/>
      <c r="DL191" s="381"/>
      <c r="DM191" s="381"/>
      <c r="DN191" s="381"/>
      <c r="DO191" s="381"/>
      <c r="DP191" s="381"/>
      <c r="DQ191" s="383"/>
      <c r="DR191" s="381"/>
      <c r="DS191" s="388"/>
      <c r="DT191" s="388"/>
    </row>
    <row r="192" spans="1:124" ht="14.25">
      <c r="A192" s="395"/>
      <c r="D192" s="120"/>
      <c r="E192" s="120"/>
      <c r="F192" s="120"/>
      <c r="G192" s="120"/>
      <c r="H192" s="68"/>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117"/>
      <c r="DA192" s="384"/>
      <c r="DB192" s="117"/>
      <c r="DC192" s="384"/>
      <c r="DD192" s="385"/>
      <c r="DE192" s="117"/>
      <c r="DF192" s="117"/>
      <c r="DG192" s="381"/>
      <c r="DH192" s="386"/>
      <c r="DI192" s="387"/>
      <c r="DJ192" s="381"/>
      <c r="DK192" s="381"/>
      <c r="DL192" s="381"/>
      <c r="DM192" s="381"/>
      <c r="DN192" s="381"/>
      <c r="DO192" s="381"/>
      <c r="DP192" s="381"/>
      <c r="DQ192" s="383"/>
      <c r="DR192" s="381"/>
      <c r="DS192" s="388"/>
      <c r="DT192" s="388"/>
    </row>
    <row r="193" spans="1:124" ht="14.25">
      <c r="A193" s="395"/>
      <c r="D193" s="120"/>
      <c r="E193" s="120"/>
      <c r="F193" s="120"/>
      <c r="G193" s="120"/>
      <c r="H193" s="68"/>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117"/>
      <c r="DA193" s="384"/>
      <c r="DB193" s="117"/>
      <c r="DC193" s="384"/>
      <c r="DD193" s="385"/>
      <c r="DE193" s="117"/>
      <c r="DF193" s="117"/>
      <c r="DG193" s="381"/>
      <c r="DH193" s="386"/>
      <c r="DI193" s="387"/>
      <c r="DJ193" s="381"/>
      <c r="DK193" s="381"/>
      <c r="DL193" s="381"/>
      <c r="DM193" s="381"/>
      <c r="DN193" s="381"/>
      <c r="DO193" s="381"/>
      <c r="DP193" s="381"/>
      <c r="DQ193" s="383"/>
      <c r="DR193" s="381"/>
      <c r="DS193" s="388"/>
      <c r="DT193" s="388"/>
    </row>
    <row r="194" spans="1:124" ht="15">
      <c r="A194" s="395"/>
      <c r="D194" s="120"/>
      <c r="E194" s="120"/>
      <c r="F194" s="120"/>
      <c r="G194" s="120"/>
      <c r="H194" s="68"/>
      <c r="I194" s="389"/>
      <c r="J194" s="389"/>
      <c r="K194" s="389"/>
      <c r="L194" s="394"/>
      <c r="M194" s="394"/>
      <c r="N194" s="394"/>
      <c r="O194" s="381"/>
      <c r="P194" s="389"/>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81"/>
      <c r="AM194" s="389"/>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81"/>
      <c r="CB194" s="389"/>
      <c r="CC194" s="394"/>
      <c r="CD194" s="394"/>
      <c r="CE194" s="394"/>
      <c r="CF194" s="381"/>
      <c r="CG194" s="389"/>
      <c r="CH194" s="394"/>
      <c r="CI194" s="394"/>
      <c r="CJ194" s="394"/>
      <c r="CK194" s="394"/>
      <c r="CL194" s="394"/>
      <c r="CM194" s="394"/>
      <c r="CN194" s="394"/>
      <c r="CO194" s="394"/>
      <c r="CP194" s="381"/>
      <c r="CQ194" s="390"/>
      <c r="CR194" s="394"/>
      <c r="CS194" s="394"/>
      <c r="CT194" s="381"/>
      <c r="CU194" s="394"/>
      <c r="CV194" s="381"/>
      <c r="CW194" s="394"/>
      <c r="CX194" s="381"/>
      <c r="CY194" s="381"/>
      <c r="CZ194" s="117"/>
      <c r="DA194" s="384"/>
      <c r="DB194" s="117"/>
      <c r="DC194" s="384"/>
      <c r="DD194" s="385"/>
      <c r="DE194" s="117"/>
      <c r="DF194" s="117"/>
      <c r="DG194" s="381"/>
      <c r="DH194" s="386"/>
      <c r="DI194" s="387"/>
      <c r="DJ194" s="381"/>
      <c r="DK194" s="381"/>
      <c r="DL194" s="381"/>
      <c r="DM194" s="381"/>
      <c r="DN194" s="381"/>
      <c r="DO194" s="381"/>
      <c r="DP194" s="381"/>
      <c r="DQ194" s="383"/>
      <c r="DR194" s="381"/>
      <c r="DS194" s="388"/>
      <c r="DT194" s="388"/>
    </row>
    <row r="195" spans="1:124" ht="14.25">
      <c r="A195" s="395"/>
      <c r="D195" s="120"/>
      <c r="E195" s="120"/>
      <c r="F195" s="120"/>
      <c r="G195" s="120"/>
      <c r="H195" s="68"/>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117"/>
      <c r="DA195" s="384"/>
      <c r="DB195" s="117"/>
      <c r="DC195" s="384"/>
      <c r="DD195" s="385"/>
      <c r="DE195" s="117"/>
      <c r="DF195" s="117"/>
      <c r="DG195" s="381"/>
      <c r="DH195" s="386"/>
      <c r="DI195" s="387"/>
      <c r="DJ195" s="381"/>
      <c r="DK195" s="381"/>
      <c r="DL195" s="381"/>
      <c r="DM195" s="381"/>
      <c r="DN195" s="381"/>
      <c r="DO195" s="381"/>
      <c r="DP195" s="381"/>
      <c r="DQ195" s="383"/>
      <c r="DR195" s="381"/>
      <c r="DS195" s="388"/>
      <c r="DT195" s="388"/>
    </row>
    <row r="196" spans="1:124" ht="12.75" customHeight="1">
      <c r="A196" s="395"/>
      <c r="D196" s="120"/>
      <c r="E196" s="120"/>
      <c r="F196" s="120"/>
      <c r="G196" s="120"/>
      <c r="H196" s="68"/>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117"/>
      <c r="DA196" s="384"/>
      <c r="DB196" s="117"/>
      <c r="DC196" s="384"/>
      <c r="DD196" s="385"/>
      <c r="DE196" s="117"/>
      <c r="DF196" s="117"/>
      <c r="DG196" s="381"/>
      <c r="DH196" s="386"/>
      <c r="DI196" s="387"/>
      <c r="DJ196" s="381"/>
      <c r="DK196" s="381"/>
      <c r="DL196" s="381"/>
      <c r="DM196" s="381"/>
      <c r="DN196" s="381"/>
      <c r="DO196" s="381"/>
      <c r="DP196" s="381"/>
      <c r="DQ196" s="383"/>
      <c r="DR196" s="381"/>
      <c r="DS196" s="388"/>
      <c r="DT196" s="388"/>
    </row>
    <row r="197" spans="1:124" ht="15">
      <c r="A197" s="395"/>
      <c r="D197" s="120"/>
      <c r="E197" s="120"/>
      <c r="F197" s="120"/>
      <c r="G197" s="120"/>
      <c r="H197" s="68"/>
      <c r="I197" s="389"/>
      <c r="J197" s="389"/>
      <c r="K197" s="389"/>
      <c r="L197" s="394"/>
      <c r="M197" s="394"/>
      <c r="N197" s="394"/>
      <c r="O197" s="381"/>
      <c r="P197" s="389"/>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81"/>
      <c r="AM197" s="389"/>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81"/>
      <c r="CB197" s="389"/>
      <c r="CC197" s="394"/>
      <c r="CD197" s="394"/>
      <c r="CE197" s="394"/>
      <c r="CF197" s="381"/>
      <c r="CG197" s="389"/>
      <c r="CH197" s="394"/>
      <c r="CI197" s="394"/>
      <c r="CJ197" s="394"/>
      <c r="CK197" s="394"/>
      <c r="CL197" s="394"/>
      <c r="CM197" s="394"/>
      <c r="CN197" s="394"/>
      <c r="CO197" s="394"/>
      <c r="CP197" s="381"/>
      <c r="CQ197" s="390"/>
      <c r="CR197" s="394"/>
      <c r="CS197" s="394"/>
      <c r="CT197" s="381"/>
      <c r="CU197" s="394"/>
      <c r="CV197" s="381"/>
      <c r="CW197" s="394"/>
      <c r="CX197" s="381"/>
      <c r="CY197" s="381"/>
      <c r="CZ197" s="117"/>
      <c r="DA197" s="384"/>
      <c r="DB197" s="117"/>
      <c r="DC197" s="384"/>
      <c r="DD197" s="385"/>
      <c r="DE197" s="117"/>
      <c r="DF197" s="117"/>
      <c r="DG197" s="381"/>
      <c r="DH197" s="386"/>
      <c r="DI197" s="387"/>
      <c r="DJ197" s="381"/>
      <c r="DK197" s="381"/>
      <c r="DL197" s="381"/>
      <c r="DM197" s="381"/>
      <c r="DN197" s="381"/>
      <c r="DO197" s="381"/>
      <c r="DP197" s="381"/>
      <c r="DQ197" s="383"/>
      <c r="DR197" s="381"/>
      <c r="DS197" s="388"/>
      <c r="DT197" s="388"/>
    </row>
    <row r="198" spans="1:124" ht="14.25">
      <c r="A198" s="395"/>
      <c r="D198" s="120"/>
      <c r="E198" s="120"/>
      <c r="F198" s="120"/>
      <c r="G198" s="120"/>
      <c r="H198" s="68"/>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117"/>
      <c r="DA198" s="384"/>
      <c r="DB198" s="117"/>
      <c r="DC198" s="384"/>
      <c r="DD198" s="385"/>
      <c r="DE198" s="117"/>
      <c r="DF198" s="117"/>
      <c r="DG198" s="381"/>
      <c r="DH198" s="386"/>
      <c r="DI198" s="387"/>
      <c r="DJ198" s="381"/>
      <c r="DK198" s="381"/>
      <c r="DL198" s="381"/>
      <c r="DM198" s="381"/>
      <c r="DN198" s="381"/>
      <c r="DO198" s="381"/>
      <c r="DP198" s="381"/>
      <c r="DQ198" s="383"/>
      <c r="DR198" s="381"/>
      <c r="DS198" s="388"/>
      <c r="DT198" s="388"/>
    </row>
    <row r="199" spans="1:124" ht="14.25">
      <c r="A199" s="395"/>
      <c r="D199" s="120"/>
      <c r="E199" s="120"/>
      <c r="F199" s="120"/>
      <c r="G199" s="120"/>
      <c r="H199" s="68"/>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117"/>
      <c r="DA199" s="384"/>
      <c r="DB199" s="117"/>
      <c r="DC199" s="384"/>
      <c r="DD199" s="385"/>
      <c r="DE199" s="117"/>
      <c r="DF199" s="117"/>
      <c r="DG199" s="381"/>
      <c r="DH199" s="386"/>
      <c r="DI199" s="387"/>
      <c r="DJ199" s="381"/>
      <c r="DK199" s="381"/>
      <c r="DL199" s="381"/>
      <c r="DM199" s="381"/>
      <c r="DN199" s="381"/>
      <c r="DO199" s="381"/>
      <c r="DP199" s="381"/>
      <c r="DQ199" s="383"/>
      <c r="DR199" s="381"/>
      <c r="DS199" s="388"/>
      <c r="DT199" s="388"/>
    </row>
    <row r="200" spans="1:124" ht="14.25">
      <c r="A200" s="395"/>
      <c r="D200" s="120"/>
      <c r="E200" s="120"/>
      <c r="F200" s="120"/>
      <c r="G200" s="120"/>
      <c r="H200" s="68"/>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117"/>
      <c r="DA200" s="384"/>
      <c r="DB200" s="117"/>
      <c r="DC200" s="384"/>
      <c r="DD200" s="385"/>
      <c r="DE200" s="117"/>
      <c r="DF200" s="117"/>
      <c r="DG200" s="381"/>
      <c r="DH200" s="386"/>
      <c r="DI200" s="387"/>
      <c r="DJ200" s="381"/>
      <c r="DK200" s="381"/>
      <c r="DL200" s="381"/>
      <c r="DM200" s="381"/>
      <c r="DN200" s="381"/>
      <c r="DO200" s="381"/>
      <c r="DP200" s="381"/>
      <c r="DQ200" s="383"/>
      <c r="DR200" s="381"/>
      <c r="DS200" s="388"/>
      <c r="DT200" s="388"/>
    </row>
    <row r="201" spans="1:124" ht="14.25">
      <c r="A201" s="395"/>
      <c r="D201" s="120"/>
      <c r="E201" s="120"/>
      <c r="F201" s="120"/>
      <c r="G201" s="120"/>
      <c r="H201" s="68"/>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117"/>
      <c r="DA201" s="384"/>
      <c r="DB201" s="117"/>
      <c r="DC201" s="384"/>
      <c r="DD201" s="385"/>
      <c r="DE201" s="117"/>
      <c r="DF201" s="117"/>
      <c r="DG201" s="381"/>
      <c r="DH201" s="386"/>
      <c r="DI201" s="387"/>
      <c r="DJ201" s="381"/>
      <c r="DK201" s="381"/>
      <c r="DL201" s="381"/>
      <c r="DM201" s="381"/>
      <c r="DN201" s="381"/>
      <c r="DO201" s="381"/>
      <c r="DP201" s="381"/>
      <c r="DQ201" s="383"/>
      <c r="DR201" s="381"/>
      <c r="DS201" s="388"/>
      <c r="DT201" s="388"/>
    </row>
    <row r="202" spans="1:124" ht="15">
      <c r="A202" s="395"/>
      <c r="D202" s="120"/>
      <c r="E202" s="120"/>
      <c r="F202" s="120"/>
      <c r="G202" s="120"/>
      <c r="H202" s="68"/>
      <c r="I202" s="389"/>
      <c r="J202" s="389"/>
      <c r="K202" s="389"/>
      <c r="L202" s="394"/>
      <c r="M202" s="394"/>
      <c r="N202" s="394"/>
      <c r="O202" s="381"/>
      <c r="P202" s="389"/>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81"/>
      <c r="AM202" s="389"/>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81"/>
      <c r="CB202" s="389"/>
      <c r="CC202" s="394"/>
      <c r="CD202" s="394"/>
      <c r="CE202" s="394"/>
      <c r="CF202" s="381"/>
      <c r="CG202" s="389"/>
      <c r="CH202" s="394"/>
      <c r="CI202" s="394"/>
      <c r="CJ202" s="394"/>
      <c r="CK202" s="394"/>
      <c r="CL202" s="394"/>
      <c r="CM202" s="394"/>
      <c r="CN202" s="394"/>
      <c r="CO202" s="394"/>
      <c r="CP202" s="381"/>
      <c r="CQ202" s="390"/>
      <c r="CR202" s="394"/>
      <c r="CS202" s="394"/>
      <c r="CT202" s="381"/>
      <c r="CU202" s="394"/>
      <c r="CV202" s="381"/>
      <c r="CW202" s="394"/>
      <c r="CX202" s="381"/>
      <c r="CY202" s="381"/>
      <c r="CZ202" s="117"/>
      <c r="DA202" s="384"/>
      <c r="DB202" s="117"/>
      <c r="DC202" s="384"/>
      <c r="DD202" s="385"/>
      <c r="DE202" s="117"/>
      <c r="DF202" s="117"/>
      <c r="DG202" s="381"/>
      <c r="DH202" s="386"/>
      <c r="DI202" s="387"/>
      <c r="DJ202" s="381"/>
      <c r="DK202" s="381"/>
      <c r="DL202" s="381"/>
      <c r="DM202" s="381"/>
      <c r="DN202" s="381"/>
      <c r="DO202" s="381"/>
      <c r="DP202" s="381"/>
      <c r="DQ202" s="383"/>
      <c r="DR202" s="381"/>
      <c r="DS202" s="388"/>
      <c r="DT202" s="388"/>
    </row>
    <row r="203" spans="1:124" ht="14.25">
      <c r="A203" s="395"/>
      <c r="D203" s="120"/>
      <c r="E203" s="120"/>
      <c r="F203" s="120"/>
      <c r="G203" s="120"/>
      <c r="H203" s="68"/>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117"/>
      <c r="DA203" s="384"/>
      <c r="DB203" s="117"/>
      <c r="DC203" s="384"/>
      <c r="DD203" s="385"/>
      <c r="DE203" s="117"/>
      <c r="DF203" s="117"/>
      <c r="DG203" s="381"/>
      <c r="DH203" s="386"/>
      <c r="DI203" s="387"/>
      <c r="DJ203" s="381"/>
      <c r="DK203" s="381"/>
      <c r="DL203" s="381"/>
      <c r="DM203" s="381"/>
      <c r="DN203" s="381"/>
      <c r="DO203" s="381"/>
      <c r="DP203" s="381"/>
      <c r="DQ203" s="383"/>
      <c r="DR203" s="381"/>
      <c r="DS203" s="388"/>
      <c r="DT203" s="388"/>
    </row>
    <row r="204" spans="1:124" ht="14.25">
      <c r="A204" s="395"/>
      <c r="D204" s="120"/>
      <c r="E204" s="120"/>
      <c r="F204" s="120"/>
      <c r="G204" s="120"/>
      <c r="H204" s="68"/>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117"/>
      <c r="DA204" s="384"/>
      <c r="DB204" s="117"/>
      <c r="DC204" s="384"/>
      <c r="DD204" s="385"/>
      <c r="DE204" s="117"/>
      <c r="DF204" s="117"/>
      <c r="DG204" s="381"/>
      <c r="DH204" s="386"/>
      <c r="DI204" s="387"/>
      <c r="DJ204" s="381"/>
      <c r="DK204" s="381"/>
      <c r="DL204" s="381"/>
      <c r="DM204" s="381"/>
      <c r="DN204" s="381"/>
      <c r="DO204" s="381"/>
      <c r="DP204" s="381"/>
      <c r="DQ204" s="383"/>
      <c r="DR204" s="381"/>
      <c r="DS204" s="388"/>
      <c r="DT204" s="388"/>
    </row>
    <row r="205" spans="1:124" ht="15">
      <c r="A205" s="395"/>
      <c r="D205" s="120"/>
      <c r="E205" s="120"/>
      <c r="F205" s="120"/>
      <c r="G205" s="120"/>
      <c r="H205" s="68"/>
      <c r="I205" s="389"/>
      <c r="J205" s="389"/>
      <c r="K205" s="389"/>
      <c r="L205" s="394"/>
      <c r="M205" s="394"/>
      <c r="N205" s="394"/>
      <c r="O205" s="381"/>
      <c r="P205" s="389"/>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81"/>
      <c r="AM205" s="389"/>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81"/>
      <c r="CB205" s="389"/>
      <c r="CC205" s="394"/>
      <c r="CD205" s="394"/>
      <c r="CE205" s="394"/>
      <c r="CF205" s="381"/>
      <c r="CG205" s="389"/>
      <c r="CH205" s="394"/>
      <c r="CI205" s="394"/>
      <c r="CJ205" s="394"/>
      <c r="CK205" s="394"/>
      <c r="CL205" s="394"/>
      <c r="CM205" s="394"/>
      <c r="CN205" s="394"/>
      <c r="CO205" s="394"/>
      <c r="CP205" s="381"/>
      <c r="CQ205" s="390"/>
      <c r="CR205" s="394"/>
      <c r="CS205" s="394"/>
      <c r="CT205" s="381"/>
      <c r="CU205" s="394"/>
      <c r="CV205" s="381"/>
      <c r="CW205" s="394"/>
      <c r="CX205" s="381"/>
      <c r="CY205" s="381"/>
      <c r="CZ205" s="117"/>
      <c r="DA205" s="384"/>
      <c r="DB205" s="117"/>
      <c r="DC205" s="384"/>
      <c r="DD205" s="385"/>
      <c r="DE205" s="117"/>
      <c r="DF205" s="117"/>
      <c r="DG205" s="381"/>
      <c r="DH205" s="386"/>
      <c r="DI205" s="387"/>
      <c r="DJ205" s="381"/>
      <c r="DK205" s="381"/>
      <c r="DL205" s="381"/>
      <c r="DM205" s="381"/>
      <c r="DN205" s="381"/>
      <c r="DO205" s="381"/>
      <c r="DP205" s="381"/>
      <c r="DQ205" s="383"/>
      <c r="DR205" s="381"/>
      <c r="DS205" s="388"/>
      <c r="DT205" s="388"/>
    </row>
    <row r="206" spans="1:124" ht="14.25">
      <c r="A206" s="395"/>
      <c r="D206" s="120"/>
      <c r="E206" s="120"/>
      <c r="F206" s="120"/>
      <c r="G206" s="120"/>
      <c r="H206" s="68"/>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117"/>
      <c r="DA206" s="384"/>
      <c r="DB206" s="117"/>
      <c r="DC206" s="384"/>
      <c r="DD206" s="385"/>
      <c r="DE206" s="117"/>
      <c r="DF206" s="117"/>
      <c r="DG206" s="381"/>
      <c r="DH206" s="386"/>
      <c r="DI206" s="387"/>
      <c r="DJ206" s="381"/>
      <c r="DK206" s="381"/>
      <c r="DL206" s="381"/>
      <c r="DM206" s="381"/>
      <c r="DN206" s="381"/>
      <c r="DO206" s="381"/>
      <c r="DP206" s="381"/>
      <c r="DQ206" s="383"/>
      <c r="DR206" s="381"/>
      <c r="DS206" s="388"/>
      <c r="DT206" s="388"/>
    </row>
    <row r="207" spans="1:124" ht="14.25">
      <c r="A207" s="395"/>
      <c r="D207" s="120"/>
      <c r="E207" s="120"/>
      <c r="F207" s="120"/>
      <c r="G207" s="120"/>
      <c r="H207" s="68"/>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117"/>
      <c r="DA207" s="384"/>
      <c r="DB207" s="117"/>
      <c r="DC207" s="384"/>
      <c r="DD207" s="385"/>
      <c r="DE207" s="117"/>
      <c r="DF207" s="117"/>
      <c r="DG207" s="381"/>
      <c r="DH207" s="386"/>
      <c r="DI207" s="387"/>
      <c r="DJ207" s="381"/>
      <c r="DK207" s="381"/>
      <c r="DL207" s="381"/>
      <c r="DM207" s="381"/>
      <c r="DN207" s="381"/>
      <c r="DO207" s="381"/>
      <c r="DP207" s="381"/>
      <c r="DQ207" s="383"/>
      <c r="DR207" s="381"/>
      <c r="DS207" s="388"/>
      <c r="DT207" s="388"/>
    </row>
    <row r="208" spans="1:124" ht="14.25">
      <c r="A208" s="395"/>
      <c r="D208" s="120"/>
      <c r="E208" s="120"/>
      <c r="F208" s="120"/>
      <c r="G208" s="120"/>
      <c r="H208" s="68"/>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117"/>
      <c r="DA208" s="384"/>
      <c r="DB208" s="117"/>
      <c r="DC208" s="384"/>
      <c r="DD208" s="385"/>
      <c r="DE208" s="117"/>
      <c r="DF208" s="117"/>
      <c r="DG208" s="381"/>
      <c r="DH208" s="386"/>
      <c r="DI208" s="387"/>
      <c r="DJ208" s="381"/>
      <c r="DK208" s="381"/>
      <c r="DL208" s="381"/>
      <c r="DM208" s="381"/>
      <c r="DN208" s="381"/>
      <c r="DO208" s="381"/>
      <c r="DP208" s="381"/>
      <c r="DQ208" s="383"/>
      <c r="DR208" s="381"/>
      <c r="DS208" s="388"/>
      <c r="DT208" s="388"/>
    </row>
    <row r="209" spans="1:124" ht="14.25">
      <c r="A209" s="395"/>
      <c r="D209" s="120"/>
      <c r="E209" s="120"/>
      <c r="F209" s="120"/>
      <c r="G209" s="120"/>
      <c r="H209" s="68"/>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117"/>
      <c r="DA209" s="384"/>
      <c r="DB209" s="117"/>
      <c r="DC209" s="384"/>
      <c r="DD209" s="385"/>
      <c r="DE209" s="117"/>
      <c r="DF209" s="117"/>
      <c r="DG209" s="381"/>
      <c r="DH209" s="386"/>
      <c r="DI209" s="387"/>
      <c r="DJ209" s="381"/>
      <c r="DK209" s="381"/>
      <c r="DL209" s="381"/>
      <c r="DM209" s="381"/>
      <c r="DN209" s="381"/>
      <c r="DO209" s="381"/>
      <c r="DP209" s="381"/>
      <c r="DQ209" s="383"/>
      <c r="DR209" s="381"/>
      <c r="DS209" s="388"/>
      <c r="DT209" s="388"/>
    </row>
    <row r="210" spans="1:124" ht="15">
      <c r="A210" s="395"/>
      <c r="D210" s="120"/>
      <c r="E210" s="120"/>
      <c r="F210" s="120"/>
      <c r="G210" s="120"/>
      <c r="H210" s="68"/>
      <c r="I210" s="389"/>
      <c r="J210" s="389"/>
      <c r="K210" s="389"/>
      <c r="L210" s="394"/>
      <c r="M210" s="394"/>
      <c r="N210" s="394"/>
      <c r="O210" s="381"/>
      <c r="P210" s="389"/>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81"/>
      <c r="AM210" s="389"/>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81"/>
      <c r="CB210" s="389"/>
      <c r="CC210" s="394"/>
      <c r="CD210" s="394"/>
      <c r="CE210" s="394"/>
      <c r="CF210" s="381"/>
      <c r="CG210" s="389"/>
      <c r="CH210" s="394"/>
      <c r="CI210" s="394"/>
      <c r="CJ210" s="394"/>
      <c r="CK210" s="394"/>
      <c r="CL210" s="394"/>
      <c r="CM210" s="394"/>
      <c r="CN210" s="394"/>
      <c r="CO210" s="394"/>
      <c r="CP210" s="381"/>
      <c r="CQ210" s="390"/>
      <c r="CR210" s="394"/>
      <c r="CS210" s="394"/>
      <c r="CT210" s="381"/>
      <c r="CU210" s="394"/>
      <c r="CV210" s="381"/>
      <c r="CW210" s="394"/>
      <c r="CX210" s="381"/>
      <c r="CY210" s="381"/>
      <c r="CZ210" s="117"/>
      <c r="DA210" s="384"/>
      <c r="DB210" s="117"/>
      <c r="DC210" s="384"/>
      <c r="DD210" s="385"/>
      <c r="DE210" s="117"/>
      <c r="DF210" s="117"/>
      <c r="DG210" s="381"/>
      <c r="DH210" s="386"/>
      <c r="DI210" s="387"/>
      <c r="DJ210" s="381"/>
      <c r="DK210" s="381"/>
      <c r="DL210" s="381"/>
      <c r="DM210" s="381"/>
      <c r="DN210" s="381"/>
      <c r="DO210" s="381"/>
      <c r="DP210" s="381"/>
      <c r="DQ210" s="383"/>
      <c r="DR210" s="381"/>
      <c r="DS210" s="388"/>
      <c r="DT210" s="388"/>
    </row>
    <row r="211" spans="1:124" ht="14.25">
      <c r="A211" s="395"/>
      <c r="D211" s="120"/>
      <c r="E211" s="120"/>
      <c r="F211" s="120"/>
      <c r="G211" s="120"/>
      <c r="H211" s="68"/>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117"/>
      <c r="DA211" s="384"/>
      <c r="DB211" s="117"/>
      <c r="DC211" s="384"/>
      <c r="DD211" s="385"/>
      <c r="DE211" s="117"/>
      <c r="DF211" s="117"/>
      <c r="DG211" s="381"/>
      <c r="DH211" s="386"/>
      <c r="DI211" s="387"/>
      <c r="DJ211" s="381"/>
      <c r="DK211" s="381"/>
      <c r="DL211" s="381"/>
      <c r="DM211" s="381"/>
      <c r="DN211" s="381"/>
      <c r="DO211" s="381"/>
      <c r="DP211" s="381"/>
      <c r="DQ211" s="383"/>
      <c r="DR211" s="381"/>
      <c r="DS211" s="388"/>
      <c r="DT211" s="388"/>
    </row>
    <row r="212" spans="1:124" ht="14.25">
      <c r="A212" s="395"/>
      <c r="D212" s="120"/>
      <c r="E212" s="120"/>
      <c r="F212" s="120"/>
      <c r="G212" s="120"/>
      <c r="H212" s="68"/>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117"/>
      <c r="DA212" s="384"/>
      <c r="DB212" s="117"/>
      <c r="DC212" s="384"/>
      <c r="DD212" s="385"/>
      <c r="DE212" s="117"/>
      <c r="DF212" s="117"/>
      <c r="DG212" s="381"/>
      <c r="DH212" s="386"/>
      <c r="DI212" s="387"/>
      <c r="DJ212" s="381"/>
      <c r="DK212" s="381"/>
      <c r="DL212" s="381"/>
      <c r="DM212" s="381"/>
      <c r="DN212" s="381"/>
      <c r="DO212" s="381"/>
      <c r="DP212" s="381"/>
      <c r="DQ212" s="383"/>
      <c r="DR212" s="381"/>
      <c r="DS212" s="388"/>
      <c r="DT212" s="388"/>
    </row>
    <row r="213" spans="1:124" ht="15">
      <c r="A213" s="395"/>
      <c r="D213" s="120"/>
      <c r="E213" s="120"/>
      <c r="F213" s="120"/>
      <c r="G213" s="120"/>
      <c r="H213" s="68"/>
      <c r="I213" s="389"/>
      <c r="J213" s="389"/>
      <c r="K213" s="389"/>
      <c r="L213" s="394"/>
      <c r="M213" s="394"/>
      <c r="N213" s="394"/>
      <c r="O213" s="381"/>
      <c r="P213" s="389"/>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81"/>
      <c r="AM213" s="389"/>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81"/>
      <c r="CB213" s="389"/>
      <c r="CC213" s="394"/>
      <c r="CD213" s="394"/>
      <c r="CE213" s="394"/>
      <c r="CF213" s="381"/>
      <c r="CG213" s="389"/>
      <c r="CH213" s="394"/>
      <c r="CI213" s="394"/>
      <c r="CJ213" s="394"/>
      <c r="CK213" s="394"/>
      <c r="CL213" s="394"/>
      <c r="CM213" s="394"/>
      <c r="CN213" s="394"/>
      <c r="CO213" s="394"/>
      <c r="CP213" s="381"/>
      <c r="CQ213" s="390"/>
      <c r="CR213" s="394"/>
      <c r="CS213" s="394"/>
      <c r="CT213" s="381"/>
      <c r="CU213" s="394"/>
      <c r="CV213" s="381"/>
      <c r="CW213" s="394"/>
      <c r="CX213" s="381"/>
      <c r="CY213" s="381"/>
      <c r="CZ213" s="117"/>
      <c r="DA213" s="384"/>
      <c r="DB213" s="117"/>
      <c r="DC213" s="384"/>
      <c r="DD213" s="385"/>
      <c r="DE213" s="117"/>
      <c r="DF213" s="117"/>
      <c r="DG213" s="381"/>
      <c r="DH213" s="386"/>
      <c r="DI213" s="387"/>
      <c r="DJ213" s="381"/>
      <c r="DK213" s="381"/>
      <c r="DL213" s="381"/>
      <c r="DM213" s="381"/>
      <c r="DN213" s="381"/>
      <c r="DO213" s="381"/>
      <c r="DP213" s="381"/>
      <c r="DQ213" s="383"/>
      <c r="DR213" s="381"/>
      <c r="DS213" s="388"/>
      <c r="DT213" s="388"/>
    </row>
    <row r="214" spans="1:124" ht="14.25">
      <c r="A214" s="395"/>
      <c r="D214" s="120"/>
      <c r="E214" s="120"/>
      <c r="F214" s="120"/>
      <c r="G214" s="120"/>
      <c r="H214" s="68"/>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117"/>
      <c r="DA214" s="384"/>
      <c r="DB214" s="117"/>
      <c r="DC214" s="384"/>
      <c r="DD214" s="385"/>
      <c r="DE214" s="117"/>
      <c r="DF214" s="117"/>
      <c r="DG214" s="381"/>
      <c r="DH214" s="386"/>
      <c r="DI214" s="387"/>
      <c r="DJ214" s="381"/>
      <c r="DK214" s="381"/>
      <c r="DL214" s="381"/>
      <c r="DM214" s="381"/>
      <c r="DN214" s="381"/>
      <c r="DO214" s="381"/>
      <c r="DP214" s="381"/>
      <c r="DQ214" s="383"/>
      <c r="DR214" s="381"/>
      <c r="DS214" s="388"/>
      <c r="DT214" s="388"/>
    </row>
    <row r="215" spans="1:124" ht="14.25">
      <c r="A215" s="395"/>
      <c r="D215" s="120"/>
      <c r="E215" s="120"/>
      <c r="F215" s="120"/>
      <c r="G215" s="120"/>
      <c r="H215" s="68"/>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117"/>
      <c r="DA215" s="384"/>
      <c r="DB215" s="117"/>
      <c r="DC215" s="384"/>
      <c r="DD215" s="385"/>
      <c r="DE215" s="117"/>
      <c r="DF215" s="117"/>
      <c r="DG215" s="381"/>
      <c r="DH215" s="386"/>
      <c r="DI215" s="387"/>
      <c r="DJ215" s="381"/>
      <c r="DK215" s="381"/>
      <c r="DL215" s="381"/>
      <c r="DM215" s="381"/>
      <c r="DN215" s="381"/>
      <c r="DO215" s="381"/>
      <c r="DP215" s="381"/>
      <c r="DQ215" s="383"/>
      <c r="DR215" s="381"/>
      <c r="DS215" s="388"/>
      <c r="DT215" s="388"/>
    </row>
    <row r="216" spans="1:124" ht="14.25">
      <c r="A216" s="395"/>
      <c r="D216" s="120"/>
      <c r="E216" s="120"/>
      <c r="F216" s="120"/>
      <c r="G216" s="120"/>
      <c r="H216" s="68"/>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117"/>
      <c r="DA216" s="384"/>
      <c r="DB216" s="117"/>
      <c r="DC216" s="384"/>
      <c r="DD216" s="385"/>
      <c r="DE216" s="117"/>
      <c r="DF216" s="117"/>
      <c r="DG216" s="381"/>
      <c r="DH216" s="386"/>
      <c r="DI216" s="387"/>
      <c r="DJ216" s="381"/>
      <c r="DK216" s="381"/>
      <c r="DL216" s="381"/>
      <c r="DM216" s="381"/>
      <c r="DN216" s="381"/>
      <c r="DO216" s="381"/>
      <c r="DP216" s="381"/>
      <c r="DQ216" s="383"/>
      <c r="DR216" s="381"/>
      <c r="DS216" s="388"/>
      <c r="DT216" s="388"/>
    </row>
    <row r="217" spans="1:124" ht="14.25">
      <c r="A217" s="395"/>
      <c r="D217" s="120"/>
      <c r="E217" s="120"/>
      <c r="F217" s="120"/>
      <c r="G217" s="120"/>
      <c r="H217" s="68"/>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117"/>
      <c r="DA217" s="384"/>
      <c r="DB217" s="117"/>
      <c r="DC217" s="384"/>
      <c r="DD217" s="385"/>
      <c r="DE217" s="117"/>
      <c r="DF217" s="117"/>
      <c r="DG217" s="381"/>
      <c r="DH217" s="386"/>
      <c r="DI217" s="387"/>
      <c r="DJ217" s="381"/>
      <c r="DK217" s="381"/>
      <c r="DL217" s="381"/>
      <c r="DM217" s="381"/>
      <c r="DN217" s="381"/>
      <c r="DO217" s="381"/>
      <c r="DP217" s="381"/>
      <c r="DQ217" s="383"/>
      <c r="DR217" s="381"/>
      <c r="DS217" s="388"/>
      <c r="DT217" s="388"/>
    </row>
    <row r="218" spans="1:124" ht="15">
      <c r="A218" s="395"/>
      <c r="D218" s="120"/>
      <c r="E218" s="120"/>
      <c r="F218" s="120"/>
      <c r="G218" s="120"/>
      <c r="H218" s="68"/>
      <c r="I218" s="389"/>
      <c r="J218" s="389"/>
      <c r="K218" s="389"/>
      <c r="L218" s="394"/>
      <c r="M218" s="394"/>
      <c r="N218" s="394"/>
      <c r="O218" s="381"/>
      <c r="P218" s="389"/>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81"/>
      <c r="AM218" s="389"/>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81"/>
      <c r="CB218" s="389"/>
      <c r="CC218" s="394"/>
      <c r="CD218" s="394"/>
      <c r="CE218" s="394"/>
      <c r="CF218" s="381"/>
      <c r="CG218" s="389"/>
      <c r="CH218" s="394"/>
      <c r="CI218" s="394"/>
      <c r="CJ218" s="394"/>
      <c r="CK218" s="394"/>
      <c r="CL218" s="394"/>
      <c r="CM218" s="394"/>
      <c r="CN218" s="394"/>
      <c r="CO218" s="394"/>
      <c r="CP218" s="381"/>
      <c r="CQ218" s="390"/>
      <c r="CR218" s="394"/>
      <c r="CS218" s="394"/>
      <c r="CT218" s="381"/>
      <c r="CU218" s="394"/>
      <c r="CV218" s="381"/>
      <c r="CW218" s="394"/>
      <c r="CX218" s="381"/>
      <c r="CY218" s="381"/>
      <c r="CZ218" s="117"/>
      <c r="DA218" s="384"/>
      <c r="DB218" s="117"/>
      <c r="DC218" s="384"/>
      <c r="DD218" s="385"/>
      <c r="DE218" s="117"/>
      <c r="DF218" s="117"/>
      <c r="DG218" s="381"/>
      <c r="DH218" s="386"/>
      <c r="DI218" s="387"/>
      <c r="DJ218" s="381"/>
      <c r="DK218" s="381"/>
      <c r="DL218" s="381"/>
      <c r="DM218" s="381"/>
      <c r="DN218" s="381"/>
      <c r="DO218" s="381"/>
      <c r="DP218" s="381"/>
      <c r="DQ218" s="383"/>
      <c r="DR218" s="381"/>
      <c r="DS218" s="388"/>
      <c r="DT218" s="388"/>
    </row>
    <row r="219" spans="1:124" ht="14.25">
      <c r="A219" s="395"/>
      <c r="D219" s="120"/>
      <c r="E219" s="120"/>
      <c r="F219" s="120"/>
      <c r="G219" s="120"/>
      <c r="H219" s="68"/>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117"/>
      <c r="DA219" s="384"/>
      <c r="DB219" s="117"/>
      <c r="DC219" s="384"/>
      <c r="DD219" s="385"/>
      <c r="DE219" s="117"/>
      <c r="DF219" s="117"/>
      <c r="DG219" s="381"/>
      <c r="DH219" s="386"/>
      <c r="DI219" s="387"/>
      <c r="DJ219" s="381"/>
      <c r="DK219" s="381"/>
      <c r="DL219" s="381"/>
      <c r="DM219" s="381"/>
      <c r="DN219" s="381"/>
      <c r="DO219" s="381"/>
      <c r="DP219" s="381"/>
      <c r="DQ219" s="383"/>
      <c r="DR219" s="381"/>
      <c r="DS219" s="388"/>
      <c r="DT219" s="388"/>
    </row>
    <row r="220" spans="1:124" ht="14.25">
      <c r="A220" s="395"/>
      <c r="D220" s="120"/>
      <c r="E220" s="120"/>
      <c r="F220" s="120"/>
      <c r="G220" s="120"/>
      <c r="H220" s="68"/>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117"/>
      <c r="DA220" s="384"/>
      <c r="DB220" s="117"/>
      <c r="DC220" s="384"/>
      <c r="DD220" s="385"/>
      <c r="DE220" s="117"/>
      <c r="DF220" s="117"/>
      <c r="DG220" s="381"/>
      <c r="DH220" s="386"/>
      <c r="DI220" s="387"/>
      <c r="DJ220" s="381"/>
      <c r="DK220" s="381"/>
      <c r="DL220" s="381"/>
      <c r="DM220" s="381"/>
      <c r="DN220" s="381"/>
      <c r="DO220" s="381"/>
      <c r="DP220" s="381"/>
      <c r="DQ220" s="383"/>
      <c r="DR220" s="381"/>
      <c r="DS220" s="388"/>
      <c r="DT220" s="388"/>
    </row>
    <row r="221" spans="1:124" ht="15">
      <c r="A221" s="395"/>
      <c r="D221" s="120"/>
      <c r="E221" s="120"/>
      <c r="F221" s="120"/>
      <c r="G221" s="120"/>
      <c r="H221" s="68"/>
      <c r="I221" s="389"/>
      <c r="J221" s="389"/>
      <c r="K221" s="389"/>
      <c r="L221" s="394"/>
      <c r="M221" s="394"/>
      <c r="N221" s="394"/>
      <c r="O221" s="381"/>
      <c r="P221" s="389"/>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81"/>
      <c r="AM221" s="389"/>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81"/>
      <c r="CB221" s="389"/>
      <c r="CC221" s="394"/>
      <c r="CD221" s="394"/>
      <c r="CE221" s="394"/>
      <c r="CF221" s="381"/>
      <c r="CG221" s="389"/>
      <c r="CH221" s="394"/>
      <c r="CI221" s="394"/>
      <c r="CJ221" s="394"/>
      <c r="CK221" s="394"/>
      <c r="CL221" s="394"/>
      <c r="CM221" s="394"/>
      <c r="CN221" s="394"/>
      <c r="CO221" s="394"/>
      <c r="CP221" s="381"/>
      <c r="CQ221" s="390"/>
      <c r="CR221" s="394"/>
      <c r="CS221" s="394"/>
      <c r="CT221" s="381"/>
      <c r="CU221" s="394"/>
      <c r="CV221" s="381"/>
      <c r="CW221" s="394"/>
      <c r="CX221" s="381"/>
      <c r="CY221" s="381"/>
      <c r="CZ221" s="117"/>
      <c r="DA221" s="384"/>
      <c r="DB221" s="117"/>
      <c r="DC221" s="384"/>
      <c r="DD221" s="385"/>
      <c r="DE221" s="117"/>
      <c r="DF221" s="117"/>
      <c r="DG221" s="381"/>
      <c r="DH221" s="386"/>
      <c r="DI221" s="387"/>
      <c r="DJ221" s="381"/>
      <c r="DK221" s="381"/>
      <c r="DL221" s="381"/>
      <c r="DM221" s="381"/>
      <c r="DN221" s="381"/>
      <c r="DO221" s="381"/>
      <c r="DP221" s="381"/>
      <c r="DQ221" s="383"/>
      <c r="DR221" s="381"/>
      <c r="DS221" s="388"/>
      <c r="DT221" s="388"/>
    </row>
    <row r="222" spans="1:124" ht="14.25">
      <c r="A222" s="395"/>
      <c r="D222" s="120"/>
      <c r="E222" s="120"/>
      <c r="F222" s="120"/>
      <c r="G222" s="120"/>
      <c r="H222" s="68"/>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117"/>
      <c r="DA222" s="384"/>
      <c r="DB222" s="117"/>
      <c r="DC222" s="384"/>
      <c r="DD222" s="385"/>
      <c r="DE222" s="117"/>
      <c r="DF222" s="117"/>
      <c r="DG222" s="381"/>
      <c r="DH222" s="386"/>
      <c r="DI222" s="387"/>
      <c r="DJ222" s="381"/>
      <c r="DK222" s="381"/>
      <c r="DL222" s="381"/>
      <c r="DM222" s="381"/>
      <c r="DN222" s="381"/>
      <c r="DO222" s="381"/>
      <c r="DP222" s="381"/>
      <c r="DQ222" s="383"/>
      <c r="DR222" s="381"/>
      <c r="DS222" s="388"/>
      <c r="DT222" s="388"/>
    </row>
    <row r="223" spans="1:124" ht="14.25">
      <c r="A223" s="395"/>
      <c r="D223" s="120"/>
      <c r="E223" s="120"/>
      <c r="F223" s="120"/>
      <c r="G223" s="120"/>
      <c r="H223" s="68"/>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117"/>
      <c r="DA223" s="384"/>
      <c r="DB223" s="117"/>
      <c r="DC223" s="384"/>
      <c r="DD223" s="385"/>
      <c r="DE223" s="117"/>
      <c r="DF223" s="117"/>
      <c r="DG223" s="381"/>
      <c r="DH223" s="386"/>
      <c r="DI223" s="387"/>
      <c r="DJ223" s="381"/>
      <c r="DK223" s="381"/>
      <c r="DL223" s="381"/>
      <c r="DM223" s="381"/>
      <c r="DN223" s="381"/>
      <c r="DO223" s="381"/>
      <c r="DP223" s="381"/>
      <c r="DQ223" s="383"/>
      <c r="DR223" s="381"/>
      <c r="DS223" s="388"/>
      <c r="DT223" s="388"/>
    </row>
    <row r="224" spans="1:124" ht="14.25">
      <c r="A224" s="395"/>
      <c r="D224" s="120"/>
      <c r="E224" s="120"/>
      <c r="F224" s="120"/>
      <c r="G224" s="120"/>
      <c r="H224" s="68"/>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117"/>
      <c r="DA224" s="384"/>
      <c r="DB224" s="117"/>
      <c r="DC224" s="384"/>
      <c r="DD224" s="385"/>
      <c r="DE224" s="117"/>
      <c r="DF224" s="117"/>
      <c r="DG224" s="381"/>
      <c r="DH224" s="386"/>
      <c r="DI224" s="387"/>
      <c r="DJ224" s="381"/>
      <c r="DK224" s="381"/>
      <c r="DL224" s="381"/>
      <c r="DM224" s="381"/>
      <c r="DN224" s="381"/>
      <c r="DO224" s="381"/>
      <c r="DP224" s="381"/>
      <c r="DQ224" s="383"/>
      <c r="DR224" s="381"/>
      <c r="DS224" s="388"/>
      <c r="DT224" s="388"/>
    </row>
    <row r="225" spans="1:124" ht="14.25">
      <c r="A225" s="395"/>
      <c r="D225" s="120"/>
      <c r="E225" s="120"/>
      <c r="F225" s="120"/>
      <c r="G225" s="120"/>
      <c r="H225" s="68"/>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117"/>
      <c r="DA225" s="384"/>
      <c r="DB225" s="117"/>
      <c r="DC225" s="384"/>
      <c r="DD225" s="385"/>
      <c r="DE225" s="117"/>
      <c r="DF225" s="117"/>
      <c r="DG225" s="381"/>
      <c r="DH225" s="386"/>
      <c r="DI225" s="387"/>
      <c r="DJ225" s="381"/>
      <c r="DK225" s="381"/>
      <c r="DL225" s="381"/>
      <c r="DM225" s="381"/>
      <c r="DN225" s="381"/>
      <c r="DO225" s="381"/>
      <c r="DP225" s="381"/>
      <c r="DQ225" s="383"/>
      <c r="DR225" s="381"/>
      <c r="DS225" s="388"/>
      <c r="DT225" s="388"/>
    </row>
    <row r="226" spans="1:124" ht="15">
      <c r="A226" s="395"/>
      <c r="D226" s="120"/>
      <c r="E226" s="120"/>
      <c r="F226" s="120"/>
      <c r="G226" s="120"/>
      <c r="H226" s="68"/>
      <c r="I226" s="389"/>
      <c r="J226" s="389"/>
      <c r="K226" s="389"/>
      <c r="L226" s="394"/>
      <c r="M226" s="394"/>
      <c r="N226" s="394"/>
      <c r="O226" s="381"/>
      <c r="P226" s="389"/>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81"/>
      <c r="AM226" s="389"/>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81"/>
      <c r="CB226" s="389"/>
      <c r="CC226" s="394"/>
      <c r="CD226" s="394"/>
      <c r="CE226" s="394"/>
      <c r="CF226" s="381"/>
      <c r="CG226" s="389"/>
      <c r="CH226" s="394"/>
      <c r="CI226" s="394"/>
      <c r="CJ226" s="394"/>
      <c r="CK226" s="394"/>
      <c r="CL226" s="394"/>
      <c r="CM226" s="394"/>
      <c r="CN226" s="394"/>
      <c r="CO226" s="394"/>
      <c r="CP226" s="381"/>
      <c r="CQ226" s="390"/>
      <c r="CR226" s="394"/>
      <c r="CS226" s="394"/>
      <c r="CT226" s="381"/>
      <c r="CU226" s="394"/>
      <c r="CV226" s="381"/>
      <c r="CW226" s="394"/>
      <c r="CX226" s="381"/>
      <c r="CY226" s="381"/>
      <c r="CZ226" s="117"/>
      <c r="DA226" s="384"/>
      <c r="DB226" s="117"/>
      <c r="DC226" s="384"/>
      <c r="DD226" s="385"/>
      <c r="DE226" s="117"/>
      <c r="DF226" s="117"/>
      <c r="DG226" s="381"/>
      <c r="DH226" s="386"/>
      <c r="DI226" s="387"/>
      <c r="DJ226" s="381"/>
      <c r="DK226" s="381"/>
      <c r="DL226" s="381"/>
      <c r="DM226" s="381"/>
      <c r="DN226" s="381"/>
      <c r="DO226" s="381"/>
      <c r="DP226" s="381"/>
      <c r="DQ226" s="383"/>
      <c r="DR226" s="381"/>
      <c r="DS226" s="388"/>
      <c r="DT226" s="388"/>
    </row>
    <row r="227" spans="1:124" ht="14.25">
      <c r="A227" s="395"/>
      <c r="D227" s="120"/>
      <c r="E227" s="120"/>
      <c r="F227" s="120"/>
      <c r="G227" s="120"/>
      <c r="H227" s="68"/>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117"/>
      <c r="DA227" s="384"/>
      <c r="DB227" s="117"/>
      <c r="DC227" s="384"/>
      <c r="DD227" s="385"/>
      <c r="DE227" s="117"/>
      <c r="DF227" s="117"/>
      <c r="DG227" s="381"/>
      <c r="DH227" s="386"/>
      <c r="DI227" s="387"/>
      <c r="DJ227" s="381"/>
      <c r="DK227" s="381"/>
      <c r="DL227" s="381"/>
      <c r="DM227" s="381"/>
      <c r="DN227" s="381"/>
      <c r="DO227" s="381"/>
      <c r="DP227" s="381"/>
      <c r="DQ227" s="383"/>
      <c r="DR227" s="381"/>
      <c r="DS227" s="388"/>
      <c r="DT227" s="388"/>
    </row>
    <row r="228" spans="1:124" ht="14.25">
      <c r="A228" s="395"/>
      <c r="D228" s="120"/>
      <c r="E228" s="120"/>
      <c r="F228" s="120"/>
      <c r="G228" s="120"/>
      <c r="H228" s="68"/>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117"/>
      <c r="DA228" s="384"/>
      <c r="DB228" s="117"/>
      <c r="DC228" s="384"/>
      <c r="DD228" s="385"/>
      <c r="DE228" s="117"/>
      <c r="DF228" s="117"/>
      <c r="DG228" s="381"/>
      <c r="DH228" s="386"/>
      <c r="DI228" s="387"/>
      <c r="DJ228" s="381"/>
      <c r="DK228" s="381"/>
      <c r="DL228" s="381"/>
      <c r="DM228" s="381"/>
      <c r="DN228" s="381"/>
      <c r="DO228" s="381"/>
      <c r="DP228" s="381"/>
      <c r="DQ228" s="383"/>
      <c r="DR228" s="381"/>
      <c r="DS228" s="388"/>
      <c r="DT228" s="388"/>
    </row>
    <row r="230" spans="1:124">
      <c r="I230" s="396">
        <f t="shared" ref="I230:O230" si="121">SUM(I5:I229)</f>
        <v>19326509.059999991</v>
      </c>
      <c r="J230" s="396">
        <f t="shared" si="121"/>
        <v>2103178.1599999997</v>
      </c>
      <c r="K230" s="396">
        <f t="shared" si="121"/>
        <v>5024.2</v>
      </c>
      <c r="L230" s="396">
        <f t="shared" si="121"/>
        <v>1781644.4000000001</v>
      </c>
      <c r="M230" s="396">
        <f t="shared" si="121"/>
        <v>223256.99</v>
      </c>
      <c r="N230" s="396">
        <f t="shared" si="121"/>
        <v>574868.94999999995</v>
      </c>
      <c r="O230" s="396">
        <f t="shared" si="121"/>
        <v>24014481.759999998</v>
      </c>
      <c r="P230" s="396">
        <f t="shared" ref="P230:CO230" si="122">SUM(P5:P229)</f>
        <v>0</v>
      </c>
      <c r="Q230" s="396">
        <f t="shared" si="122"/>
        <v>202221718.19999999</v>
      </c>
      <c r="R230" s="396">
        <f t="shared" si="122"/>
        <v>1495334</v>
      </c>
      <c r="S230" s="396">
        <f t="shared" si="122"/>
        <v>25001877</v>
      </c>
      <c r="T230" s="396">
        <f t="shared" si="122"/>
        <v>0</v>
      </c>
      <c r="U230" s="396">
        <f t="shared" si="122"/>
        <v>9712928.6799999997</v>
      </c>
      <c r="V230" s="396">
        <f t="shared" si="122"/>
        <v>7517531.7799999993</v>
      </c>
      <c r="W230" s="396">
        <f t="shared" si="122"/>
        <v>243864</v>
      </c>
      <c r="X230" s="396">
        <f t="shared" si="122"/>
        <v>643440</v>
      </c>
      <c r="Y230" s="396">
        <f t="shared" si="122"/>
        <v>4723463</v>
      </c>
      <c r="Z230" s="396">
        <f t="shared" si="122"/>
        <v>862556</v>
      </c>
      <c r="AA230" s="396">
        <f t="shared" si="122"/>
        <v>148003</v>
      </c>
      <c r="AB230" s="396">
        <f t="shared" si="122"/>
        <v>50320</v>
      </c>
      <c r="AC230" s="396">
        <f t="shared" si="122"/>
        <v>2037189</v>
      </c>
      <c r="AD230" s="396">
        <f t="shared" si="122"/>
        <v>417095</v>
      </c>
      <c r="AE230" s="396">
        <f t="shared" si="122"/>
        <v>0</v>
      </c>
      <c r="AF230" s="396">
        <f t="shared" si="122"/>
        <v>3691960</v>
      </c>
      <c r="AG230" s="396">
        <f t="shared" si="122"/>
        <v>556389</v>
      </c>
      <c r="AH230" s="396">
        <f t="shared" ref="AH230:AJ230" si="123">SUM(AH5:AH229)</f>
        <v>0</v>
      </c>
      <c r="AI230" s="396">
        <f t="shared" si="123"/>
        <v>0</v>
      </c>
      <c r="AJ230" s="396">
        <f t="shared" si="123"/>
        <v>0</v>
      </c>
      <c r="AK230" s="396">
        <f t="shared" si="122"/>
        <v>0</v>
      </c>
      <c r="AL230" s="396">
        <f t="shared" si="122"/>
        <v>259323668.66</v>
      </c>
      <c r="AM230" s="396">
        <f t="shared" si="122"/>
        <v>0</v>
      </c>
      <c r="AN230" s="396">
        <f t="shared" si="122"/>
        <v>129793009.56</v>
      </c>
      <c r="AO230" s="396">
        <f t="shared" si="122"/>
        <v>1588907</v>
      </c>
      <c r="AP230" s="396">
        <f t="shared" si="122"/>
        <v>54425405.010000005</v>
      </c>
      <c r="AQ230" s="396">
        <f t="shared" si="122"/>
        <v>5721872.8599999994</v>
      </c>
      <c r="AR230" s="396">
        <f t="shared" si="122"/>
        <v>14045345.969999999</v>
      </c>
      <c r="AS230" s="396">
        <f t="shared" si="122"/>
        <v>1224421</v>
      </c>
      <c r="AT230" s="396">
        <f t="shared" si="122"/>
        <v>7396882.3799999999</v>
      </c>
      <c r="AU230" s="396">
        <f t="shared" si="122"/>
        <v>945755</v>
      </c>
      <c r="AV230" s="396">
        <f t="shared" si="122"/>
        <v>909292</v>
      </c>
      <c r="AW230" s="396">
        <f t="shared" si="122"/>
        <v>707076.65</v>
      </c>
      <c r="AX230" s="396">
        <f t="shared" si="122"/>
        <v>174102</v>
      </c>
      <c r="AY230" s="396">
        <f t="shared" si="122"/>
        <v>3131775</v>
      </c>
      <c r="AZ230" s="396">
        <f t="shared" si="122"/>
        <v>856975</v>
      </c>
      <c r="BA230" s="396">
        <f t="shared" si="122"/>
        <v>2894601</v>
      </c>
      <c r="BB230" s="396">
        <f t="shared" si="122"/>
        <v>706477</v>
      </c>
      <c r="BC230" s="396">
        <f t="shared" si="122"/>
        <v>4454029</v>
      </c>
      <c r="BD230" s="396">
        <f t="shared" si="122"/>
        <v>2752169</v>
      </c>
      <c r="BE230" s="396">
        <f t="shared" si="122"/>
        <v>979732.8</v>
      </c>
      <c r="BF230" s="396">
        <f t="shared" si="122"/>
        <v>11509452</v>
      </c>
      <c r="BG230" s="396">
        <f t="shared" si="122"/>
        <v>500458</v>
      </c>
      <c r="BH230" s="396">
        <f t="shared" si="122"/>
        <v>26250</v>
      </c>
      <c r="BI230" s="396">
        <f t="shared" si="122"/>
        <v>697631</v>
      </c>
      <c r="BJ230" s="396">
        <f t="shared" ref="BJ230:BL230" si="124">SUM(BJ5:BJ229)</f>
        <v>650537.31000000006</v>
      </c>
      <c r="BK230" s="396">
        <f t="shared" si="124"/>
        <v>693534</v>
      </c>
      <c r="BL230" s="396">
        <f t="shared" si="124"/>
        <v>159187</v>
      </c>
      <c r="BM230" s="396">
        <f t="shared" si="122"/>
        <v>828619</v>
      </c>
      <c r="BN230" s="396">
        <f t="shared" si="122"/>
        <v>488948</v>
      </c>
      <c r="BO230" s="396">
        <f t="shared" si="122"/>
        <v>1033320</v>
      </c>
      <c r="BP230" s="396">
        <f t="shared" si="122"/>
        <v>1774434</v>
      </c>
      <c r="BQ230" s="396">
        <f t="shared" si="122"/>
        <v>237356</v>
      </c>
      <c r="BR230" s="396">
        <f t="shared" si="122"/>
        <v>6689781</v>
      </c>
      <c r="BS230" s="396">
        <f t="shared" si="122"/>
        <v>1952751</v>
      </c>
      <c r="BT230" s="396">
        <f t="shared" si="122"/>
        <v>4702965</v>
      </c>
      <c r="BU230" s="396">
        <f t="shared" ref="BU230" si="125">SUM(BU5:BU229)</f>
        <v>3510215</v>
      </c>
      <c r="BV230" s="396">
        <f t="shared" si="122"/>
        <v>0</v>
      </c>
      <c r="BW230" s="396">
        <f t="shared" si="122"/>
        <v>500</v>
      </c>
      <c r="BX230" s="396">
        <f t="shared" si="122"/>
        <v>1172744</v>
      </c>
      <c r="BY230" s="396">
        <f t="shared" si="122"/>
        <v>3815324.72</v>
      </c>
      <c r="BZ230" s="396">
        <f t="shared" si="122"/>
        <v>495308.2</v>
      </c>
      <c r="CA230" s="396">
        <f t="shared" si="122"/>
        <v>273647143.45999998</v>
      </c>
      <c r="CB230" s="396">
        <f t="shared" si="122"/>
        <v>0</v>
      </c>
      <c r="CC230" s="396">
        <f t="shared" si="122"/>
        <v>1140772</v>
      </c>
      <c r="CD230" s="396">
        <f t="shared" si="122"/>
        <v>6322500</v>
      </c>
      <c r="CE230" s="396">
        <f t="shared" si="122"/>
        <v>1030331</v>
      </c>
      <c r="CF230" s="396">
        <f t="shared" si="122"/>
        <v>8493603</v>
      </c>
      <c r="CG230" s="396">
        <f t="shared" si="122"/>
        <v>0</v>
      </c>
      <c r="CH230" s="396">
        <f t="shared" si="122"/>
        <v>0</v>
      </c>
      <c r="CI230" s="396">
        <f t="shared" si="122"/>
        <v>7630836</v>
      </c>
      <c r="CJ230" s="396">
        <f t="shared" si="122"/>
        <v>19000</v>
      </c>
      <c r="CK230" s="396">
        <f t="shared" si="122"/>
        <v>0</v>
      </c>
      <c r="CL230" s="396">
        <f t="shared" ref="CL230:CN230" si="126">SUM(CL5:CL229)</f>
        <v>17488</v>
      </c>
      <c r="CM230" s="396">
        <f t="shared" si="126"/>
        <v>35600</v>
      </c>
      <c r="CN230" s="396">
        <f t="shared" si="126"/>
        <v>170997</v>
      </c>
      <c r="CO230" s="396">
        <f t="shared" si="122"/>
        <v>16423</v>
      </c>
      <c r="CP230" s="396">
        <f t="shared" ref="CP230:DT230" si="127">SUM(CP5:CP229)</f>
        <v>7890344</v>
      </c>
      <c r="CQ230" s="396">
        <f t="shared" si="127"/>
        <v>0</v>
      </c>
      <c r="CR230" s="396">
        <f t="shared" si="127"/>
        <v>7120735.5399999935</v>
      </c>
      <c r="CS230" s="396">
        <f t="shared" si="127"/>
        <v>52785</v>
      </c>
      <c r="CT230" s="396">
        <f t="shared" si="127"/>
        <v>0</v>
      </c>
      <c r="CU230" s="396">
        <f t="shared" si="127"/>
        <v>2608160.3899999987</v>
      </c>
      <c r="CV230" s="396">
        <f t="shared" si="127"/>
        <v>0</v>
      </c>
      <c r="CW230" s="396">
        <f t="shared" si="127"/>
        <v>512584.94999999995</v>
      </c>
      <c r="CX230" s="396">
        <f t="shared" si="127"/>
        <v>10294265.879999993</v>
      </c>
      <c r="CY230" s="396"/>
      <c r="CZ230" s="396">
        <f t="shared" si="127"/>
        <v>0</v>
      </c>
      <c r="DA230" s="396">
        <f t="shared" si="127"/>
        <v>0</v>
      </c>
      <c r="DB230" s="396">
        <f t="shared" si="127"/>
        <v>0</v>
      </c>
      <c r="DC230" s="396">
        <f t="shared" si="127"/>
        <v>0</v>
      </c>
      <c r="DD230" s="396">
        <f t="shared" si="127"/>
        <v>0</v>
      </c>
      <c r="DE230" s="396">
        <f t="shared" si="127"/>
        <v>0</v>
      </c>
      <c r="DF230" s="396">
        <f t="shared" si="127"/>
        <v>0</v>
      </c>
      <c r="DG230" s="396">
        <f t="shared" si="127"/>
        <v>0</v>
      </c>
      <c r="DH230" s="396">
        <f t="shared" si="127"/>
        <v>0</v>
      </c>
      <c r="DI230" s="396">
        <f t="shared" si="127"/>
        <v>0</v>
      </c>
      <c r="DJ230" s="396">
        <f t="shared" si="127"/>
        <v>0</v>
      </c>
      <c r="DK230" s="396">
        <f t="shared" si="127"/>
        <v>22009580.370000005</v>
      </c>
      <c r="DL230" s="396">
        <f t="shared" si="127"/>
        <v>2004901.39</v>
      </c>
      <c r="DM230" s="396">
        <f t="shared" si="127"/>
        <v>24014481.759999998</v>
      </c>
      <c r="DN230" s="396">
        <f t="shared" si="127"/>
        <v>7686105.4899999881</v>
      </c>
      <c r="DO230" s="396">
        <f t="shared" si="127"/>
        <v>2608160.3899999987</v>
      </c>
      <c r="DP230" s="396">
        <f t="shared" si="127"/>
        <v>10294265.879999993</v>
      </c>
      <c r="DQ230" s="396">
        <f t="shared" si="127"/>
        <v>0</v>
      </c>
      <c r="DR230" s="396">
        <f t="shared" si="127"/>
        <v>0</v>
      </c>
      <c r="DS230" s="396">
        <f t="shared" si="127"/>
        <v>0</v>
      </c>
      <c r="DT230" s="396">
        <f t="shared" si="127"/>
        <v>0</v>
      </c>
    </row>
    <row r="231" spans="1:124">
      <c r="E231" s="397" t="s">
        <v>289</v>
      </c>
      <c r="F231" s="398" t="s">
        <v>290</v>
      </c>
      <c r="G231" s="398" t="s">
        <v>291</v>
      </c>
      <c r="H231" s="398" t="s">
        <v>292</v>
      </c>
    </row>
    <row r="232" spans="1:124">
      <c r="E232" s="399" t="s">
        <v>293</v>
      </c>
      <c r="F232" s="68">
        <f>COUNTIF($F$5:$F$228,E232)</f>
        <v>0</v>
      </c>
      <c r="G232" s="400"/>
      <c r="H232" s="401" t="e">
        <f>G232/F232</f>
        <v>#DIV/0!</v>
      </c>
    </row>
    <row r="233" spans="1:124">
      <c r="E233" s="399" t="s">
        <v>294</v>
      </c>
      <c r="F233" s="68">
        <f>COUNTIF($F$5:$F$228,E233)</f>
        <v>0</v>
      </c>
      <c r="G233" s="400"/>
      <c r="H233" s="401" t="e">
        <f>G233/F233</f>
        <v>#DIV/0!</v>
      </c>
    </row>
    <row r="234" spans="1:124">
      <c r="E234" s="399" t="s">
        <v>295</v>
      </c>
      <c r="F234" s="68">
        <f>COUNTIF($F$5:$F$228,E234)</f>
        <v>0</v>
      </c>
      <c r="G234" s="68"/>
      <c r="H234" s="401" t="e">
        <f>G234/F234</f>
        <v>#DIV/0!</v>
      </c>
    </row>
    <row r="235" spans="1:124">
      <c r="E235" s="399" t="s">
        <v>296</v>
      </c>
      <c r="F235" s="68">
        <f>COUNTIF($F$5:$F$228,E235)</f>
        <v>0</v>
      </c>
      <c r="G235" s="68"/>
      <c r="H235" s="401" t="e">
        <f>G235/F235</f>
        <v>#DIV/0!</v>
      </c>
      <c r="AQ235" s="214"/>
    </row>
    <row r="236" spans="1:124">
      <c r="E236" s="399" t="s">
        <v>169</v>
      </c>
      <c r="F236" s="398">
        <f>SUM(F232:F235)</f>
        <v>0</v>
      </c>
      <c r="G236" s="398">
        <f>SUM(G232:G235)</f>
        <v>0</v>
      </c>
      <c r="H236" s="401" t="e">
        <f>G236/F236</f>
        <v>#DIV/0!</v>
      </c>
      <c r="AQ236" s="214"/>
    </row>
    <row r="237" spans="1:124">
      <c r="AQ237" s="214"/>
    </row>
    <row r="238" spans="1:124">
      <c r="F238" s="68"/>
      <c r="G238" s="398"/>
      <c r="AQ238" s="214"/>
    </row>
    <row r="239" spans="1:124">
      <c r="D239">
        <v>769</v>
      </c>
      <c r="E239" s="131" t="s">
        <v>297</v>
      </c>
      <c r="F239">
        <v>769</v>
      </c>
      <c r="AQ239" s="214"/>
    </row>
    <row r="240" spans="1:124">
      <c r="E240" s="131" t="s">
        <v>298</v>
      </c>
      <c r="F240">
        <v>761</v>
      </c>
      <c r="AQ240" s="214"/>
    </row>
    <row r="241" spans="4:113">
      <c r="AQ241" s="214"/>
      <c r="CX241"/>
      <c r="DH241"/>
      <c r="DI241"/>
    </row>
    <row r="242" spans="4:113">
      <c r="D242">
        <v>558</v>
      </c>
      <c r="E242" s="131" t="s">
        <v>299</v>
      </c>
      <c r="F242">
        <v>750</v>
      </c>
      <c r="AQ242" s="214"/>
    </row>
    <row r="243" spans="4:113">
      <c r="E243" s="131" t="s">
        <v>300</v>
      </c>
      <c r="F243">
        <v>558</v>
      </c>
      <c r="AQ243" s="214"/>
    </row>
    <row r="244" spans="4:113">
      <c r="AQ244" s="214"/>
    </row>
    <row r="245" spans="4:113">
      <c r="D245">
        <v>710</v>
      </c>
      <c r="E245" s="131" t="s">
        <v>301</v>
      </c>
      <c r="F245">
        <v>710</v>
      </c>
      <c r="AQ245" s="214"/>
    </row>
    <row r="246" spans="4:113">
      <c r="E246" s="131" t="s">
        <v>302</v>
      </c>
      <c r="F246">
        <v>539</v>
      </c>
      <c r="AQ246" s="214"/>
    </row>
    <row r="247" spans="4:113">
      <c r="AQ247" s="214"/>
    </row>
    <row r="248" spans="4:113">
      <c r="D248">
        <v>726</v>
      </c>
      <c r="E248" s="131" t="s">
        <v>303</v>
      </c>
      <c r="F248" s="131" t="s">
        <v>304</v>
      </c>
      <c r="AQ248" s="214"/>
    </row>
    <row r="249" spans="4:113">
      <c r="E249" s="131" t="s">
        <v>305</v>
      </c>
      <c r="F249" s="131" t="s">
        <v>306</v>
      </c>
      <c r="AQ249" s="214"/>
    </row>
    <row r="250" spans="4:113">
      <c r="AQ250" s="214"/>
    </row>
    <row r="251" spans="4:113">
      <c r="D251">
        <v>928</v>
      </c>
      <c r="E251" s="131" t="s">
        <v>307</v>
      </c>
      <c r="F251">
        <v>928</v>
      </c>
      <c r="AQ251" s="214"/>
    </row>
    <row r="252" spans="4:113">
      <c r="E252" s="131" t="s">
        <v>308</v>
      </c>
      <c r="F252">
        <v>927</v>
      </c>
      <c r="AQ252" s="214"/>
    </row>
    <row r="253" spans="4:113">
      <c r="AQ253" s="214"/>
    </row>
    <row r="254" spans="4:113" ht="15">
      <c r="D254">
        <v>681</v>
      </c>
      <c r="E254" s="402" t="s">
        <v>309</v>
      </c>
      <c r="F254" s="403" t="s">
        <v>310</v>
      </c>
      <c r="AQ254" s="214"/>
    </row>
    <row r="255" spans="4:113" ht="15">
      <c r="D255">
        <v>780</v>
      </c>
      <c r="E255" s="402" t="s">
        <v>311</v>
      </c>
      <c r="F255" s="403" t="s">
        <v>310</v>
      </c>
      <c r="AQ255" s="214"/>
    </row>
    <row r="256" spans="4:113" ht="15">
      <c r="D256">
        <v>584</v>
      </c>
      <c r="E256" s="404" t="s">
        <v>312</v>
      </c>
      <c r="F256" s="403" t="s">
        <v>310</v>
      </c>
      <c r="AQ256" s="214"/>
    </row>
    <row r="257" spans="43:43">
      <c r="AQ257" s="214"/>
    </row>
    <row r="258" spans="43:43">
      <c r="AQ258" s="214"/>
    </row>
    <row r="259" spans="43:43">
      <c r="AQ259" s="214"/>
    </row>
    <row r="260" spans="43:43">
      <c r="AQ260" s="214"/>
    </row>
  </sheetData>
  <autoFilter ref="A2:DU194"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4">
    <cfRule type="cellIs" dxfId="8" priority="1" stopIfTrue="1" operator="greaterThan">
      <formula>0</formula>
    </cfRule>
  </conditionalFormatting>
  <conditionalFormatting sqref="K170 K173 K178 K181 K186 K189 K194 K197 K202 K205 K210 K213 K218 K221 K226">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92D050"/>
    <pageSetUpPr fitToPage="1"/>
  </sheetPr>
  <dimension ref="A1:CV207"/>
  <sheetViews>
    <sheetView workbookViewId="0">
      <pane xSplit="2" ySplit="3" topLeftCell="O4" activePane="bottomRight" state="frozen"/>
      <selection activeCell="Z1" sqref="Z1:AC1048576"/>
      <selection pane="topRight" activeCell="Z1" sqref="Z1:AC1048576"/>
      <selection pane="bottomLeft" activeCell="Z1" sqref="Z1:AC1048576"/>
      <selection pane="bottomRight" activeCell="Z1" sqref="Z1:AC1048576"/>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0" width="9.140625" customWidth="1"/>
    <col min="71" max="71" width="10.7109375" customWidth="1"/>
    <col min="72" max="74" width="9.140625" customWidth="1"/>
    <col min="75" max="80" width="10" customWidth="1"/>
    <col min="81" max="81" width="12.28515625" customWidth="1"/>
    <col min="82" max="82" width="17.5703125" customWidth="1"/>
    <col min="83" max="83" width="11" customWidth="1"/>
    <col min="89" max="89" width="18.5703125" customWidth="1"/>
    <col min="90" max="90" width="11.7109375" customWidth="1"/>
    <col min="91" max="91" width="14.85546875" customWidth="1"/>
    <col min="93" max="93" width="9.7109375" bestFit="1" customWidth="1"/>
    <col min="95" max="95" width="9.7109375" bestFit="1" customWidth="1"/>
    <col min="99" max="99" width="11.7109375" customWidth="1"/>
  </cols>
  <sheetData>
    <row r="1" spans="1:100" s="68" customFormat="1">
      <c r="A1" s="68">
        <v>-1</v>
      </c>
      <c r="B1" s="68">
        <v>2</v>
      </c>
      <c r="C1" s="68">
        <f>B1+1</f>
        <v>3</v>
      </c>
      <c r="D1" s="68">
        <f t="shared" ref="D1:BO1" si="0">C1+1</f>
        <v>4</v>
      </c>
      <c r="E1" s="68">
        <f t="shared" si="0"/>
        <v>5</v>
      </c>
      <c r="F1" s="68">
        <f t="shared" si="0"/>
        <v>6</v>
      </c>
      <c r="G1" s="68">
        <f t="shared" si="0"/>
        <v>7</v>
      </c>
      <c r="H1" s="68">
        <f t="shared" si="0"/>
        <v>8</v>
      </c>
      <c r="I1" s="68">
        <f t="shared" si="0"/>
        <v>9</v>
      </c>
      <c r="J1" s="68">
        <f t="shared" si="0"/>
        <v>10</v>
      </c>
      <c r="K1" s="68">
        <f t="shared" si="0"/>
        <v>11</v>
      </c>
      <c r="L1" s="68">
        <f t="shared" si="0"/>
        <v>12</v>
      </c>
      <c r="M1" s="68">
        <f t="shared" si="0"/>
        <v>13</v>
      </c>
      <c r="N1" s="68">
        <f t="shared" si="0"/>
        <v>14</v>
      </c>
      <c r="O1" s="68">
        <f t="shared" si="0"/>
        <v>15</v>
      </c>
      <c r="P1" s="68">
        <f t="shared" si="0"/>
        <v>16</v>
      </c>
      <c r="Q1" s="68">
        <f t="shared" si="0"/>
        <v>17</v>
      </c>
      <c r="R1" s="68">
        <f t="shared" si="0"/>
        <v>18</v>
      </c>
      <c r="S1" s="68">
        <f t="shared" si="0"/>
        <v>19</v>
      </c>
      <c r="T1" s="68">
        <f t="shared" si="0"/>
        <v>20</v>
      </c>
      <c r="U1" s="68">
        <f t="shared" si="0"/>
        <v>21</v>
      </c>
      <c r="V1" s="68">
        <f t="shared" si="0"/>
        <v>22</v>
      </c>
      <c r="W1" s="68">
        <f t="shared" si="0"/>
        <v>23</v>
      </c>
      <c r="X1" s="68">
        <f t="shared" si="0"/>
        <v>24</v>
      </c>
      <c r="Y1" s="68">
        <f t="shared" si="0"/>
        <v>25</v>
      </c>
      <c r="Z1" s="68">
        <f t="shared" si="0"/>
        <v>26</v>
      </c>
      <c r="AA1" s="68">
        <f t="shared" si="0"/>
        <v>27</v>
      </c>
      <c r="AB1" s="68">
        <f t="shared" si="0"/>
        <v>28</v>
      </c>
      <c r="AC1" s="68">
        <f t="shared" si="0"/>
        <v>29</v>
      </c>
      <c r="AD1" s="68">
        <f t="shared" si="0"/>
        <v>30</v>
      </c>
      <c r="AE1" s="68">
        <f t="shared" si="0"/>
        <v>31</v>
      </c>
      <c r="AF1" s="68">
        <f t="shared" si="0"/>
        <v>32</v>
      </c>
      <c r="AG1" s="68">
        <f t="shared" si="0"/>
        <v>33</v>
      </c>
      <c r="AH1" s="68">
        <f t="shared" si="0"/>
        <v>34</v>
      </c>
      <c r="AI1" s="68">
        <f t="shared" si="0"/>
        <v>35</v>
      </c>
      <c r="AJ1" s="68">
        <f t="shared" si="0"/>
        <v>36</v>
      </c>
      <c r="AK1" s="68">
        <f t="shared" si="0"/>
        <v>37</v>
      </c>
      <c r="AL1" s="68">
        <f t="shared" si="0"/>
        <v>38</v>
      </c>
      <c r="AM1" s="68">
        <f t="shared" si="0"/>
        <v>39</v>
      </c>
      <c r="AN1" s="68">
        <f t="shared" si="0"/>
        <v>40</v>
      </c>
      <c r="AO1" s="68">
        <f t="shared" si="0"/>
        <v>41</v>
      </c>
      <c r="AP1" s="68">
        <f t="shared" si="0"/>
        <v>42</v>
      </c>
      <c r="AQ1" s="68">
        <f t="shared" si="0"/>
        <v>43</v>
      </c>
      <c r="AR1" s="68">
        <f t="shared" si="0"/>
        <v>44</v>
      </c>
      <c r="AS1" s="68">
        <f t="shared" si="0"/>
        <v>45</v>
      </c>
      <c r="AT1" s="68">
        <f t="shared" si="0"/>
        <v>46</v>
      </c>
      <c r="AU1" s="68">
        <f t="shared" si="0"/>
        <v>47</v>
      </c>
      <c r="AV1" s="68">
        <f t="shared" si="0"/>
        <v>48</v>
      </c>
      <c r="AW1" s="68">
        <f t="shared" si="0"/>
        <v>49</v>
      </c>
      <c r="AX1" s="68">
        <f t="shared" si="0"/>
        <v>50</v>
      </c>
      <c r="AY1" s="68">
        <f t="shared" si="0"/>
        <v>51</v>
      </c>
      <c r="AZ1" s="68">
        <f t="shared" si="0"/>
        <v>52</v>
      </c>
      <c r="BA1" s="68">
        <f t="shared" si="0"/>
        <v>53</v>
      </c>
      <c r="BB1" s="68">
        <f t="shared" si="0"/>
        <v>54</v>
      </c>
      <c r="BC1" s="68">
        <f t="shared" si="0"/>
        <v>55</v>
      </c>
      <c r="BD1" s="68">
        <f t="shared" si="0"/>
        <v>56</v>
      </c>
      <c r="BE1" s="68">
        <f t="shared" si="0"/>
        <v>57</v>
      </c>
      <c r="BF1" s="68">
        <f t="shared" si="0"/>
        <v>58</v>
      </c>
      <c r="BG1" s="68">
        <f t="shared" si="0"/>
        <v>59</v>
      </c>
      <c r="BH1" s="68">
        <f t="shared" si="0"/>
        <v>60</v>
      </c>
      <c r="BI1" s="68">
        <f t="shared" si="0"/>
        <v>61</v>
      </c>
      <c r="BJ1" s="68">
        <f t="shared" si="0"/>
        <v>62</v>
      </c>
      <c r="BK1" s="68">
        <f t="shared" si="0"/>
        <v>63</v>
      </c>
      <c r="BL1" s="68">
        <f t="shared" si="0"/>
        <v>64</v>
      </c>
      <c r="BM1" s="68">
        <f t="shared" si="0"/>
        <v>65</v>
      </c>
      <c r="BN1" s="68">
        <f t="shared" si="0"/>
        <v>66</v>
      </c>
      <c r="BO1" s="68">
        <f t="shared" si="0"/>
        <v>67</v>
      </c>
      <c r="BP1" s="68">
        <f t="shared" ref="BP1:CT1" si="1">BO1+1</f>
        <v>68</v>
      </c>
      <c r="BQ1" s="68">
        <f t="shared" si="1"/>
        <v>69</v>
      </c>
      <c r="BR1" s="68">
        <f t="shared" si="1"/>
        <v>70</v>
      </c>
      <c r="BS1" s="68">
        <f t="shared" si="1"/>
        <v>71</v>
      </c>
      <c r="BT1" s="68">
        <f t="shared" si="1"/>
        <v>72</v>
      </c>
      <c r="BU1" s="68">
        <f t="shared" si="1"/>
        <v>73</v>
      </c>
      <c r="BV1" s="68">
        <f t="shared" si="1"/>
        <v>74</v>
      </c>
      <c r="BW1" s="68">
        <f t="shared" si="1"/>
        <v>75</v>
      </c>
      <c r="BX1" s="68">
        <f t="shared" si="1"/>
        <v>76</v>
      </c>
      <c r="BY1" s="68">
        <f t="shared" si="1"/>
        <v>77</v>
      </c>
      <c r="BZ1" s="68">
        <f t="shared" si="1"/>
        <v>78</v>
      </c>
      <c r="CA1" s="68">
        <f t="shared" si="1"/>
        <v>79</v>
      </c>
      <c r="CB1" s="68">
        <f t="shared" si="1"/>
        <v>80</v>
      </c>
      <c r="CC1" s="68">
        <f t="shared" si="1"/>
        <v>81</v>
      </c>
      <c r="CD1" s="68">
        <f t="shared" si="1"/>
        <v>82</v>
      </c>
      <c r="CE1" s="68">
        <f t="shared" si="1"/>
        <v>83</v>
      </c>
      <c r="CF1" s="68">
        <f t="shared" si="1"/>
        <v>84</v>
      </c>
      <c r="CG1" s="68">
        <f t="shared" si="1"/>
        <v>85</v>
      </c>
      <c r="CH1" s="68">
        <f t="shared" si="1"/>
        <v>86</v>
      </c>
      <c r="CI1" s="68">
        <f t="shared" si="1"/>
        <v>87</v>
      </c>
      <c r="CJ1" s="68">
        <f t="shared" si="1"/>
        <v>88</v>
      </c>
      <c r="CK1" s="68">
        <f t="shared" si="1"/>
        <v>89</v>
      </c>
      <c r="CL1" s="68">
        <f t="shared" si="1"/>
        <v>90</v>
      </c>
      <c r="CM1" s="68">
        <f t="shared" si="1"/>
        <v>91</v>
      </c>
      <c r="CN1" s="68">
        <f t="shared" si="1"/>
        <v>92</v>
      </c>
      <c r="CO1" s="68">
        <f t="shared" si="1"/>
        <v>93</v>
      </c>
      <c r="CP1" s="68">
        <f t="shared" si="1"/>
        <v>94</v>
      </c>
      <c r="CQ1" s="68">
        <f t="shared" si="1"/>
        <v>95</v>
      </c>
      <c r="CR1" s="68">
        <f t="shared" si="1"/>
        <v>96</v>
      </c>
      <c r="CS1" s="68">
        <f t="shared" si="1"/>
        <v>97</v>
      </c>
      <c r="CT1" s="68">
        <f t="shared" si="1"/>
        <v>98</v>
      </c>
    </row>
    <row r="2" spans="1:100" ht="61.5" customHeight="1">
      <c r="A2" s="55">
        <v>-1</v>
      </c>
      <c r="B2" s="282" t="s">
        <v>979</v>
      </c>
      <c r="C2" s="450" t="s">
        <v>313</v>
      </c>
      <c r="D2" s="451"/>
      <c r="E2" s="451"/>
      <c r="F2" s="451"/>
      <c r="G2" s="451"/>
      <c r="H2" s="452"/>
      <c r="I2" s="453" t="s">
        <v>314</v>
      </c>
      <c r="J2" s="451"/>
      <c r="K2" s="451"/>
      <c r="L2" s="451"/>
      <c r="M2" s="451"/>
      <c r="N2" s="451"/>
      <c r="O2" s="451"/>
      <c r="P2" s="451"/>
      <c r="Q2" s="451"/>
      <c r="R2" s="451"/>
      <c r="S2" s="451"/>
      <c r="T2" s="451"/>
      <c r="U2" s="451"/>
      <c r="V2" s="451"/>
      <c r="W2" s="451"/>
      <c r="X2" s="451"/>
      <c r="Y2" s="451"/>
      <c r="Z2" s="451"/>
      <c r="AA2" s="451"/>
      <c r="AB2" s="451"/>
      <c r="AC2" s="452"/>
      <c r="AD2" s="454" t="s">
        <v>60</v>
      </c>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c r="BF2" s="441"/>
      <c r="BG2" s="441"/>
      <c r="BH2" s="441"/>
      <c r="BI2" s="441"/>
      <c r="BJ2" s="441"/>
      <c r="BK2" s="441"/>
      <c r="BL2" s="441"/>
      <c r="BM2" s="441"/>
      <c r="BN2" s="441"/>
      <c r="BO2" s="441"/>
      <c r="BP2" s="442"/>
      <c r="BQ2" s="455" t="s">
        <v>315</v>
      </c>
      <c r="BR2" s="451"/>
      <c r="BS2" s="452"/>
      <c r="BT2" s="456" t="s">
        <v>134</v>
      </c>
      <c r="BU2" s="441"/>
      <c r="BV2" s="441"/>
      <c r="BW2" s="441"/>
      <c r="BX2" s="441"/>
      <c r="BY2" s="441"/>
      <c r="BZ2" s="441"/>
      <c r="CA2" s="441"/>
      <c r="CB2" s="442"/>
      <c r="CC2" s="55"/>
      <c r="CE2" s="341" t="s">
        <v>986</v>
      </c>
      <c r="CF2" s="342" t="s">
        <v>987</v>
      </c>
      <c r="CG2" s="342" t="s">
        <v>988</v>
      </c>
      <c r="CH2" s="342" t="s">
        <v>989</v>
      </c>
      <c r="CI2" s="342" t="s">
        <v>990</v>
      </c>
      <c r="CJ2" s="342" t="s">
        <v>991</v>
      </c>
      <c r="CK2" s="321" t="s">
        <v>992</v>
      </c>
      <c r="CN2" s="448" t="s">
        <v>985</v>
      </c>
      <c r="CO2" s="449"/>
      <c r="CP2" s="449"/>
      <c r="CQ2" s="449"/>
      <c r="CR2" s="449"/>
      <c r="CS2" s="449"/>
      <c r="CT2" s="449"/>
      <c r="CU2" s="449"/>
    </row>
    <row r="3" spans="1:100" ht="30.75" customHeight="1">
      <c r="A3" s="202" t="s">
        <v>316</v>
      </c>
      <c r="B3" s="203" t="s">
        <v>165</v>
      </c>
      <c r="C3" s="204" t="s">
        <v>317</v>
      </c>
      <c r="D3" s="204" t="s">
        <v>318</v>
      </c>
      <c r="E3" s="204" t="s">
        <v>319</v>
      </c>
      <c r="F3" s="204" t="s">
        <v>320</v>
      </c>
      <c r="G3" s="204" t="s">
        <v>321</v>
      </c>
      <c r="H3" s="204" t="s">
        <v>322</v>
      </c>
      <c r="I3" s="205" t="s">
        <v>323</v>
      </c>
      <c r="J3" s="205" t="s">
        <v>324</v>
      </c>
      <c r="K3" s="205" t="s">
        <v>325</v>
      </c>
      <c r="L3" s="205" t="s">
        <v>326</v>
      </c>
      <c r="M3" s="205" t="s">
        <v>327</v>
      </c>
      <c r="N3" s="205" t="s">
        <v>328</v>
      </c>
      <c r="O3" s="205" t="s">
        <v>329</v>
      </c>
      <c r="P3" s="205" t="s">
        <v>330</v>
      </c>
      <c r="Q3" s="205" t="s">
        <v>331</v>
      </c>
      <c r="R3" s="205" t="s">
        <v>332</v>
      </c>
      <c r="S3" s="205" t="s">
        <v>333</v>
      </c>
      <c r="T3" s="205" t="s">
        <v>334</v>
      </c>
      <c r="U3" s="205" t="s">
        <v>335</v>
      </c>
      <c r="V3" s="205" t="s">
        <v>336</v>
      </c>
      <c r="W3" s="205" t="s">
        <v>337</v>
      </c>
      <c r="X3" s="205" t="s">
        <v>338</v>
      </c>
      <c r="Y3" s="205" t="s">
        <v>339</v>
      </c>
      <c r="Z3" s="205" t="s">
        <v>340</v>
      </c>
      <c r="AA3" s="205" t="s">
        <v>341</v>
      </c>
      <c r="AB3" s="205" t="s">
        <v>342</v>
      </c>
      <c r="AC3" s="205" t="s">
        <v>343</v>
      </c>
      <c r="AD3" s="206" t="s">
        <v>344</v>
      </c>
      <c r="AE3" s="206" t="s">
        <v>345</v>
      </c>
      <c r="AF3" s="206" t="s">
        <v>346</v>
      </c>
      <c r="AG3" s="206" t="s">
        <v>347</v>
      </c>
      <c r="AH3" s="206" t="s">
        <v>348</v>
      </c>
      <c r="AI3" s="206" t="s">
        <v>349</v>
      </c>
      <c r="AJ3" s="206" t="s">
        <v>350</v>
      </c>
      <c r="AK3" s="206" t="s">
        <v>351</v>
      </c>
      <c r="AL3" s="206" t="s">
        <v>352</v>
      </c>
      <c r="AM3" s="206" t="s">
        <v>353</v>
      </c>
      <c r="AN3" s="206" t="s">
        <v>354</v>
      </c>
      <c r="AO3" s="206" t="s">
        <v>355</v>
      </c>
      <c r="AP3" s="206" t="s">
        <v>356</v>
      </c>
      <c r="AQ3" s="206" t="s">
        <v>357</v>
      </c>
      <c r="AR3" s="206" t="s">
        <v>358</v>
      </c>
      <c r="AS3" s="206" t="s">
        <v>359</v>
      </c>
      <c r="AT3" s="206" t="s">
        <v>360</v>
      </c>
      <c r="AU3" s="206" t="s">
        <v>361</v>
      </c>
      <c r="AV3" s="206" t="s">
        <v>362</v>
      </c>
      <c r="AW3" s="330" t="s">
        <v>99</v>
      </c>
      <c r="AX3" s="330" t="s">
        <v>790</v>
      </c>
      <c r="AY3" s="330" t="s">
        <v>791</v>
      </c>
      <c r="AZ3" s="330" t="s">
        <v>792</v>
      </c>
      <c r="BA3" s="330" t="s">
        <v>793</v>
      </c>
      <c r="BB3" s="330" t="s">
        <v>794</v>
      </c>
      <c r="BC3" s="330" t="s">
        <v>795</v>
      </c>
      <c r="BD3" s="330" t="s">
        <v>796</v>
      </c>
      <c r="BE3" s="206" t="s">
        <v>364</v>
      </c>
      <c r="BF3" s="206" t="s">
        <v>365</v>
      </c>
      <c r="BG3" s="206" t="s">
        <v>366</v>
      </c>
      <c r="BH3" s="206" t="s">
        <v>367</v>
      </c>
      <c r="BI3" s="206" t="s">
        <v>368</v>
      </c>
      <c r="BJ3" s="206" t="s">
        <v>369</v>
      </c>
      <c r="BK3" s="206" t="s">
        <v>370</v>
      </c>
      <c r="BL3" s="206" t="s">
        <v>371</v>
      </c>
      <c r="BM3" s="206" t="s">
        <v>372</v>
      </c>
      <c r="BN3" s="206" t="s">
        <v>373</v>
      </c>
      <c r="BO3" s="206" t="s">
        <v>374</v>
      </c>
      <c r="BP3" s="206" t="s">
        <v>375</v>
      </c>
      <c r="BQ3" s="207" t="s">
        <v>376</v>
      </c>
      <c r="BR3" s="207" t="s">
        <v>377</v>
      </c>
      <c r="BS3" s="207" t="s">
        <v>378</v>
      </c>
      <c r="BT3" s="208" t="s">
        <v>379</v>
      </c>
      <c r="BU3" s="208" t="s">
        <v>380</v>
      </c>
      <c r="BV3" s="208" t="s">
        <v>381</v>
      </c>
      <c r="BW3" s="406" t="s">
        <v>382</v>
      </c>
      <c r="BX3" s="331" t="s">
        <v>809</v>
      </c>
      <c r="BY3" s="331" t="s">
        <v>810</v>
      </c>
      <c r="BZ3" s="331" t="s">
        <v>811</v>
      </c>
      <c r="CA3" s="331" t="s">
        <v>812</v>
      </c>
      <c r="CB3" s="331" t="s">
        <v>813</v>
      </c>
      <c r="CC3" s="56" t="s">
        <v>169</v>
      </c>
      <c r="CE3" s="204" t="s">
        <v>317</v>
      </c>
      <c r="CF3" s="204" t="s">
        <v>318</v>
      </c>
      <c r="CG3" s="204" t="s">
        <v>319</v>
      </c>
      <c r="CH3" s="204" t="s">
        <v>320</v>
      </c>
      <c r="CI3" s="204" t="s">
        <v>321</v>
      </c>
      <c r="CJ3" s="204" t="s">
        <v>322</v>
      </c>
      <c r="CK3" s="204" t="s">
        <v>383</v>
      </c>
      <c r="CM3" s="237" t="s">
        <v>384</v>
      </c>
      <c r="CN3" s="339" t="s">
        <v>317</v>
      </c>
      <c r="CO3" s="339" t="s">
        <v>318</v>
      </c>
      <c r="CP3" s="339" t="s">
        <v>319</v>
      </c>
      <c r="CQ3" s="339" t="s">
        <v>320</v>
      </c>
      <c r="CR3" s="339" t="s">
        <v>321</v>
      </c>
      <c r="CS3" s="339" t="s">
        <v>322</v>
      </c>
      <c r="CT3" s="339" t="s">
        <v>383</v>
      </c>
    </row>
    <row r="4" spans="1:100">
      <c r="A4" s="322">
        <v>346</v>
      </c>
      <c r="B4" s="306" t="s">
        <v>255</v>
      </c>
      <c r="C4" s="209">
        <v>-850077.17999999598</v>
      </c>
      <c r="D4" s="209">
        <v>0</v>
      </c>
      <c r="E4" s="209">
        <v>0</v>
      </c>
      <c r="F4" s="209">
        <v>6.0000000004947651E-2</v>
      </c>
      <c r="G4" s="209">
        <v>-7.2759576141834259E-12</v>
      </c>
      <c r="H4" s="209">
        <v>0</v>
      </c>
      <c r="I4" s="223">
        <v>-7393104.6699999999</v>
      </c>
      <c r="J4" s="223">
        <v>-724906.07</v>
      </c>
      <c r="K4" s="223">
        <v>-296203</v>
      </c>
      <c r="L4" s="223">
        <v>0</v>
      </c>
      <c r="M4" s="223">
        <v>-217440.99</v>
      </c>
      <c r="N4" s="223">
        <v>-8513.36</v>
      </c>
      <c r="O4" s="223">
        <v>-13839.5</v>
      </c>
      <c r="P4" s="223">
        <v>-97119.73</v>
      </c>
      <c r="Q4" s="223">
        <v>-2403.3000000000002</v>
      </c>
      <c r="R4" s="223">
        <v>0</v>
      </c>
      <c r="S4" s="223">
        <v>0</v>
      </c>
      <c r="T4" s="223">
        <v>0</v>
      </c>
      <c r="U4" s="223">
        <v>-315327.78000000003</v>
      </c>
      <c r="V4" s="223">
        <v>-31279.46</v>
      </c>
      <c r="W4" s="223">
        <v>0</v>
      </c>
      <c r="X4" s="223">
        <v>0</v>
      </c>
      <c r="Y4" s="223">
        <v>0</v>
      </c>
      <c r="Z4" s="223">
        <v>0</v>
      </c>
      <c r="AA4" s="223">
        <v>0</v>
      </c>
      <c r="AB4" s="223">
        <v>-9198.0499999999993</v>
      </c>
      <c r="AC4" s="223">
        <v>0</v>
      </c>
      <c r="AD4" s="210">
        <v>5654763.8700000001</v>
      </c>
      <c r="AE4" s="210">
        <v>30408.910000000003</v>
      </c>
      <c r="AF4" s="210">
        <v>916389.51</v>
      </c>
      <c r="AG4" s="210">
        <v>126126.17</v>
      </c>
      <c r="AH4" s="210">
        <v>871509.06</v>
      </c>
      <c r="AI4" s="210">
        <v>0</v>
      </c>
      <c r="AJ4" s="210">
        <v>96062.060000000012</v>
      </c>
      <c r="AK4" s="210">
        <v>31812.11</v>
      </c>
      <c r="AL4" s="210">
        <v>18497.939999999999</v>
      </c>
      <c r="AM4" s="210">
        <v>0</v>
      </c>
      <c r="AN4" s="210">
        <v>0</v>
      </c>
      <c r="AO4" s="210">
        <v>152258.92000000001</v>
      </c>
      <c r="AP4" s="210">
        <v>26249.86</v>
      </c>
      <c r="AQ4" s="210">
        <v>190310.48</v>
      </c>
      <c r="AR4" s="210">
        <v>-48054.58</v>
      </c>
      <c r="AS4" s="210">
        <v>170754.49</v>
      </c>
      <c r="AT4" s="210">
        <v>37994.68</v>
      </c>
      <c r="AU4" s="210">
        <v>22175.78</v>
      </c>
      <c r="AV4" s="210">
        <v>575067.06000000006</v>
      </c>
      <c r="AW4" s="405">
        <v>0</v>
      </c>
      <c r="AX4" s="210">
        <v>1989.78</v>
      </c>
      <c r="AY4" s="210">
        <v>2145.83</v>
      </c>
      <c r="AZ4" s="210">
        <v>1359.8</v>
      </c>
      <c r="BA4" s="210">
        <v>2080.3000000000002</v>
      </c>
      <c r="BB4" s="210">
        <v>0</v>
      </c>
      <c r="BC4" s="210">
        <v>3877.36</v>
      </c>
      <c r="BD4" s="210">
        <v>14658</v>
      </c>
      <c r="BE4" s="210">
        <v>140928.82999999999</v>
      </c>
      <c r="BF4" s="210">
        <v>50629.95</v>
      </c>
      <c r="BG4" s="210">
        <v>39215.339999999997</v>
      </c>
      <c r="BH4" s="210">
        <v>0</v>
      </c>
      <c r="BI4" s="210">
        <v>76264.02</v>
      </c>
      <c r="BJ4" s="210">
        <v>29421.05</v>
      </c>
      <c r="BK4" s="210">
        <v>95505.96</v>
      </c>
      <c r="BL4" s="210">
        <v>52941.180000000008</v>
      </c>
      <c r="BM4" s="210">
        <v>0</v>
      </c>
      <c r="BN4" s="210">
        <v>62486.32</v>
      </c>
      <c r="BO4" s="210">
        <v>0</v>
      </c>
      <c r="BP4" s="210">
        <v>0</v>
      </c>
      <c r="BQ4" s="211">
        <v>-82832.92</v>
      </c>
      <c r="BR4" s="211">
        <v>0</v>
      </c>
      <c r="BS4" s="211">
        <v>-62486.32</v>
      </c>
      <c r="BT4" s="212">
        <v>0</v>
      </c>
      <c r="BU4" s="212">
        <v>105570.23</v>
      </c>
      <c r="BV4" s="212">
        <v>0</v>
      </c>
      <c r="BW4" s="212">
        <v>0</v>
      </c>
      <c r="BX4" s="212">
        <v>2317</v>
      </c>
      <c r="BY4" s="212">
        <v>0</v>
      </c>
      <c r="BZ4" s="212">
        <v>9271.5</v>
      </c>
      <c r="CA4" s="212">
        <v>27638.21</v>
      </c>
      <c r="CB4" s="212">
        <v>522.24</v>
      </c>
      <c r="CC4" s="224">
        <v>-513583.04999999731</v>
      </c>
      <c r="CD4" s="240"/>
      <c r="CE4" s="211">
        <v>513583.04999999702</v>
      </c>
      <c r="CF4" s="211">
        <v>0</v>
      </c>
      <c r="CG4" s="211">
        <v>0</v>
      </c>
      <c r="CH4" s="211">
        <v>0</v>
      </c>
      <c r="CI4" s="211">
        <v>0</v>
      </c>
      <c r="CJ4" s="211">
        <v>0</v>
      </c>
      <c r="CK4" s="211">
        <v>513583.04999999702</v>
      </c>
      <c r="CL4" s="201"/>
      <c r="CM4" s="201">
        <f>CC4+CK4</f>
        <v>0</v>
      </c>
      <c r="CN4" s="340">
        <f t="shared" ref="CN4:CN35" si="2">CE4-(CL4)</f>
        <v>513583.04999999702</v>
      </c>
      <c r="CO4" s="340">
        <f t="shared" ref="CO4:CO35" si="3">CF4</f>
        <v>0</v>
      </c>
      <c r="CP4" s="340">
        <f t="shared" ref="CP4:CP35" si="4">CG4</f>
        <v>0</v>
      </c>
      <c r="CQ4" s="340">
        <f t="shared" ref="CQ4:CQ35" si="5">CH4</f>
        <v>0</v>
      </c>
      <c r="CR4" s="340">
        <f t="shared" ref="CR4:CR35" si="6">CI4</f>
        <v>0</v>
      </c>
      <c r="CS4" s="340">
        <f t="shared" ref="CS4:CS35" si="7">CJ4</f>
        <v>0</v>
      </c>
      <c r="CT4" s="90">
        <f t="shared" ref="CT4:CT47" si="8">SUM(CN4:CS4)</f>
        <v>513583.04999999702</v>
      </c>
      <c r="CV4" s="90">
        <f t="shared" ref="CV4:CV67" si="9">CK4-CT4</f>
        <v>0</v>
      </c>
    </row>
    <row r="5" spans="1:100">
      <c r="A5" s="322">
        <v>355</v>
      </c>
      <c r="B5" s="306" t="s">
        <v>231</v>
      </c>
      <c r="C5" s="209">
        <v>-638548.08999999589</v>
      </c>
      <c r="D5" s="209">
        <v>-49476.97</v>
      </c>
      <c r="E5" s="209">
        <v>0</v>
      </c>
      <c r="F5" s="209">
        <v>-22200.000000000015</v>
      </c>
      <c r="G5" s="209">
        <v>2.9103830456733704E-11</v>
      </c>
      <c r="H5" s="209">
        <v>0</v>
      </c>
      <c r="I5" s="223">
        <v>-6512719.6500000004</v>
      </c>
      <c r="J5" s="223">
        <v>0</v>
      </c>
      <c r="K5" s="223">
        <v>-594123.6</v>
      </c>
      <c r="L5" s="223">
        <v>0</v>
      </c>
      <c r="M5" s="223">
        <v>-339717.73</v>
      </c>
      <c r="N5" s="223">
        <v>-5979.31</v>
      </c>
      <c r="O5" s="223">
        <v>-20570.919999999998</v>
      </c>
      <c r="P5" s="223">
        <v>0</v>
      </c>
      <c r="Q5" s="223">
        <v>-57513.979999999996</v>
      </c>
      <c r="R5" s="223">
        <v>-197323.61</v>
      </c>
      <c r="S5" s="223">
        <v>0</v>
      </c>
      <c r="T5" s="223">
        <v>0</v>
      </c>
      <c r="U5" s="223">
        <v>-250412.62</v>
      </c>
      <c r="V5" s="223">
        <v>-31428.42</v>
      </c>
      <c r="W5" s="223">
        <v>0</v>
      </c>
      <c r="X5" s="223">
        <v>0</v>
      </c>
      <c r="Y5" s="223">
        <v>0</v>
      </c>
      <c r="Z5" s="223">
        <v>0</v>
      </c>
      <c r="AA5" s="223">
        <v>0</v>
      </c>
      <c r="AB5" s="223">
        <v>-20344.98</v>
      </c>
      <c r="AC5" s="223">
        <v>0</v>
      </c>
      <c r="AD5" s="210">
        <v>4232873.5999999996</v>
      </c>
      <c r="AE5" s="210">
        <v>47473.37</v>
      </c>
      <c r="AF5" s="210">
        <v>1107779.5700000003</v>
      </c>
      <c r="AG5" s="210">
        <v>302824.18000000005</v>
      </c>
      <c r="AH5" s="210">
        <v>432429.54000000004</v>
      </c>
      <c r="AI5" s="210">
        <v>147232.41</v>
      </c>
      <c r="AJ5" s="210">
        <v>0</v>
      </c>
      <c r="AK5" s="210">
        <v>41284.46</v>
      </c>
      <c r="AL5" s="210">
        <v>5986.22</v>
      </c>
      <c r="AM5" s="210">
        <v>0</v>
      </c>
      <c r="AN5" s="210">
        <v>0</v>
      </c>
      <c r="AO5" s="210">
        <v>75444.42</v>
      </c>
      <c r="AP5" s="210">
        <v>30981.5</v>
      </c>
      <c r="AQ5" s="210">
        <v>10356.82</v>
      </c>
      <c r="AR5" s="210">
        <v>10631.81</v>
      </c>
      <c r="AS5" s="210">
        <v>144596.21</v>
      </c>
      <c r="AT5" s="210">
        <v>35441.57</v>
      </c>
      <c r="AU5" s="210">
        <v>27184.829999999998</v>
      </c>
      <c r="AV5" s="210">
        <v>546381.36</v>
      </c>
      <c r="AW5" s="405">
        <v>0</v>
      </c>
      <c r="AX5" s="210">
        <v>15350.56</v>
      </c>
      <c r="AY5" s="210">
        <v>0</v>
      </c>
      <c r="AZ5" s="210">
        <v>37909.449999999997</v>
      </c>
      <c r="BA5" s="210">
        <v>32663.53</v>
      </c>
      <c r="BB5" s="210">
        <v>16953.16</v>
      </c>
      <c r="BC5" s="210">
        <v>56975.89</v>
      </c>
      <c r="BD5" s="210">
        <v>158745.03</v>
      </c>
      <c r="BE5" s="210">
        <v>92581.28</v>
      </c>
      <c r="BF5" s="210">
        <v>13692.619999999999</v>
      </c>
      <c r="BG5" s="210">
        <v>32655.95</v>
      </c>
      <c r="BH5" s="210">
        <v>0</v>
      </c>
      <c r="BI5" s="210">
        <v>154794.39000000001</v>
      </c>
      <c r="BJ5" s="210">
        <v>0</v>
      </c>
      <c r="BK5" s="210">
        <v>18276.150000000001</v>
      </c>
      <c r="BL5" s="210">
        <v>52684.710000000006</v>
      </c>
      <c r="BM5" s="210">
        <v>0</v>
      </c>
      <c r="BN5" s="210">
        <v>50000</v>
      </c>
      <c r="BO5" s="210">
        <v>0</v>
      </c>
      <c r="BP5" s="210">
        <v>0</v>
      </c>
      <c r="BQ5" s="211">
        <v>-38185.11</v>
      </c>
      <c r="BR5" s="211">
        <v>-702500</v>
      </c>
      <c r="BS5" s="211">
        <v>-50000</v>
      </c>
      <c r="BT5" s="212">
        <v>0</v>
      </c>
      <c r="BU5" s="212">
        <v>123606.45</v>
      </c>
      <c r="BV5" s="212">
        <v>18804.28</v>
      </c>
      <c r="BW5" s="212">
        <v>0</v>
      </c>
      <c r="BX5" s="212">
        <v>0</v>
      </c>
      <c r="BY5" s="212">
        <v>0</v>
      </c>
      <c r="BZ5" s="212">
        <v>0</v>
      </c>
      <c r="CA5" s="212">
        <v>0</v>
      </c>
      <c r="CB5" s="212">
        <v>0</v>
      </c>
      <c r="CC5" s="224">
        <v>-1456449.6699999953</v>
      </c>
      <c r="CD5" s="213"/>
      <c r="CE5" s="211">
        <v>756568.28999999631</v>
      </c>
      <c r="CF5" s="211">
        <v>29407</v>
      </c>
      <c r="CG5" s="211">
        <v>0</v>
      </c>
      <c r="CH5" s="211">
        <v>670474.38</v>
      </c>
      <c r="CI5" s="211">
        <v>0</v>
      </c>
      <c r="CJ5" s="211">
        <v>0</v>
      </c>
      <c r="CK5" s="211">
        <v>1456449.6699999962</v>
      </c>
      <c r="CL5" s="201"/>
      <c r="CM5" s="201">
        <f t="shared" ref="CM5:CM68" si="10">CC5+CK5</f>
        <v>0</v>
      </c>
      <c r="CN5" s="340">
        <f t="shared" si="2"/>
        <v>756568.28999999631</v>
      </c>
      <c r="CO5" s="340">
        <f t="shared" si="3"/>
        <v>29407</v>
      </c>
      <c r="CP5" s="340">
        <f t="shared" si="4"/>
        <v>0</v>
      </c>
      <c r="CQ5" s="340">
        <f t="shared" si="5"/>
        <v>670474.38</v>
      </c>
      <c r="CR5" s="340">
        <f t="shared" si="6"/>
        <v>0</v>
      </c>
      <c r="CS5" s="340">
        <f t="shared" si="7"/>
        <v>0</v>
      </c>
      <c r="CT5" s="90">
        <f t="shared" si="8"/>
        <v>1456449.6699999962</v>
      </c>
      <c r="CV5" s="90">
        <f t="shared" si="9"/>
        <v>0</v>
      </c>
    </row>
    <row r="6" spans="1:100">
      <c r="A6" s="322">
        <v>373</v>
      </c>
      <c r="B6" s="306" t="s">
        <v>287</v>
      </c>
      <c r="C6" s="209">
        <v>-1176710.4800000009</v>
      </c>
      <c r="D6" s="209">
        <v>-304198.31</v>
      </c>
      <c r="E6" s="209">
        <v>0</v>
      </c>
      <c r="F6" s="209">
        <v>-69495.949999999983</v>
      </c>
      <c r="G6" s="209">
        <v>0</v>
      </c>
      <c r="H6" s="209">
        <v>0</v>
      </c>
      <c r="I6" s="223">
        <v>-5075335.45</v>
      </c>
      <c r="J6" s="223">
        <v>0</v>
      </c>
      <c r="K6" s="223">
        <v>-473271</v>
      </c>
      <c r="L6" s="223">
        <v>0</v>
      </c>
      <c r="M6" s="223">
        <v>-215672</v>
      </c>
      <c r="N6" s="223">
        <v>0</v>
      </c>
      <c r="O6" s="223">
        <v>-46016.12</v>
      </c>
      <c r="P6" s="223">
        <v>-6874.75</v>
      </c>
      <c r="Q6" s="223">
        <v>-16209.86</v>
      </c>
      <c r="R6" s="223">
        <v>0</v>
      </c>
      <c r="S6" s="223">
        <v>0</v>
      </c>
      <c r="T6" s="223">
        <v>0</v>
      </c>
      <c r="U6" s="223">
        <v>0</v>
      </c>
      <c r="V6" s="223">
        <v>-55362.14</v>
      </c>
      <c r="W6" s="223">
        <v>0</v>
      </c>
      <c r="X6" s="223">
        <v>0</v>
      </c>
      <c r="Y6" s="223">
        <v>0</v>
      </c>
      <c r="Z6" s="223">
        <v>0</v>
      </c>
      <c r="AA6" s="223">
        <v>0</v>
      </c>
      <c r="AB6" s="223">
        <v>-16466.13</v>
      </c>
      <c r="AC6" s="223">
        <v>0</v>
      </c>
      <c r="AD6" s="210">
        <v>2801640.84</v>
      </c>
      <c r="AE6" s="210">
        <v>13335.779999999999</v>
      </c>
      <c r="AF6" s="210">
        <v>856571.77</v>
      </c>
      <c r="AG6" s="210">
        <v>84437.35</v>
      </c>
      <c r="AH6" s="210">
        <v>356616.73000000004</v>
      </c>
      <c r="AI6" s="210">
        <v>0</v>
      </c>
      <c r="AJ6" s="210">
        <v>19169.05</v>
      </c>
      <c r="AK6" s="210">
        <v>14686.25</v>
      </c>
      <c r="AL6" s="210">
        <v>12153.42</v>
      </c>
      <c r="AM6" s="210">
        <v>0</v>
      </c>
      <c r="AN6" s="210">
        <v>0</v>
      </c>
      <c r="AO6" s="210">
        <v>90343.3</v>
      </c>
      <c r="AP6" s="210">
        <v>16718.689999999999</v>
      </c>
      <c r="AQ6" s="210">
        <v>83343.58</v>
      </c>
      <c r="AR6" s="210">
        <v>5169.4399999999996</v>
      </c>
      <c r="AS6" s="210">
        <v>129397.32</v>
      </c>
      <c r="AT6" s="210">
        <v>18609.669999999998</v>
      </c>
      <c r="AU6" s="210">
        <v>21536.02</v>
      </c>
      <c r="AV6" s="210">
        <v>554044.91</v>
      </c>
      <c r="AW6" s="405">
        <v>0</v>
      </c>
      <c r="AX6" s="210">
        <v>22453.85</v>
      </c>
      <c r="AY6" s="210">
        <v>0</v>
      </c>
      <c r="AZ6" s="210">
        <v>39204.25</v>
      </c>
      <c r="BA6" s="210">
        <v>4297.3999999999996</v>
      </c>
      <c r="BB6" s="210">
        <v>7740.94</v>
      </c>
      <c r="BC6" s="210">
        <v>14969.95</v>
      </c>
      <c r="BD6" s="210">
        <v>15141.5</v>
      </c>
      <c r="BE6" s="210">
        <v>98765.18</v>
      </c>
      <c r="BF6" s="210">
        <v>40071.990000000005</v>
      </c>
      <c r="BG6" s="210">
        <v>30443.010000000002</v>
      </c>
      <c r="BH6" s="210">
        <v>0</v>
      </c>
      <c r="BI6" s="210">
        <v>85407.4</v>
      </c>
      <c r="BJ6" s="210">
        <v>47224.68</v>
      </c>
      <c r="BK6" s="210">
        <v>146323.21</v>
      </c>
      <c r="BL6" s="210">
        <v>33916.840000000004</v>
      </c>
      <c r="BM6" s="210">
        <v>0</v>
      </c>
      <c r="BN6" s="210">
        <v>586984.62</v>
      </c>
      <c r="BO6" s="210">
        <v>0</v>
      </c>
      <c r="BP6" s="210">
        <v>0</v>
      </c>
      <c r="BQ6" s="211">
        <v>-16057.19</v>
      </c>
      <c r="BR6" s="211">
        <v>0</v>
      </c>
      <c r="BS6" s="211">
        <v>-586984.62</v>
      </c>
      <c r="BT6" s="212">
        <v>0</v>
      </c>
      <c r="BU6" s="212">
        <v>643802.76</v>
      </c>
      <c r="BV6" s="212">
        <v>0</v>
      </c>
      <c r="BW6" s="212">
        <v>0</v>
      </c>
      <c r="BX6" s="212">
        <v>0</v>
      </c>
      <c r="BY6" s="212">
        <v>0</v>
      </c>
      <c r="BZ6" s="212">
        <v>0</v>
      </c>
      <c r="CA6" s="212">
        <v>28735</v>
      </c>
      <c r="CB6" s="212">
        <v>0</v>
      </c>
      <c r="CC6" s="224">
        <v>-1135397.3000000014</v>
      </c>
      <c r="CD6" s="213"/>
      <c r="CE6" s="211">
        <v>899174.22000000172</v>
      </c>
      <c r="CF6" s="211">
        <v>236223.08</v>
      </c>
      <c r="CG6" s="211">
        <v>0</v>
      </c>
      <c r="CH6" s="211">
        <v>-8.7311491370201111E-11</v>
      </c>
      <c r="CI6" s="211">
        <v>0</v>
      </c>
      <c r="CJ6" s="211">
        <v>0</v>
      </c>
      <c r="CK6" s="211">
        <v>1135397.3000000017</v>
      </c>
      <c r="CL6" s="201"/>
      <c r="CM6" s="201">
        <f t="shared" si="10"/>
        <v>0</v>
      </c>
      <c r="CN6" s="340">
        <f t="shared" si="2"/>
        <v>899174.22000000172</v>
      </c>
      <c r="CO6" s="340">
        <f t="shared" si="3"/>
        <v>236223.08</v>
      </c>
      <c r="CP6" s="340">
        <f t="shared" si="4"/>
        <v>0</v>
      </c>
      <c r="CQ6" s="340">
        <f t="shared" si="5"/>
        <v>-8.7311491370201111E-11</v>
      </c>
      <c r="CR6" s="340">
        <f t="shared" si="6"/>
        <v>0</v>
      </c>
      <c r="CS6" s="340">
        <f t="shared" si="7"/>
        <v>0</v>
      </c>
      <c r="CT6" s="90">
        <f t="shared" si="8"/>
        <v>1135397.3000000017</v>
      </c>
      <c r="CV6" s="90">
        <f t="shared" si="9"/>
        <v>0</v>
      </c>
    </row>
    <row r="7" spans="1:100">
      <c r="A7" s="322">
        <v>374</v>
      </c>
      <c r="B7" s="306" t="s">
        <v>717</v>
      </c>
      <c r="C7" s="209">
        <v>-526513.48000000464</v>
      </c>
      <c r="D7" s="209">
        <v>-83475.77</v>
      </c>
      <c r="E7" s="209">
        <v>0</v>
      </c>
      <c r="F7" s="209">
        <v>-13327.80000000001</v>
      </c>
      <c r="G7" s="209">
        <v>-270416.03999999998</v>
      </c>
      <c r="H7" s="209">
        <v>0</v>
      </c>
      <c r="I7" s="223">
        <v>-6211006.5899999999</v>
      </c>
      <c r="J7" s="223">
        <v>-569919.12</v>
      </c>
      <c r="K7" s="223">
        <v>-228559</v>
      </c>
      <c r="L7" s="223">
        <v>0</v>
      </c>
      <c r="M7" s="223">
        <v>-285267.09999999998</v>
      </c>
      <c r="N7" s="223">
        <v>-4800</v>
      </c>
      <c r="O7" s="223">
        <v>-17464.740000000002</v>
      </c>
      <c r="P7" s="223">
        <v>-114722.4</v>
      </c>
      <c r="Q7" s="223">
        <v>-20610.97</v>
      </c>
      <c r="R7" s="223">
        <v>0</v>
      </c>
      <c r="S7" s="223">
        <v>0</v>
      </c>
      <c r="T7" s="223">
        <v>0</v>
      </c>
      <c r="U7" s="223">
        <v>0</v>
      </c>
      <c r="V7" s="223">
        <v>-1548</v>
      </c>
      <c r="W7" s="223">
        <v>0</v>
      </c>
      <c r="X7" s="223">
        <v>0</v>
      </c>
      <c r="Y7" s="223">
        <v>0</v>
      </c>
      <c r="Z7" s="223">
        <v>0</v>
      </c>
      <c r="AA7" s="223">
        <v>0</v>
      </c>
      <c r="AB7" s="223">
        <v>-16064.63</v>
      </c>
      <c r="AC7" s="223">
        <v>0</v>
      </c>
      <c r="AD7" s="210">
        <v>4228129.1099999994</v>
      </c>
      <c r="AE7" s="210">
        <v>15473.77</v>
      </c>
      <c r="AF7" s="210">
        <v>980186.27000000014</v>
      </c>
      <c r="AG7" s="210">
        <v>260233.94</v>
      </c>
      <c r="AH7" s="210">
        <v>405384.35</v>
      </c>
      <c r="AI7" s="210">
        <v>0</v>
      </c>
      <c r="AJ7" s="210">
        <v>47344.87</v>
      </c>
      <c r="AK7" s="210">
        <v>31243.47</v>
      </c>
      <c r="AL7" s="210">
        <v>10555.220000000001</v>
      </c>
      <c r="AM7" s="210">
        <v>3034.2</v>
      </c>
      <c r="AN7" s="210">
        <v>0</v>
      </c>
      <c r="AO7" s="210">
        <v>93042.74</v>
      </c>
      <c r="AP7" s="210">
        <v>24952.44</v>
      </c>
      <c r="AQ7" s="210">
        <v>26372.400000000001</v>
      </c>
      <c r="AR7" s="210">
        <v>27158.5</v>
      </c>
      <c r="AS7" s="210">
        <v>256600.46000000002</v>
      </c>
      <c r="AT7" s="210">
        <v>135619.18</v>
      </c>
      <c r="AU7" s="210">
        <v>29056.35</v>
      </c>
      <c r="AV7" s="210">
        <v>175893.36</v>
      </c>
      <c r="AW7" s="405">
        <v>0</v>
      </c>
      <c r="AX7" s="210">
        <v>12802.07</v>
      </c>
      <c r="AY7" s="210">
        <v>4506.8100000000004</v>
      </c>
      <c r="AZ7" s="210">
        <v>30074.44</v>
      </c>
      <c r="BA7" s="210">
        <v>11872.12</v>
      </c>
      <c r="BB7" s="210">
        <v>49900.3</v>
      </c>
      <c r="BC7" s="210">
        <v>13635.47</v>
      </c>
      <c r="BD7" s="210">
        <v>3459</v>
      </c>
      <c r="BE7" s="210">
        <v>120679.03999999999</v>
      </c>
      <c r="BF7" s="210">
        <v>30197.39</v>
      </c>
      <c r="BG7" s="210">
        <v>36036</v>
      </c>
      <c r="BH7" s="210">
        <v>0</v>
      </c>
      <c r="BI7" s="210">
        <v>75770.06</v>
      </c>
      <c r="BJ7" s="210">
        <v>185682.96</v>
      </c>
      <c r="BK7" s="210">
        <v>99382.24</v>
      </c>
      <c r="BL7" s="210">
        <v>47067.420000000006</v>
      </c>
      <c r="BM7" s="210">
        <v>0</v>
      </c>
      <c r="BN7" s="210">
        <v>60000</v>
      </c>
      <c r="BO7" s="210">
        <v>0</v>
      </c>
      <c r="BP7" s="210">
        <v>0</v>
      </c>
      <c r="BQ7" s="211">
        <v>-19705</v>
      </c>
      <c r="BR7" s="211">
        <v>37000</v>
      </c>
      <c r="BS7" s="211">
        <v>-60000</v>
      </c>
      <c r="BT7" s="212">
        <v>0</v>
      </c>
      <c r="BU7" s="212">
        <v>116122.29</v>
      </c>
      <c r="BV7" s="212">
        <v>0</v>
      </c>
      <c r="BW7" s="212">
        <v>0</v>
      </c>
      <c r="BX7" s="212">
        <v>7485.51</v>
      </c>
      <c r="BY7" s="212">
        <v>0</v>
      </c>
      <c r="BZ7" s="212">
        <v>0</v>
      </c>
      <c r="CA7" s="212">
        <v>0</v>
      </c>
      <c r="CB7" s="212">
        <v>0</v>
      </c>
      <c r="CC7" s="224">
        <v>-751446.89000000374</v>
      </c>
      <c r="CD7" s="213"/>
      <c r="CE7" s="211">
        <v>520342.0800000052</v>
      </c>
      <c r="CF7" s="211">
        <v>28263.77</v>
      </c>
      <c r="CG7" s="211">
        <v>0</v>
      </c>
      <c r="CH7" s="211">
        <v>33032.799999999988</v>
      </c>
      <c r="CI7" s="211">
        <v>169808.24</v>
      </c>
      <c r="CJ7" s="211">
        <v>0</v>
      </c>
      <c r="CK7" s="211">
        <v>751446.89000000525</v>
      </c>
      <c r="CL7" s="201"/>
      <c r="CM7" s="201">
        <f t="shared" si="10"/>
        <v>1.5133991837501526E-9</v>
      </c>
      <c r="CN7" s="340">
        <f t="shared" si="2"/>
        <v>520342.0800000052</v>
      </c>
      <c r="CO7" s="340">
        <f t="shared" si="3"/>
        <v>28263.77</v>
      </c>
      <c r="CP7" s="340">
        <f t="shared" si="4"/>
        <v>0</v>
      </c>
      <c r="CQ7" s="340">
        <f t="shared" si="5"/>
        <v>33032.799999999988</v>
      </c>
      <c r="CR7" s="340">
        <f t="shared" si="6"/>
        <v>169808.24</v>
      </c>
      <c r="CS7" s="340">
        <f t="shared" si="7"/>
        <v>0</v>
      </c>
      <c r="CT7" s="90">
        <f t="shared" si="8"/>
        <v>751446.89000000525</v>
      </c>
      <c r="CV7" s="90">
        <f t="shared" si="9"/>
        <v>0</v>
      </c>
    </row>
    <row r="8" spans="1:100">
      <c r="A8" s="322">
        <v>532</v>
      </c>
      <c r="B8" s="306" t="s">
        <v>718</v>
      </c>
      <c r="C8" s="209">
        <v>-2882.5899999997346</v>
      </c>
      <c r="D8" s="209">
        <v>0</v>
      </c>
      <c r="E8" s="209">
        <v>0</v>
      </c>
      <c r="F8" s="209">
        <v>4324.9999999999982</v>
      </c>
      <c r="G8" s="209">
        <v>0</v>
      </c>
      <c r="H8" s="209">
        <v>0</v>
      </c>
      <c r="I8" s="223">
        <v>-528367.07000000007</v>
      </c>
      <c r="J8" s="223">
        <v>0</v>
      </c>
      <c r="K8" s="223">
        <v>-5367</v>
      </c>
      <c r="L8" s="223">
        <v>0</v>
      </c>
      <c r="M8" s="223">
        <v>-23710.54</v>
      </c>
      <c r="N8" s="223">
        <v>0</v>
      </c>
      <c r="O8" s="223">
        <v>-18771.349999999999</v>
      </c>
      <c r="P8" s="223">
        <v>0</v>
      </c>
      <c r="Q8" s="223">
        <v>-22743.980000000003</v>
      </c>
      <c r="R8" s="223">
        <v>-309.01</v>
      </c>
      <c r="S8" s="223">
        <v>0</v>
      </c>
      <c r="T8" s="223">
        <v>0</v>
      </c>
      <c r="U8" s="223">
        <v>-9612.48</v>
      </c>
      <c r="V8" s="223">
        <v>-3198.57</v>
      </c>
      <c r="W8" s="223">
        <v>0</v>
      </c>
      <c r="X8" s="223">
        <v>-14318.47</v>
      </c>
      <c r="Y8" s="223">
        <v>-8788.33</v>
      </c>
      <c r="Z8" s="223">
        <v>0</v>
      </c>
      <c r="AA8" s="223">
        <v>0</v>
      </c>
      <c r="AB8" s="223">
        <v>-31.879999999999995</v>
      </c>
      <c r="AC8" s="223">
        <v>-31278</v>
      </c>
      <c r="AD8" s="210">
        <v>310399.13</v>
      </c>
      <c r="AE8" s="210">
        <v>295.41999999999996</v>
      </c>
      <c r="AF8" s="210">
        <v>81024.76999999999</v>
      </c>
      <c r="AG8" s="210">
        <v>0</v>
      </c>
      <c r="AH8" s="210">
        <v>39921.82</v>
      </c>
      <c r="AI8" s="210">
        <v>0</v>
      </c>
      <c r="AJ8" s="210">
        <v>16393.02</v>
      </c>
      <c r="AK8" s="210">
        <v>154.5</v>
      </c>
      <c r="AL8" s="210">
        <v>5171.07</v>
      </c>
      <c r="AM8" s="210">
        <v>4219.49</v>
      </c>
      <c r="AN8" s="210">
        <v>0</v>
      </c>
      <c r="AO8" s="210">
        <v>8420.01</v>
      </c>
      <c r="AP8" s="210">
        <v>5130</v>
      </c>
      <c r="AQ8" s="210">
        <v>19236.09</v>
      </c>
      <c r="AR8" s="210">
        <v>1624.99</v>
      </c>
      <c r="AS8" s="210">
        <v>14969.500000000002</v>
      </c>
      <c r="AT8" s="210">
        <v>1844.85</v>
      </c>
      <c r="AU8" s="210">
        <v>2300.58</v>
      </c>
      <c r="AV8" s="210">
        <v>48358.58</v>
      </c>
      <c r="AW8" s="405">
        <v>0</v>
      </c>
      <c r="AX8" s="210">
        <v>1949</v>
      </c>
      <c r="AY8" s="210">
        <v>0</v>
      </c>
      <c r="AZ8" s="210">
        <v>0</v>
      </c>
      <c r="BA8" s="210">
        <v>0</v>
      </c>
      <c r="BB8" s="210">
        <v>0</v>
      </c>
      <c r="BC8" s="210">
        <v>0</v>
      </c>
      <c r="BD8" s="210">
        <v>2528.6</v>
      </c>
      <c r="BE8" s="210">
        <v>0</v>
      </c>
      <c r="BF8" s="210">
        <v>5709.38</v>
      </c>
      <c r="BG8" s="210">
        <v>3876.8599999999997</v>
      </c>
      <c r="BH8" s="210">
        <v>0</v>
      </c>
      <c r="BI8" s="210">
        <v>25122.27</v>
      </c>
      <c r="BJ8" s="210">
        <v>17883.3</v>
      </c>
      <c r="BK8" s="210">
        <v>17801.330000000002</v>
      </c>
      <c r="BL8" s="210">
        <v>28655.559999999994</v>
      </c>
      <c r="BM8" s="210">
        <v>0</v>
      </c>
      <c r="BN8" s="210">
        <v>0</v>
      </c>
      <c r="BO8" s="210">
        <v>22097</v>
      </c>
      <c r="BP8" s="210">
        <v>1009.8</v>
      </c>
      <c r="BQ8" s="211">
        <v>-4821.25</v>
      </c>
      <c r="BR8" s="211">
        <v>0</v>
      </c>
      <c r="BS8" s="211">
        <v>0</v>
      </c>
      <c r="BT8" s="212">
        <v>0</v>
      </c>
      <c r="BU8" s="212">
        <v>496.25</v>
      </c>
      <c r="BV8" s="212">
        <v>0</v>
      </c>
      <c r="BW8" s="212">
        <v>0</v>
      </c>
      <c r="BX8" s="212">
        <v>0</v>
      </c>
      <c r="BY8" s="212">
        <v>0</v>
      </c>
      <c r="BZ8" s="212">
        <v>0</v>
      </c>
      <c r="CA8" s="212">
        <v>0</v>
      </c>
      <c r="CB8" s="212">
        <v>0</v>
      </c>
      <c r="CC8" s="224">
        <v>16717.650000000278</v>
      </c>
      <c r="CD8" s="213"/>
      <c r="CE8" s="211">
        <v>-16717.650000000023</v>
      </c>
      <c r="CF8" s="211">
        <v>0</v>
      </c>
      <c r="CG8" s="211">
        <v>0</v>
      </c>
      <c r="CH8" s="211">
        <v>1.8189894035458565E-12</v>
      </c>
      <c r="CI8" s="211">
        <v>0</v>
      </c>
      <c r="CJ8" s="211">
        <v>0</v>
      </c>
      <c r="CK8" s="211">
        <v>-16717.650000000023</v>
      </c>
      <c r="CL8" s="201"/>
      <c r="CM8" s="201">
        <f t="shared" si="10"/>
        <v>2.5465851649641991E-10</v>
      </c>
      <c r="CN8" s="340">
        <f t="shared" si="2"/>
        <v>-16717.650000000023</v>
      </c>
      <c r="CO8" s="340">
        <f t="shared" si="3"/>
        <v>0</v>
      </c>
      <c r="CP8" s="340">
        <f t="shared" si="4"/>
        <v>0</v>
      </c>
      <c r="CQ8" s="340">
        <f t="shared" si="5"/>
        <v>1.8189894035458565E-12</v>
      </c>
      <c r="CR8" s="340">
        <f t="shared" si="6"/>
        <v>0</v>
      </c>
      <c r="CS8" s="340">
        <f t="shared" si="7"/>
        <v>0</v>
      </c>
      <c r="CT8" s="90">
        <f t="shared" si="8"/>
        <v>-16717.650000000023</v>
      </c>
      <c r="CV8" s="90">
        <f t="shared" si="9"/>
        <v>0</v>
      </c>
    </row>
    <row r="9" spans="1:100">
      <c r="A9" s="322">
        <v>554</v>
      </c>
      <c r="B9" s="306" t="s">
        <v>719</v>
      </c>
      <c r="C9" s="209">
        <v>-115981.95999999903</v>
      </c>
      <c r="D9" s="209">
        <v>0</v>
      </c>
      <c r="E9" s="209">
        <v>0</v>
      </c>
      <c r="F9" s="209">
        <v>-15165.470000000008</v>
      </c>
      <c r="G9" s="209">
        <v>0</v>
      </c>
      <c r="H9" s="209">
        <v>0</v>
      </c>
      <c r="I9" s="223">
        <v>-1815725.61</v>
      </c>
      <c r="J9" s="223">
        <v>0</v>
      </c>
      <c r="K9" s="223">
        <v>-174779</v>
      </c>
      <c r="L9" s="223">
        <v>0</v>
      </c>
      <c r="M9" s="223">
        <v>-95470.51</v>
      </c>
      <c r="N9" s="223">
        <v>-1713.8599999999997</v>
      </c>
      <c r="O9" s="223">
        <v>-14020</v>
      </c>
      <c r="P9" s="223">
        <v>-3000</v>
      </c>
      <c r="Q9" s="223">
        <v>-111861.1</v>
      </c>
      <c r="R9" s="223">
        <v>0</v>
      </c>
      <c r="S9" s="223">
        <v>0</v>
      </c>
      <c r="T9" s="223">
        <v>0</v>
      </c>
      <c r="U9" s="223">
        <v>-27840.01</v>
      </c>
      <c r="V9" s="223">
        <v>-6142.95</v>
      </c>
      <c r="W9" s="223">
        <v>0</v>
      </c>
      <c r="X9" s="223">
        <v>0</v>
      </c>
      <c r="Y9" s="223">
        <v>0</v>
      </c>
      <c r="Z9" s="223">
        <v>0</v>
      </c>
      <c r="AA9" s="223">
        <v>0</v>
      </c>
      <c r="AB9" s="223">
        <v>-1377.63</v>
      </c>
      <c r="AC9" s="223">
        <v>-62208</v>
      </c>
      <c r="AD9" s="210">
        <v>1087038.43</v>
      </c>
      <c r="AE9" s="210">
        <v>16164.32</v>
      </c>
      <c r="AF9" s="210">
        <v>600989.47</v>
      </c>
      <c r="AG9" s="210">
        <v>48805.02</v>
      </c>
      <c r="AH9" s="210">
        <v>105220.5</v>
      </c>
      <c r="AI9" s="210">
        <v>0</v>
      </c>
      <c r="AJ9" s="210">
        <v>156576.4</v>
      </c>
      <c r="AK9" s="210">
        <v>11620.16</v>
      </c>
      <c r="AL9" s="210">
        <v>5352.55</v>
      </c>
      <c r="AM9" s="210">
        <v>1113.25</v>
      </c>
      <c r="AN9" s="210">
        <v>0</v>
      </c>
      <c r="AO9" s="210">
        <v>14987</v>
      </c>
      <c r="AP9" s="210">
        <v>3520.5</v>
      </c>
      <c r="AQ9" s="210">
        <v>2734.58</v>
      </c>
      <c r="AR9" s="210">
        <v>2737.76</v>
      </c>
      <c r="AS9" s="210">
        <v>36363.97</v>
      </c>
      <c r="AT9" s="210">
        <v>26569</v>
      </c>
      <c r="AU9" s="210">
        <v>5340.07</v>
      </c>
      <c r="AV9" s="210">
        <v>85682.31</v>
      </c>
      <c r="AW9" s="405">
        <v>0</v>
      </c>
      <c r="AX9" s="210">
        <v>3500</v>
      </c>
      <c r="AY9" s="210">
        <v>0</v>
      </c>
      <c r="AZ9" s="210">
        <v>72.08</v>
      </c>
      <c r="BA9" s="210">
        <v>3856.99</v>
      </c>
      <c r="BB9" s="210">
        <v>0</v>
      </c>
      <c r="BC9" s="210">
        <v>69.989999999999995</v>
      </c>
      <c r="BD9" s="210">
        <v>6680</v>
      </c>
      <c r="BE9" s="210">
        <v>0</v>
      </c>
      <c r="BF9" s="210">
        <v>2320.42</v>
      </c>
      <c r="BG9" s="210">
        <v>16640.349999999999</v>
      </c>
      <c r="BH9" s="210">
        <v>0</v>
      </c>
      <c r="BI9" s="210">
        <v>60572.399999999994</v>
      </c>
      <c r="BJ9" s="210">
        <v>14682</v>
      </c>
      <c r="BK9" s="210">
        <v>18812.55</v>
      </c>
      <c r="BL9" s="210">
        <v>20208.77</v>
      </c>
      <c r="BM9" s="210">
        <v>0</v>
      </c>
      <c r="BN9" s="210">
        <v>0</v>
      </c>
      <c r="BO9" s="210">
        <v>0</v>
      </c>
      <c r="BP9" s="210">
        <v>0</v>
      </c>
      <c r="BQ9" s="211">
        <v>-8252.5</v>
      </c>
      <c r="BR9" s="211">
        <v>0</v>
      </c>
      <c r="BS9" s="211">
        <v>0</v>
      </c>
      <c r="BT9" s="212">
        <v>0</v>
      </c>
      <c r="BU9" s="212">
        <v>21600.75</v>
      </c>
      <c r="BV9" s="212">
        <v>0</v>
      </c>
      <c r="BW9" s="212">
        <v>0</v>
      </c>
      <c r="BX9" s="212">
        <v>0</v>
      </c>
      <c r="BY9" s="212">
        <v>0</v>
      </c>
      <c r="BZ9" s="212">
        <v>0</v>
      </c>
      <c r="CA9" s="212">
        <v>435</v>
      </c>
      <c r="CB9" s="212">
        <v>0</v>
      </c>
      <c r="CC9" s="224">
        <v>-73272.009999998671</v>
      </c>
      <c r="CD9" s="213"/>
      <c r="CE9" s="211">
        <v>61968.539999999106</v>
      </c>
      <c r="CF9" s="211">
        <v>9921.25</v>
      </c>
      <c r="CG9" s="211">
        <v>0</v>
      </c>
      <c r="CH9" s="211">
        <v>1382.2200000000084</v>
      </c>
      <c r="CI9" s="211">
        <v>0</v>
      </c>
      <c r="CJ9" s="211">
        <v>0</v>
      </c>
      <c r="CK9" s="211">
        <v>73272.009999999107</v>
      </c>
      <c r="CL9" s="201"/>
      <c r="CM9" s="201">
        <f t="shared" si="10"/>
        <v>4.3655745685100555E-10</v>
      </c>
      <c r="CN9" s="340">
        <f t="shared" si="2"/>
        <v>61968.539999999106</v>
      </c>
      <c r="CO9" s="340">
        <f t="shared" si="3"/>
        <v>9921.25</v>
      </c>
      <c r="CP9" s="340">
        <f t="shared" si="4"/>
        <v>0</v>
      </c>
      <c r="CQ9" s="340">
        <f t="shared" si="5"/>
        <v>1382.2200000000084</v>
      </c>
      <c r="CR9" s="340">
        <f t="shared" si="6"/>
        <v>0</v>
      </c>
      <c r="CS9" s="340">
        <f t="shared" si="7"/>
        <v>0</v>
      </c>
      <c r="CT9" s="90">
        <f t="shared" si="8"/>
        <v>73272.009999999107</v>
      </c>
      <c r="CV9" s="90">
        <f t="shared" si="9"/>
        <v>0</v>
      </c>
    </row>
    <row r="10" spans="1:100">
      <c r="A10" s="322">
        <v>591</v>
      </c>
      <c r="B10" s="306" t="s">
        <v>720</v>
      </c>
      <c r="C10" s="209">
        <v>-83145.289999998335</v>
      </c>
      <c r="D10" s="209">
        <v>-16010.17</v>
      </c>
      <c r="E10" s="209">
        <v>0</v>
      </c>
      <c r="F10" s="209">
        <v>0</v>
      </c>
      <c r="G10" s="209">
        <v>0</v>
      </c>
      <c r="H10" s="209">
        <v>0</v>
      </c>
      <c r="I10" s="223">
        <v>-1045648.51</v>
      </c>
      <c r="J10" s="223">
        <v>0</v>
      </c>
      <c r="K10" s="223">
        <v>-11809</v>
      </c>
      <c r="L10" s="223">
        <v>0</v>
      </c>
      <c r="M10" s="223">
        <v>-23190</v>
      </c>
      <c r="N10" s="223">
        <v>0</v>
      </c>
      <c r="O10" s="223">
        <v>-6146.48</v>
      </c>
      <c r="P10" s="223">
        <v>-2067.5</v>
      </c>
      <c r="Q10" s="223">
        <v>-3109.2000000000003</v>
      </c>
      <c r="R10" s="223">
        <v>382.63</v>
      </c>
      <c r="S10" s="223">
        <v>0</v>
      </c>
      <c r="T10" s="223">
        <v>0</v>
      </c>
      <c r="U10" s="223">
        <v>-21905.66</v>
      </c>
      <c r="V10" s="223">
        <v>-10769.78</v>
      </c>
      <c r="W10" s="223">
        <v>0</v>
      </c>
      <c r="X10" s="223">
        <v>0</v>
      </c>
      <c r="Y10" s="223">
        <v>0</v>
      </c>
      <c r="Z10" s="223">
        <v>0</v>
      </c>
      <c r="AA10" s="223">
        <v>0</v>
      </c>
      <c r="AB10" s="223">
        <v>-106.25</v>
      </c>
      <c r="AC10" s="223">
        <v>-52099</v>
      </c>
      <c r="AD10" s="210">
        <v>632299.27</v>
      </c>
      <c r="AE10" s="210">
        <v>27672.489999999998</v>
      </c>
      <c r="AF10" s="210">
        <v>151158.61000000002</v>
      </c>
      <c r="AG10" s="210">
        <v>40844.749999999993</v>
      </c>
      <c r="AH10" s="210">
        <v>68242.05</v>
      </c>
      <c r="AI10" s="210">
        <v>0</v>
      </c>
      <c r="AJ10" s="210">
        <v>23199.390000000003</v>
      </c>
      <c r="AK10" s="210">
        <v>739.61999999999989</v>
      </c>
      <c r="AL10" s="210">
        <v>6920</v>
      </c>
      <c r="AM10" s="210">
        <v>634.4</v>
      </c>
      <c r="AN10" s="210">
        <v>0</v>
      </c>
      <c r="AO10" s="210">
        <v>5674.17</v>
      </c>
      <c r="AP10" s="210">
        <v>7830.21</v>
      </c>
      <c r="AQ10" s="210">
        <v>2773.58</v>
      </c>
      <c r="AR10" s="210">
        <v>3616.14</v>
      </c>
      <c r="AS10" s="210">
        <v>13707.529999999999</v>
      </c>
      <c r="AT10" s="210">
        <v>3755.5</v>
      </c>
      <c r="AU10" s="210">
        <v>3521.1800000000003</v>
      </c>
      <c r="AV10" s="210">
        <v>87440.44</v>
      </c>
      <c r="AW10" s="405">
        <v>0</v>
      </c>
      <c r="AX10" s="210">
        <v>4287.38</v>
      </c>
      <c r="AY10" s="210">
        <v>0</v>
      </c>
      <c r="AZ10" s="210">
        <v>199.9</v>
      </c>
      <c r="BA10" s="210">
        <v>3025.75</v>
      </c>
      <c r="BB10" s="210">
        <v>6006</v>
      </c>
      <c r="BC10" s="210">
        <v>192.95</v>
      </c>
      <c r="BD10" s="210">
        <v>4568.32</v>
      </c>
      <c r="BE10" s="210">
        <v>0</v>
      </c>
      <c r="BF10" s="210">
        <v>8338.6299999999992</v>
      </c>
      <c r="BG10" s="210">
        <v>10863.57</v>
      </c>
      <c r="BH10" s="210">
        <v>0</v>
      </c>
      <c r="BI10" s="210">
        <v>39945.360000000001</v>
      </c>
      <c r="BJ10" s="210">
        <v>0</v>
      </c>
      <c r="BK10" s="210">
        <v>20106</v>
      </c>
      <c r="BL10" s="210">
        <v>29347.370000000003</v>
      </c>
      <c r="BM10" s="210">
        <v>0</v>
      </c>
      <c r="BN10" s="210">
        <v>-1633.64</v>
      </c>
      <c r="BO10" s="210">
        <v>0</v>
      </c>
      <c r="BP10" s="210">
        <v>0</v>
      </c>
      <c r="BQ10" s="211">
        <v>0</v>
      </c>
      <c r="BR10" s="211">
        <v>0</v>
      </c>
      <c r="BS10" s="211">
        <v>2128.64</v>
      </c>
      <c r="BT10" s="212">
        <v>0</v>
      </c>
      <c r="BU10" s="212">
        <v>-2128.64</v>
      </c>
      <c r="BV10" s="212">
        <v>0</v>
      </c>
      <c r="BW10" s="212">
        <v>0</v>
      </c>
      <c r="BX10" s="212">
        <v>0</v>
      </c>
      <c r="BY10" s="212">
        <v>0</v>
      </c>
      <c r="BZ10" s="212">
        <v>0</v>
      </c>
      <c r="CA10" s="212">
        <v>0</v>
      </c>
      <c r="CB10" s="212">
        <v>0</v>
      </c>
      <c r="CC10" s="224">
        <v>-70347.289999998218</v>
      </c>
      <c r="CD10" s="213"/>
      <c r="CE10" s="211">
        <v>54721.65999999841</v>
      </c>
      <c r="CF10" s="211">
        <v>15625.629999999997</v>
      </c>
      <c r="CG10" s="211">
        <v>0</v>
      </c>
      <c r="CH10" s="211">
        <v>0</v>
      </c>
      <c r="CI10" s="211">
        <v>0</v>
      </c>
      <c r="CJ10" s="211">
        <v>0</v>
      </c>
      <c r="CK10" s="211">
        <v>70347.289999998407</v>
      </c>
      <c r="CL10" s="201"/>
      <c r="CM10" s="201">
        <f t="shared" si="10"/>
        <v>1.8917489796876907E-10</v>
      </c>
      <c r="CN10" s="340">
        <f t="shared" si="2"/>
        <v>54721.65999999841</v>
      </c>
      <c r="CO10" s="340">
        <f t="shared" si="3"/>
        <v>15625.629999999997</v>
      </c>
      <c r="CP10" s="340">
        <f t="shared" si="4"/>
        <v>0</v>
      </c>
      <c r="CQ10" s="340">
        <f t="shared" si="5"/>
        <v>0</v>
      </c>
      <c r="CR10" s="340">
        <f t="shared" si="6"/>
        <v>0</v>
      </c>
      <c r="CS10" s="340">
        <f t="shared" si="7"/>
        <v>0</v>
      </c>
      <c r="CT10" s="90">
        <f t="shared" si="8"/>
        <v>70347.289999998407</v>
      </c>
      <c r="CV10" s="90">
        <f t="shared" si="9"/>
        <v>0</v>
      </c>
    </row>
    <row r="11" spans="1:100">
      <c r="A11" s="322">
        <v>604</v>
      </c>
      <c r="B11" s="306" t="s">
        <v>721</v>
      </c>
      <c r="C11" s="209">
        <v>-323827.87999999872</v>
      </c>
      <c r="D11" s="209">
        <v>-9124.74</v>
      </c>
      <c r="E11" s="209">
        <v>0</v>
      </c>
      <c r="F11" s="209">
        <v>0</v>
      </c>
      <c r="G11" s="209">
        <v>-1.1368683772161603E-13</v>
      </c>
      <c r="H11" s="209">
        <v>0</v>
      </c>
      <c r="I11" s="223">
        <v>-2051489.79</v>
      </c>
      <c r="J11" s="223">
        <v>0</v>
      </c>
      <c r="K11" s="223">
        <v>-145444</v>
      </c>
      <c r="L11" s="223">
        <v>0</v>
      </c>
      <c r="M11" s="223">
        <v>-50240</v>
      </c>
      <c r="N11" s="223">
        <v>0</v>
      </c>
      <c r="O11" s="223">
        <v>-16258.890000000001</v>
      </c>
      <c r="P11" s="223">
        <v>-1983</v>
      </c>
      <c r="Q11" s="223">
        <v>-13133.06</v>
      </c>
      <c r="R11" s="223">
        <v>0</v>
      </c>
      <c r="S11" s="223">
        <v>0</v>
      </c>
      <c r="T11" s="223">
        <v>0</v>
      </c>
      <c r="U11" s="223">
        <v>-54514.14</v>
      </c>
      <c r="V11" s="223">
        <v>-50528.72</v>
      </c>
      <c r="W11" s="223">
        <v>0</v>
      </c>
      <c r="X11" s="223">
        <v>0</v>
      </c>
      <c r="Y11" s="223">
        <v>0</v>
      </c>
      <c r="Z11" s="223">
        <v>0</v>
      </c>
      <c r="AA11" s="223">
        <v>0</v>
      </c>
      <c r="AB11" s="223">
        <v>-73.13</v>
      </c>
      <c r="AC11" s="223">
        <v>-85815</v>
      </c>
      <c r="AD11" s="210">
        <v>1172058.58</v>
      </c>
      <c r="AE11" s="210">
        <v>17324.54</v>
      </c>
      <c r="AF11" s="210">
        <v>530994.4</v>
      </c>
      <c r="AG11" s="210">
        <v>88187.579999999987</v>
      </c>
      <c r="AH11" s="210">
        <v>109812.92</v>
      </c>
      <c r="AI11" s="210">
        <v>0</v>
      </c>
      <c r="AJ11" s="210">
        <v>69055.83</v>
      </c>
      <c r="AK11" s="210">
        <v>884.94</v>
      </c>
      <c r="AL11" s="210">
        <v>8394.2199999999993</v>
      </c>
      <c r="AM11" s="210">
        <v>7034.55</v>
      </c>
      <c r="AN11" s="210">
        <v>0</v>
      </c>
      <c r="AO11" s="210">
        <v>23874.210000000003</v>
      </c>
      <c r="AP11" s="210">
        <v>20571.04</v>
      </c>
      <c r="AQ11" s="210">
        <v>8448.86</v>
      </c>
      <c r="AR11" s="210">
        <v>3448.6</v>
      </c>
      <c r="AS11" s="210">
        <v>38115.770000000004</v>
      </c>
      <c r="AT11" s="210">
        <v>8385.7900000000009</v>
      </c>
      <c r="AU11" s="210">
        <v>5996.75</v>
      </c>
      <c r="AV11" s="210">
        <v>111128.16</v>
      </c>
      <c r="AW11" s="405">
        <v>0</v>
      </c>
      <c r="AX11" s="210">
        <v>8354.3700000000008</v>
      </c>
      <c r="AY11" s="210">
        <v>0</v>
      </c>
      <c r="AZ11" s="210">
        <v>2428.77</v>
      </c>
      <c r="BA11" s="210">
        <v>7030.85</v>
      </c>
      <c r="BB11" s="210">
        <v>0</v>
      </c>
      <c r="BC11" s="210">
        <v>1617.57</v>
      </c>
      <c r="BD11" s="210">
        <v>2030.13</v>
      </c>
      <c r="BE11" s="210">
        <v>0</v>
      </c>
      <c r="BF11" s="210">
        <v>11841.050000000001</v>
      </c>
      <c r="BG11" s="210">
        <v>22056.19</v>
      </c>
      <c r="BH11" s="210">
        <v>0</v>
      </c>
      <c r="BI11" s="210">
        <v>80827.520000000004</v>
      </c>
      <c r="BJ11" s="210">
        <v>0</v>
      </c>
      <c r="BK11" s="210">
        <v>9142.5</v>
      </c>
      <c r="BL11" s="210">
        <v>33905.71</v>
      </c>
      <c r="BM11" s="210">
        <v>0</v>
      </c>
      <c r="BN11" s="210">
        <v>0</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4">
        <v>-399480.94999999914</v>
      </c>
      <c r="CD11" s="213"/>
      <c r="CE11" s="211">
        <v>383719.37999999832</v>
      </c>
      <c r="CF11" s="211">
        <v>15761.57</v>
      </c>
      <c r="CG11" s="211">
        <v>0</v>
      </c>
      <c r="CH11" s="211">
        <v>1.1368683772161603E-13</v>
      </c>
      <c r="CI11" s="211">
        <v>0</v>
      </c>
      <c r="CJ11" s="211">
        <v>0</v>
      </c>
      <c r="CK11" s="211">
        <v>399480.94999999832</v>
      </c>
      <c r="CL11" s="201"/>
      <c r="CM11" s="201">
        <f t="shared" si="10"/>
        <v>-8.149072527885437E-10</v>
      </c>
      <c r="CN11" s="340">
        <f t="shared" si="2"/>
        <v>383719.37999999832</v>
      </c>
      <c r="CO11" s="340">
        <f t="shared" si="3"/>
        <v>15761.57</v>
      </c>
      <c r="CP11" s="340">
        <f t="shared" si="4"/>
        <v>0</v>
      </c>
      <c r="CQ11" s="340">
        <f t="shared" si="5"/>
        <v>1.1368683772161603E-13</v>
      </c>
      <c r="CR11" s="340">
        <f t="shared" si="6"/>
        <v>0</v>
      </c>
      <c r="CS11" s="340">
        <f t="shared" si="7"/>
        <v>0</v>
      </c>
      <c r="CT11" s="90">
        <f t="shared" si="8"/>
        <v>399480.94999999832</v>
      </c>
      <c r="CV11" s="90">
        <f t="shared" si="9"/>
        <v>0</v>
      </c>
    </row>
    <row r="12" spans="1:100">
      <c r="A12" s="322">
        <v>612</v>
      </c>
      <c r="B12" s="306" t="s">
        <v>722</v>
      </c>
      <c r="C12" s="209">
        <v>46070.209999999672</v>
      </c>
      <c r="D12" s="209">
        <v>-8383.8100000000013</v>
      </c>
      <c r="E12" s="209">
        <v>0</v>
      </c>
      <c r="F12" s="209">
        <v>-9310.17</v>
      </c>
      <c r="G12" s="209">
        <v>0</v>
      </c>
      <c r="H12" s="209">
        <v>0</v>
      </c>
      <c r="I12" s="223">
        <v>-1194682.8899999999</v>
      </c>
      <c r="J12" s="223">
        <v>0</v>
      </c>
      <c r="K12" s="223">
        <v>-136300</v>
      </c>
      <c r="L12" s="223">
        <v>0</v>
      </c>
      <c r="M12" s="223">
        <v>-36640</v>
      </c>
      <c r="N12" s="223">
        <v>0</v>
      </c>
      <c r="O12" s="223">
        <v>-18199.72</v>
      </c>
      <c r="P12" s="223">
        <v>0</v>
      </c>
      <c r="Q12" s="223">
        <v>-116972.86</v>
      </c>
      <c r="R12" s="223">
        <v>0</v>
      </c>
      <c r="S12" s="223">
        <v>-320</v>
      </c>
      <c r="T12" s="223">
        <v>-270</v>
      </c>
      <c r="U12" s="223">
        <v>-11215.13</v>
      </c>
      <c r="V12" s="223">
        <v>-5364.06</v>
      </c>
      <c r="W12" s="223">
        <v>0</v>
      </c>
      <c r="X12" s="223">
        <v>0</v>
      </c>
      <c r="Y12" s="223">
        <v>0</v>
      </c>
      <c r="Z12" s="223">
        <v>0</v>
      </c>
      <c r="AA12" s="223">
        <v>0</v>
      </c>
      <c r="AB12" s="223">
        <v>-49.380000000000109</v>
      </c>
      <c r="AC12" s="223">
        <v>-18382</v>
      </c>
      <c r="AD12" s="210">
        <v>795231.51000000013</v>
      </c>
      <c r="AE12" s="210">
        <v>15362.759999999998</v>
      </c>
      <c r="AF12" s="210">
        <v>227423.36000000004</v>
      </c>
      <c r="AG12" s="210">
        <v>24188.32</v>
      </c>
      <c r="AH12" s="210">
        <v>87956.08</v>
      </c>
      <c r="AI12" s="210">
        <v>0</v>
      </c>
      <c r="AJ12" s="210">
        <v>58643.06</v>
      </c>
      <c r="AK12" s="210">
        <v>5403.97</v>
      </c>
      <c r="AL12" s="210">
        <v>6374.2000000000007</v>
      </c>
      <c r="AM12" s="210">
        <v>8830.2000000000007</v>
      </c>
      <c r="AN12" s="210">
        <v>0</v>
      </c>
      <c r="AO12" s="210">
        <v>12397.69</v>
      </c>
      <c r="AP12" s="210">
        <v>3530.73</v>
      </c>
      <c r="AQ12" s="210">
        <v>26331.29</v>
      </c>
      <c r="AR12" s="210">
        <v>4944.28</v>
      </c>
      <c r="AS12" s="210">
        <v>39490.199999999997</v>
      </c>
      <c r="AT12" s="210">
        <v>20769.89</v>
      </c>
      <c r="AU12" s="210">
        <v>4659.45</v>
      </c>
      <c r="AV12" s="210">
        <v>50284.159999999996</v>
      </c>
      <c r="AW12" s="405">
        <v>0</v>
      </c>
      <c r="AX12" s="210">
        <v>1412.34</v>
      </c>
      <c r="AY12" s="210">
        <v>0</v>
      </c>
      <c r="AZ12" s="210">
        <v>1143.74</v>
      </c>
      <c r="BA12" s="210">
        <v>795.4</v>
      </c>
      <c r="BB12" s="210">
        <v>2159.59</v>
      </c>
      <c r="BC12" s="210">
        <v>0</v>
      </c>
      <c r="BD12" s="210">
        <v>5593.2</v>
      </c>
      <c r="BE12" s="210">
        <v>0</v>
      </c>
      <c r="BF12" s="210">
        <v>8053.869999999999</v>
      </c>
      <c r="BG12" s="210">
        <v>12509.45</v>
      </c>
      <c r="BH12" s="210">
        <v>0</v>
      </c>
      <c r="BI12" s="210">
        <v>8580.35</v>
      </c>
      <c r="BJ12" s="210">
        <v>6163</v>
      </c>
      <c r="BK12" s="210">
        <v>97139.04</v>
      </c>
      <c r="BL12" s="210">
        <v>20414.420000000002</v>
      </c>
      <c r="BM12" s="210">
        <v>0</v>
      </c>
      <c r="BN12" s="210">
        <v>0</v>
      </c>
      <c r="BO12" s="210">
        <v>0</v>
      </c>
      <c r="BP12" s="210">
        <v>0</v>
      </c>
      <c r="BQ12" s="211">
        <v>-11806.5</v>
      </c>
      <c r="BR12" s="211">
        <v>0</v>
      </c>
      <c r="BS12" s="211">
        <v>0</v>
      </c>
      <c r="BT12" s="212">
        <v>0</v>
      </c>
      <c r="BU12" s="212">
        <v>7720.87</v>
      </c>
      <c r="BV12" s="212">
        <v>0</v>
      </c>
      <c r="BW12" s="212">
        <v>0</v>
      </c>
      <c r="BX12" s="212">
        <v>0</v>
      </c>
      <c r="BY12" s="212">
        <v>0</v>
      </c>
      <c r="BZ12" s="212">
        <v>0</v>
      </c>
      <c r="CA12" s="212">
        <v>0</v>
      </c>
      <c r="CB12" s="212">
        <v>0</v>
      </c>
      <c r="CC12" s="224">
        <v>41680.110000000153</v>
      </c>
      <c r="CD12" s="213"/>
      <c r="CE12" s="211">
        <v>-55660.31999999992</v>
      </c>
      <c r="CF12" s="211">
        <v>584.40999999999985</v>
      </c>
      <c r="CG12" s="211">
        <v>0</v>
      </c>
      <c r="CH12" s="211">
        <v>13395.8</v>
      </c>
      <c r="CI12" s="211">
        <v>0</v>
      </c>
      <c r="CJ12" s="211">
        <v>0</v>
      </c>
      <c r="CK12" s="211">
        <v>-41680.109999999913</v>
      </c>
      <c r="CL12" s="201"/>
      <c r="CM12" s="201">
        <f t="shared" si="10"/>
        <v>2.4010660126805305E-10</v>
      </c>
      <c r="CN12" s="340">
        <f t="shared" si="2"/>
        <v>-55660.31999999992</v>
      </c>
      <c r="CO12" s="340">
        <f t="shared" si="3"/>
        <v>584.40999999999985</v>
      </c>
      <c r="CP12" s="340">
        <f t="shared" si="4"/>
        <v>0</v>
      </c>
      <c r="CQ12" s="340">
        <f t="shared" si="5"/>
        <v>13395.8</v>
      </c>
      <c r="CR12" s="340">
        <f t="shared" si="6"/>
        <v>0</v>
      </c>
      <c r="CS12" s="340">
        <f t="shared" si="7"/>
        <v>0</v>
      </c>
      <c r="CT12" s="90">
        <f t="shared" si="8"/>
        <v>-41680.109999999913</v>
      </c>
      <c r="CV12" s="90">
        <f t="shared" si="9"/>
        <v>0</v>
      </c>
    </row>
    <row r="13" spans="1:100">
      <c r="A13" s="322">
        <v>645</v>
      </c>
      <c r="B13" s="306" t="s">
        <v>723</v>
      </c>
      <c r="C13" s="209">
        <v>-137039.59999999957</v>
      </c>
      <c r="D13" s="209">
        <v>0</v>
      </c>
      <c r="E13" s="209">
        <v>0</v>
      </c>
      <c r="F13" s="209">
        <v>-11221.219999999998</v>
      </c>
      <c r="G13" s="209">
        <v>-717.05999999999767</v>
      </c>
      <c r="H13" s="209">
        <v>-275.96000000002095</v>
      </c>
      <c r="I13" s="223">
        <v>-1668198.32</v>
      </c>
      <c r="J13" s="223">
        <v>0</v>
      </c>
      <c r="K13" s="223">
        <v>-88497</v>
      </c>
      <c r="L13" s="223">
        <v>0</v>
      </c>
      <c r="M13" s="223">
        <v>-92570</v>
      </c>
      <c r="N13" s="223">
        <v>-45908.71</v>
      </c>
      <c r="O13" s="223">
        <v>-39342</v>
      </c>
      <c r="P13" s="223">
        <v>-3540</v>
      </c>
      <c r="Q13" s="223">
        <v>-97483.750000000015</v>
      </c>
      <c r="R13" s="223">
        <v>0</v>
      </c>
      <c r="S13" s="223">
        <v>0</v>
      </c>
      <c r="T13" s="223">
        <v>0</v>
      </c>
      <c r="U13" s="223">
        <v>-41101.370000000003</v>
      </c>
      <c r="V13" s="223">
        <v>-29534.71</v>
      </c>
      <c r="W13" s="223">
        <v>0</v>
      </c>
      <c r="X13" s="223">
        <v>-202521.06</v>
      </c>
      <c r="Y13" s="223">
        <v>-47764.54</v>
      </c>
      <c r="Z13" s="223">
        <v>0</v>
      </c>
      <c r="AA13" s="223">
        <v>0</v>
      </c>
      <c r="AB13" s="223">
        <v>-1351.88</v>
      </c>
      <c r="AC13" s="223">
        <v>-76856</v>
      </c>
      <c r="AD13" s="210">
        <v>1019415.3700000001</v>
      </c>
      <c r="AE13" s="210">
        <v>6148.75</v>
      </c>
      <c r="AF13" s="210">
        <v>497430.91000000003</v>
      </c>
      <c r="AG13" s="210">
        <v>15800.62</v>
      </c>
      <c r="AH13" s="210">
        <v>105832.56999999999</v>
      </c>
      <c r="AI13" s="210">
        <v>0</v>
      </c>
      <c r="AJ13" s="210">
        <v>82224.77</v>
      </c>
      <c r="AK13" s="210">
        <v>7525.05</v>
      </c>
      <c r="AL13" s="210">
        <v>12645.29</v>
      </c>
      <c r="AM13" s="210">
        <v>9370.6099999999988</v>
      </c>
      <c r="AN13" s="210">
        <v>0</v>
      </c>
      <c r="AO13" s="210">
        <v>16160.04</v>
      </c>
      <c r="AP13" s="210">
        <v>3942.1499999999996</v>
      </c>
      <c r="AQ13" s="210">
        <v>45434.2</v>
      </c>
      <c r="AR13" s="210">
        <v>5364.88</v>
      </c>
      <c r="AS13" s="210">
        <v>32639.920000000002</v>
      </c>
      <c r="AT13" s="210">
        <v>37022.76</v>
      </c>
      <c r="AU13" s="210">
        <v>5309.65</v>
      </c>
      <c r="AV13" s="210">
        <v>100060.64</v>
      </c>
      <c r="AW13" s="405">
        <v>0</v>
      </c>
      <c r="AX13" s="210">
        <v>4628.05</v>
      </c>
      <c r="AY13" s="210">
        <v>550</v>
      </c>
      <c r="AZ13" s="210">
        <v>960.09</v>
      </c>
      <c r="BA13" s="210">
        <v>0</v>
      </c>
      <c r="BB13" s="210">
        <v>150</v>
      </c>
      <c r="BC13" s="210">
        <v>276.04000000000002</v>
      </c>
      <c r="BD13" s="210">
        <v>19175.3</v>
      </c>
      <c r="BE13" s="210">
        <v>0</v>
      </c>
      <c r="BF13" s="210">
        <v>10486.15</v>
      </c>
      <c r="BG13" s="210">
        <v>17183.919999999998</v>
      </c>
      <c r="BH13" s="210">
        <v>35400.49</v>
      </c>
      <c r="BI13" s="210">
        <v>60646.31</v>
      </c>
      <c r="BJ13" s="210">
        <v>2636.65</v>
      </c>
      <c r="BK13" s="210">
        <v>29433</v>
      </c>
      <c r="BL13" s="210">
        <v>25806.3</v>
      </c>
      <c r="BM13" s="210">
        <v>0</v>
      </c>
      <c r="BN13" s="210">
        <v>0</v>
      </c>
      <c r="BO13" s="210">
        <v>207085.71000000002</v>
      </c>
      <c r="BP13" s="210">
        <v>43475.85</v>
      </c>
      <c r="BQ13" s="211">
        <v>-10190.75</v>
      </c>
      <c r="BR13" s="211">
        <v>0</v>
      </c>
      <c r="BS13" s="211">
        <v>0</v>
      </c>
      <c r="BT13" s="212">
        <v>0</v>
      </c>
      <c r="BU13" s="212">
        <v>0</v>
      </c>
      <c r="BV13" s="212">
        <v>0</v>
      </c>
      <c r="BW13" s="212">
        <v>0</v>
      </c>
      <c r="BX13" s="212">
        <v>0</v>
      </c>
      <c r="BY13" s="212">
        <v>0</v>
      </c>
      <c r="BZ13" s="212">
        <v>0</v>
      </c>
      <c r="CA13" s="212">
        <v>340</v>
      </c>
      <c r="CB13" s="212">
        <v>4707.72</v>
      </c>
      <c r="CC13" s="224">
        <v>-128844.16999999911</v>
      </c>
      <c r="CD13" s="213"/>
      <c r="CE13" s="211">
        <v>107386.96999999987</v>
      </c>
      <c r="CF13" s="211">
        <v>4375.8899999999994</v>
      </c>
      <c r="CG13" s="211">
        <v>0</v>
      </c>
      <c r="CH13" s="211">
        <v>17081.309999999994</v>
      </c>
      <c r="CI13" s="211">
        <v>0</v>
      </c>
      <c r="CJ13" s="211">
        <v>0</v>
      </c>
      <c r="CK13" s="211">
        <v>128844.16999999987</v>
      </c>
      <c r="CL13" s="201"/>
      <c r="CM13" s="201">
        <f t="shared" si="10"/>
        <v>7.5669959187507629E-10</v>
      </c>
      <c r="CN13" s="340">
        <f t="shared" si="2"/>
        <v>107386.96999999987</v>
      </c>
      <c r="CO13" s="340">
        <f t="shared" si="3"/>
        <v>4375.8899999999994</v>
      </c>
      <c r="CP13" s="340">
        <f t="shared" si="4"/>
        <v>0</v>
      </c>
      <c r="CQ13" s="340">
        <f t="shared" si="5"/>
        <v>17081.309999999994</v>
      </c>
      <c r="CR13" s="340">
        <f t="shared" si="6"/>
        <v>0</v>
      </c>
      <c r="CS13" s="340">
        <f t="shared" si="7"/>
        <v>0</v>
      </c>
      <c r="CT13" s="90">
        <f t="shared" si="8"/>
        <v>128844.16999999987</v>
      </c>
      <c r="CV13" s="90">
        <f t="shared" si="9"/>
        <v>0</v>
      </c>
    </row>
    <row r="14" spans="1:100">
      <c r="A14" s="322">
        <v>807</v>
      </c>
      <c r="B14" s="306" t="s">
        <v>724</v>
      </c>
      <c r="C14" s="209">
        <v>-92287.420000000857</v>
      </c>
      <c r="D14" s="209">
        <v>0</v>
      </c>
      <c r="E14" s="209">
        <v>0</v>
      </c>
      <c r="F14" s="209">
        <v>-14702.149999999998</v>
      </c>
      <c r="G14" s="209">
        <v>9343.0899999999965</v>
      </c>
      <c r="H14" s="209">
        <v>0</v>
      </c>
      <c r="I14" s="223">
        <v>-2083223.75</v>
      </c>
      <c r="J14" s="223">
        <v>0</v>
      </c>
      <c r="K14" s="223">
        <v>-129061</v>
      </c>
      <c r="L14" s="223">
        <v>0</v>
      </c>
      <c r="M14" s="223">
        <v>-116530</v>
      </c>
      <c r="N14" s="223">
        <v>0</v>
      </c>
      <c r="O14" s="223">
        <v>-13547.5</v>
      </c>
      <c r="P14" s="223">
        <v>-37649.370000000003</v>
      </c>
      <c r="Q14" s="223">
        <v>-13954.83</v>
      </c>
      <c r="R14" s="223">
        <v>-32746.400000000001</v>
      </c>
      <c r="S14" s="223">
        <v>0</v>
      </c>
      <c r="T14" s="223">
        <v>0</v>
      </c>
      <c r="U14" s="223">
        <v>-47569.520000000004</v>
      </c>
      <c r="V14" s="223">
        <v>-4341.25</v>
      </c>
      <c r="W14" s="223">
        <v>0</v>
      </c>
      <c r="X14" s="223">
        <v>0</v>
      </c>
      <c r="Y14" s="223">
        <v>0</v>
      </c>
      <c r="Z14" s="223">
        <v>0</v>
      </c>
      <c r="AA14" s="223">
        <v>0</v>
      </c>
      <c r="AB14" s="223">
        <v>-28.75</v>
      </c>
      <c r="AC14" s="223">
        <v>-85177</v>
      </c>
      <c r="AD14" s="210">
        <v>1246633.75</v>
      </c>
      <c r="AE14" s="210">
        <v>12212.61</v>
      </c>
      <c r="AF14" s="210">
        <v>618205.14999999991</v>
      </c>
      <c r="AG14" s="210">
        <v>32832.81</v>
      </c>
      <c r="AH14" s="210">
        <v>113193.45</v>
      </c>
      <c r="AI14" s="210">
        <v>0</v>
      </c>
      <c r="AJ14" s="210">
        <v>33582.399999999994</v>
      </c>
      <c r="AK14" s="210">
        <v>2321.12</v>
      </c>
      <c r="AL14" s="210">
        <v>3792.49</v>
      </c>
      <c r="AM14" s="210">
        <v>1293.2</v>
      </c>
      <c r="AN14" s="210">
        <v>0</v>
      </c>
      <c r="AO14" s="210">
        <v>15440.52</v>
      </c>
      <c r="AP14" s="210">
        <v>3632.2</v>
      </c>
      <c r="AQ14" s="210">
        <v>48809.62</v>
      </c>
      <c r="AR14" s="210">
        <v>6102.72</v>
      </c>
      <c r="AS14" s="210">
        <v>47098.55</v>
      </c>
      <c r="AT14" s="210">
        <v>10674.22</v>
      </c>
      <c r="AU14" s="210">
        <v>6626.41</v>
      </c>
      <c r="AV14" s="210">
        <v>111573.70999999999</v>
      </c>
      <c r="AW14" s="405">
        <v>0</v>
      </c>
      <c r="AX14" s="210">
        <v>280</v>
      </c>
      <c r="AY14" s="210">
        <v>174.04</v>
      </c>
      <c r="AZ14" s="210">
        <v>0</v>
      </c>
      <c r="BA14" s="210">
        <v>500</v>
      </c>
      <c r="BB14" s="210">
        <v>4156</v>
      </c>
      <c r="BC14" s="210">
        <v>0</v>
      </c>
      <c r="BD14" s="210">
        <v>25587.919999999998</v>
      </c>
      <c r="BE14" s="210">
        <v>0</v>
      </c>
      <c r="BF14" s="210">
        <v>20907.669999999998</v>
      </c>
      <c r="BG14" s="210">
        <v>22418.260000000002</v>
      </c>
      <c r="BH14" s="210">
        <v>0</v>
      </c>
      <c r="BI14" s="210">
        <v>121212.04000000001</v>
      </c>
      <c r="BJ14" s="210">
        <v>19315</v>
      </c>
      <c r="BK14" s="210">
        <v>26761.49</v>
      </c>
      <c r="BL14" s="210">
        <v>17948.489999999998</v>
      </c>
      <c r="BM14" s="210">
        <v>0</v>
      </c>
      <c r="BN14" s="210">
        <v>0</v>
      </c>
      <c r="BO14" s="210">
        <v>0</v>
      </c>
      <c r="BP14" s="210">
        <v>0</v>
      </c>
      <c r="BQ14" s="211">
        <v>-8758.75</v>
      </c>
      <c r="BR14" s="211">
        <v>0</v>
      </c>
      <c r="BS14" s="211">
        <v>0</v>
      </c>
      <c r="BT14" s="212">
        <v>0</v>
      </c>
      <c r="BU14" s="212">
        <v>5790</v>
      </c>
      <c r="BV14" s="212">
        <v>0</v>
      </c>
      <c r="BW14" s="212">
        <v>0</v>
      </c>
      <c r="BX14" s="212">
        <v>0</v>
      </c>
      <c r="BY14" s="212">
        <v>0</v>
      </c>
      <c r="BZ14" s="212">
        <v>0</v>
      </c>
      <c r="CA14" s="212">
        <v>0</v>
      </c>
      <c r="CB14" s="212">
        <v>0</v>
      </c>
      <c r="CC14" s="224">
        <v>-91158.760000001232</v>
      </c>
      <c r="CD14" s="213"/>
      <c r="CE14" s="211">
        <v>74983.950000001118</v>
      </c>
      <c r="CF14" s="211">
        <v>7847</v>
      </c>
      <c r="CG14" s="211">
        <v>0</v>
      </c>
      <c r="CH14" s="211">
        <v>8327.8100000000013</v>
      </c>
      <c r="CI14" s="211">
        <v>0</v>
      </c>
      <c r="CJ14" s="211">
        <v>0</v>
      </c>
      <c r="CK14" s="211">
        <v>91158.760000001115</v>
      </c>
      <c r="CL14" s="201"/>
      <c r="CM14" s="201">
        <f t="shared" si="10"/>
        <v>-1.1641532182693481E-10</v>
      </c>
      <c r="CN14" s="340">
        <f t="shared" si="2"/>
        <v>74983.950000001118</v>
      </c>
      <c r="CO14" s="340">
        <f t="shared" si="3"/>
        <v>7847</v>
      </c>
      <c r="CP14" s="340">
        <f t="shared" si="4"/>
        <v>0</v>
      </c>
      <c r="CQ14" s="340">
        <f t="shared" si="5"/>
        <v>8327.8100000000013</v>
      </c>
      <c r="CR14" s="340">
        <f t="shared" si="6"/>
        <v>0</v>
      </c>
      <c r="CS14" s="340">
        <f t="shared" si="7"/>
        <v>0</v>
      </c>
      <c r="CT14" s="90">
        <f t="shared" si="8"/>
        <v>91158.760000001115</v>
      </c>
      <c r="CV14" s="90">
        <f t="shared" si="9"/>
        <v>0</v>
      </c>
    </row>
    <row r="15" spans="1:100">
      <c r="A15" s="322">
        <v>833</v>
      </c>
      <c r="B15" s="306" t="s">
        <v>726</v>
      </c>
      <c r="C15" s="209">
        <v>-49468.169999999925</v>
      </c>
      <c r="D15" s="209">
        <v>0</v>
      </c>
      <c r="E15" s="209">
        <v>0</v>
      </c>
      <c r="F15" s="209">
        <v>-5331.9900000000107</v>
      </c>
      <c r="G15" s="209">
        <v>-6544.4000000000033</v>
      </c>
      <c r="H15" s="209">
        <v>0</v>
      </c>
      <c r="I15" s="223">
        <v>-2111963</v>
      </c>
      <c r="J15" s="223">
        <v>0</v>
      </c>
      <c r="K15" s="223">
        <v>-209379</v>
      </c>
      <c r="L15" s="223">
        <v>0</v>
      </c>
      <c r="M15" s="223">
        <v>-84128</v>
      </c>
      <c r="N15" s="223">
        <v>0</v>
      </c>
      <c r="O15" s="223">
        <v>-10331.61</v>
      </c>
      <c r="P15" s="223">
        <v>0</v>
      </c>
      <c r="Q15" s="223">
        <v>-129450.23999999999</v>
      </c>
      <c r="R15" s="223">
        <v>-33755.25</v>
      </c>
      <c r="S15" s="223">
        <v>0</v>
      </c>
      <c r="T15" s="223">
        <v>0</v>
      </c>
      <c r="U15" s="223">
        <v>-50534.67</v>
      </c>
      <c r="V15" s="223">
        <v>-36907.879999999997</v>
      </c>
      <c r="W15" s="223">
        <v>0</v>
      </c>
      <c r="X15" s="223">
        <v>0</v>
      </c>
      <c r="Y15" s="223">
        <v>0</v>
      </c>
      <c r="Z15" s="223">
        <v>0</v>
      </c>
      <c r="AA15" s="223">
        <v>0</v>
      </c>
      <c r="AB15" s="223">
        <v>-2736.25</v>
      </c>
      <c r="AC15" s="223">
        <v>-106305</v>
      </c>
      <c r="AD15" s="210">
        <v>1127823.95</v>
      </c>
      <c r="AE15" s="210">
        <v>18270.66</v>
      </c>
      <c r="AF15" s="210">
        <v>548899.4</v>
      </c>
      <c r="AG15" s="210">
        <v>70496.03</v>
      </c>
      <c r="AH15" s="210">
        <v>98569.260000000009</v>
      </c>
      <c r="AI15" s="210">
        <v>70762.779999999984</v>
      </c>
      <c r="AJ15" s="210">
        <v>156338.81</v>
      </c>
      <c r="AK15" s="210">
        <v>8935.4</v>
      </c>
      <c r="AL15" s="210">
        <v>10762.47</v>
      </c>
      <c r="AM15" s="210">
        <v>16172.93</v>
      </c>
      <c r="AN15" s="210">
        <v>1738</v>
      </c>
      <c r="AO15" s="210">
        <v>12563.72</v>
      </c>
      <c r="AP15" s="210">
        <v>3667.87</v>
      </c>
      <c r="AQ15" s="210">
        <v>35523.97</v>
      </c>
      <c r="AR15" s="210">
        <v>6919.39</v>
      </c>
      <c r="AS15" s="210">
        <v>33287.74</v>
      </c>
      <c r="AT15" s="210">
        <v>41503</v>
      </c>
      <c r="AU15" s="210">
        <v>10334.84</v>
      </c>
      <c r="AV15" s="210">
        <v>166461.53999999998</v>
      </c>
      <c r="AW15" s="405">
        <v>0</v>
      </c>
      <c r="AX15" s="210">
        <v>2152.91</v>
      </c>
      <c r="AY15" s="210">
        <v>0</v>
      </c>
      <c r="AZ15" s="210">
        <v>0</v>
      </c>
      <c r="BA15" s="210">
        <v>437.42</v>
      </c>
      <c r="BB15" s="210">
        <v>415.83</v>
      </c>
      <c r="BC15" s="210">
        <v>154.29</v>
      </c>
      <c r="BD15" s="210">
        <v>13194.130000000001</v>
      </c>
      <c r="BE15" s="210">
        <v>0</v>
      </c>
      <c r="BF15" s="210">
        <v>13340.93</v>
      </c>
      <c r="BG15" s="210">
        <v>22049.02</v>
      </c>
      <c r="BH15" s="210">
        <v>-6.9999999999708962E-2</v>
      </c>
      <c r="BI15" s="210">
        <v>53080.31</v>
      </c>
      <c r="BJ15" s="210">
        <v>19780.759999999998</v>
      </c>
      <c r="BK15" s="210">
        <v>33911.14</v>
      </c>
      <c r="BL15" s="210">
        <v>15373.76</v>
      </c>
      <c r="BM15" s="210">
        <v>30</v>
      </c>
      <c r="BN15" s="210">
        <v>4696</v>
      </c>
      <c r="BO15" s="210">
        <v>0</v>
      </c>
      <c r="BP15" s="210">
        <v>0</v>
      </c>
      <c r="BQ15" s="211">
        <v>-8691.25</v>
      </c>
      <c r="BR15" s="211">
        <v>0</v>
      </c>
      <c r="BS15" s="211">
        <v>-4696</v>
      </c>
      <c r="BT15" s="212">
        <v>0</v>
      </c>
      <c r="BU15" s="212">
        <v>17942.43</v>
      </c>
      <c r="BV15" s="212">
        <v>0</v>
      </c>
      <c r="BW15" s="212">
        <v>0</v>
      </c>
      <c r="BX15" s="212">
        <v>0</v>
      </c>
      <c r="BY15" s="212">
        <v>0</v>
      </c>
      <c r="BZ15" s="212">
        <v>0</v>
      </c>
      <c r="CA15" s="212">
        <v>755</v>
      </c>
      <c r="CB15" s="212">
        <v>0</v>
      </c>
      <c r="CC15" s="224">
        <v>-213877.09000000014</v>
      </c>
      <c r="CD15" s="213"/>
      <c r="CE15" s="211">
        <v>199653.30999999988</v>
      </c>
      <c r="CF15" s="211">
        <v>7657.57</v>
      </c>
      <c r="CG15" s="211">
        <v>0</v>
      </c>
      <c r="CH15" s="211">
        <v>6566.2100000000137</v>
      </c>
      <c r="CI15" s="211">
        <v>0</v>
      </c>
      <c r="CJ15" s="211">
        <v>0</v>
      </c>
      <c r="CK15" s="211">
        <v>213877.08999999991</v>
      </c>
      <c r="CL15" s="201"/>
      <c r="CM15" s="201">
        <f t="shared" si="10"/>
        <v>-2.3283064365386963E-10</v>
      </c>
      <c r="CN15" s="340">
        <f t="shared" si="2"/>
        <v>199653.30999999988</v>
      </c>
      <c r="CO15" s="340">
        <f t="shared" si="3"/>
        <v>7657.57</v>
      </c>
      <c r="CP15" s="340">
        <f t="shared" si="4"/>
        <v>0</v>
      </c>
      <c r="CQ15" s="340">
        <f t="shared" si="5"/>
        <v>6566.2100000000137</v>
      </c>
      <c r="CR15" s="340">
        <f t="shared" si="6"/>
        <v>0</v>
      </c>
      <c r="CS15" s="340">
        <f t="shared" si="7"/>
        <v>0</v>
      </c>
      <c r="CT15" s="90">
        <f t="shared" si="8"/>
        <v>213877.08999999991</v>
      </c>
      <c r="CV15" s="90">
        <f t="shared" si="9"/>
        <v>0</v>
      </c>
    </row>
    <row r="16" spans="1:100">
      <c r="A16" s="322">
        <v>855</v>
      </c>
      <c r="B16" s="306" t="s">
        <v>727</v>
      </c>
      <c r="C16" s="209">
        <v>-126925.06999999937</v>
      </c>
      <c r="D16" s="209">
        <v>0</v>
      </c>
      <c r="E16" s="209">
        <v>0</v>
      </c>
      <c r="F16" s="209">
        <v>0</v>
      </c>
      <c r="G16" s="209">
        <v>0</v>
      </c>
      <c r="H16" s="209">
        <v>0</v>
      </c>
      <c r="I16" s="223">
        <v>-1523909.61</v>
      </c>
      <c r="J16" s="223">
        <v>0</v>
      </c>
      <c r="K16" s="223">
        <v>-72355.5</v>
      </c>
      <c r="L16" s="223">
        <v>0</v>
      </c>
      <c r="M16" s="223">
        <v>-67960</v>
      </c>
      <c r="N16" s="223">
        <v>-22443.38</v>
      </c>
      <c r="O16" s="223">
        <v>-13111.5</v>
      </c>
      <c r="P16" s="223">
        <v>-11221.02</v>
      </c>
      <c r="Q16" s="223">
        <v>-5022.13</v>
      </c>
      <c r="R16" s="223">
        <v>0</v>
      </c>
      <c r="S16" s="223">
        <v>-720</v>
      </c>
      <c r="T16" s="223">
        <v>0</v>
      </c>
      <c r="U16" s="223">
        <v>-28643.17</v>
      </c>
      <c r="V16" s="223">
        <v>-16055.1</v>
      </c>
      <c r="W16" s="223">
        <v>0</v>
      </c>
      <c r="X16" s="223">
        <v>0</v>
      </c>
      <c r="Y16" s="223">
        <v>0</v>
      </c>
      <c r="Z16" s="223">
        <v>0</v>
      </c>
      <c r="AA16" s="223">
        <v>0</v>
      </c>
      <c r="AB16" s="223">
        <v>-5841.88</v>
      </c>
      <c r="AC16" s="223">
        <v>-72005</v>
      </c>
      <c r="AD16" s="210">
        <v>922289.27999999991</v>
      </c>
      <c r="AE16" s="210">
        <v>11619.619999999999</v>
      </c>
      <c r="AF16" s="210">
        <v>265376.70999999996</v>
      </c>
      <c r="AG16" s="210">
        <v>73987.039999999994</v>
      </c>
      <c r="AH16" s="210">
        <v>125126.98000000001</v>
      </c>
      <c r="AI16" s="210">
        <v>0</v>
      </c>
      <c r="AJ16" s="210">
        <v>44464.52</v>
      </c>
      <c r="AK16" s="210">
        <v>996</v>
      </c>
      <c r="AL16" s="210">
        <v>6599.01</v>
      </c>
      <c r="AM16" s="210">
        <v>6413</v>
      </c>
      <c r="AN16" s="210">
        <v>0</v>
      </c>
      <c r="AO16" s="210">
        <v>26483.53</v>
      </c>
      <c r="AP16" s="210">
        <v>6459.84</v>
      </c>
      <c r="AQ16" s="210">
        <v>5962.09</v>
      </c>
      <c r="AR16" s="210">
        <v>5665.5</v>
      </c>
      <c r="AS16" s="210">
        <v>11640.87</v>
      </c>
      <c r="AT16" s="210">
        <v>10337.11</v>
      </c>
      <c r="AU16" s="210">
        <v>5460.43</v>
      </c>
      <c r="AV16" s="210">
        <v>69013.459999999992</v>
      </c>
      <c r="AW16" s="405">
        <v>0</v>
      </c>
      <c r="AX16" s="210">
        <v>6824</v>
      </c>
      <c r="AY16" s="210">
        <v>500</v>
      </c>
      <c r="AZ16" s="210">
        <v>4816.5</v>
      </c>
      <c r="BA16" s="210">
        <v>509.78</v>
      </c>
      <c r="BB16" s="210">
        <v>20056.41</v>
      </c>
      <c r="BC16" s="210">
        <v>7744.85</v>
      </c>
      <c r="BD16" s="210">
        <v>4411.66</v>
      </c>
      <c r="BE16" s="210">
        <v>0</v>
      </c>
      <c r="BF16" s="210">
        <v>4902.5999999999995</v>
      </c>
      <c r="BG16" s="210">
        <v>14178.49</v>
      </c>
      <c r="BH16" s="210">
        <v>0</v>
      </c>
      <c r="BI16" s="210">
        <v>67053.009999999995</v>
      </c>
      <c r="BJ16" s="210">
        <v>4522</v>
      </c>
      <c r="BK16" s="210">
        <v>16562.740000000002</v>
      </c>
      <c r="BL16" s="210">
        <v>25702.28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4">
        <v>-190534.04999999926</v>
      </c>
      <c r="CD16" s="213"/>
      <c r="CE16" s="211">
        <v>190534.04999999958</v>
      </c>
      <c r="CF16" s="211">
        <v>0</v>
      </c>
      <c r="CG16" s="211">
        <v>0</v>
      </c>
      <c r="CH16" s="211">
        <v>0</v>
      </c>
      <c r="CI16" s="211">
        <v>0</v>
      </c>
      <c r="CJ16" s="211">
        <v>0</v>
      </c>
      <c r="CK16" s="211">
        <v>190534.04999999958</v>
      </c>
      <c r="CL16" s="201"/>
      <c r="CM16" s="201">
        <f t="shared" si="10"/>
        <v>3.2014213502407074E-10</v>
      </c>
      <c r="CN16" s="340">
        <f t="shared" si="2"/>
        <v>190534.04999999958</v>
      </c>
      <c r="CO16" s="340">
        <f t="shared" si="3"/>
        <v>0</v>
      </c>
      <c r="CP16" s="340">
        <f t="shared" si="4"/>
        <v>0</v>
      </c>
      <c r="CQ16" s="340">
        <f t="shared" si="5"/>
        <v>0</v>
      </c>
      <c r="CR16" s="340">
        <f t="shared" si="6"/>
        <v>0</v>
      </c>
      <c r="CS16" s="340">
        <f t="shared" si="7"/>
        <v>0</v>
      </c>
      <c r="CT16" s="90">
        <f t="shared" si="8"/>
        <v>190534.04999999958</v>
      </c>
      <c r="CV16" s="90">
        <f t="shared" si="9"/>
        <v>0</v>
      </c>
    </row>
    <row r="17" spans="1:100">
      <c r="A17" s="322">
        <v>856</v>
      </c>
      <c r="B17" s="306" t="s">
        <v>728</v>
      </c>
      <c r="C17" s="209">
        <v>-81277.930000000953</v>
      </c>
      <c r="D17" s="209">
        <v>0</v>
      </c>
      <c r="E17" s="209">
        <v>0</v>
      </c>
      <c r="F17" s="209">
        <v>-473.14999999999782</v>
      </c>
      <c r="G17" s="209">
        <v>4.8021309151380365E-12</v>
      </c>
      <c r="H17" s="209">
        <v>0</v>
      </c>
      <c r="I17" s="223">
        <v>-867947.84</v>
      </c>
      <c r="J17" s="223">
        <v>0</v>
      </c>
      <c r="K17" s="223">
        <v>-83553</v>
      </c>
      <c r="L17" s="223">
        <v>0</v>
      </c>
      <c r="M17" s="223">
        <v>-33140</v>
      </c>
      <c r="N17" s="223">
        <v>0</v>
      </c>
      <c r="O17" s="223">
        <v>-19516</v>
      </c>
      <c r="P17" s="223">
        <v>-10814.98</v>
      </c>
      <c r="Q17" s="223">
        <v>-78.680000000000007</v>
      </c>
      <c r="R17" s="223">
        <v>-12151.41</v>
      </c>
      <c r="S17" s="223">
        <v>0</v>
      </c>
      <c r="T17" s="223">
        <v>0</v>
      </c>
      <c r="U17" s="223">
        <v>-7961.0499999999993</v>
      </c>
      <c r="V17" s="223">
        <v>-13717.58</v>
      </c>
      <c r="W17" s="223">
        <v>0</v>
      </c>
      <c r="X17" s="223">
        <v>0</v>
      </c>
      <c r="Y17" s="223">
        <v>0</v>
      </c>
      <c r="Z17" s="223">
        <v>0</v>
      </c>
      <c r="AA17" s="223">
        <v>0</v>
      </c>
      <c r="AB17" s="223">
        <v>180.62</v>
      </c>
      <c r="AC17" s="223">
        <v>-45807</v>
      </c>
      <c r="AD17" s="210">
        <v>502128.33000000007</v>
      </c>
      <c r="AE17" s="210">
        <v>14589.91</v>
      </c>
      <c r="AF17" s="210">
        <v>220228.91000000003</v>
      </c>
      <c r="AG17" s="210">
        <v>31734.320000000003</v>
      </c>
      <c r="AH17" s="210">
        <v>58746.32</v>
      </c>
      <c r="AI17" s="210">
        <v>30372.73</v>
      </c>
      <c r="AJ17" s="210">
        <v>19770.36</v>
      </c>
      <c r="AK17" s="210">
        <v>491.96</v>
      </c>
      <c r="AL17" s="210">
        <v>6039.12</v>
      </c>
      <c r="AM17" s="210">
        <v>6276.86</v>
      </c>
      <c r="AN17" s="210">
        <v>0</v>
      </c>
      <c r="AO17" s="210">
        <v>6704.54</v>
      </c>
      <c r="AP17" s="210">
        <v>7919.88</v>
      </c>
      <c r="AQ17" s="210">
        <v>3006</v>
      </c>
      <c r="AR17" s="210">
        <v>5732.55</v>
      </c>
      <c r="AS17" s="210">
        <v>28051.260000000002</v>
      </c>
      <c r="AT17" s="210">
        <v>5843.31</v>
      </c>
      <c r="AU17" s="210">
        <v>3249.7999999999997</v>
      </c>
      <c r="AV17" s="210">
        <v>31734.02</v>
      </c>
      <c r="AW17" s="405">
        <v>0</v>
      </c>
      <c r="AX17" s="210">
        <v>1993</v>
      </c>
      <c r="AY17" s="210">
        <v>0</v>
      </c>
      <c r="AZ17" s="210">
        <v>8981.06</v>
      </c>
      <c r="BA17" s="210">
        <v>5321.47</v>
      </c>
      <c r="BB17" s="210">
        <v>6699.5</v>
      </c>
      <c r="BC17" s="210">
        <v>123.68</v>
      </c>
      <c r="BD17" s="210">
        <v>6189.93</v>
      </c>
      <c r="BE17" s="210">
        <v>0</v>
      </c>
      <c r="BF17" s="210">
        <v>2125.2399999999998</v>
      </c>
      <c r="BG17" s="210">
        <v>8846.98</v>
      </c>
      <c r="BH17" s="210">
        <v>0</v>
      </c>
      <c r="BI17" s="210">
        <v>18740.37</v>
      </c>
      <c r="BJ17" s="210">
        <v>4383</v>
      </c>
      <c r="BK17" s="210">
        <v>27205.67</v>
      </c>
      <c r="BL17" s="210">
        <v>19807.539999999997</v>
      </c>
      <c r="BM17" s="210">
        <v>0</v>
      </c>
      <c r="BN17" s="210">
        <v>0</v>
      </c>
      <c r="BO17" s="210">
        <v>0</v>
      </c>
      <c r="BP17" s="210">
        <v>0</v>
      </c>
      <c r="BQ17" s="211">
        <v>-5980</v>
      </c>
      <c r="BR17" s="211">
        <v>0</v>
      </c>
      <c r="BS17" s="211">
        <v>0</v>
      </c>
      <c r="BT17" s="212">
        <v>0</v>
      </c>
      <c r="BU17" s="212">
        <v>0</v>
      </c>
      <c r="BV17" s="212">
        <v>0</v>
      </c>
      <c r="BW17" s="212">
        <v>0</v>
      </c>
      <c r="BX17" s="212">
        <v>0</v>
      </c>
      <c r="BY17" s="212">
        <v>0</v>
      </c>
      <c r="BZ17" s="212">
        <v>5786</v>
      </c>
      <c r="CA17" s="212">
        <v>0</v>
      </c>
      <c r="CB17" s="212">
        <v>0</v>
      </c>
      <c r="CC17" s="224">
        <v>-83414.380000000645</v>
      </c>
      <c r="CD17" s="213"/>
      <c r="CE17" s="211">
        <v>67829.430000000764</v>
      </c>
      <c r="CF17" s="211">
        <v>14917.8</v>
      </c>
      <c r="CG17" s="211">
        <v>0</v>
      </c>
      <c r="CH17" s="211">
        <v>667.14999999999304</v>
      </c>
      <c r="CI17" s="211">
        <v>0</v>
      </c>
      <c r="CJ17" s="211">
        <v>0</v>
      </c>
      <c r="CK17" s="211">
        <v>83414.380000000761</v>
      </c>
      <c r="CL17" s="201"/>
      <c r="CM17" s="201">
        <f t="shared" si="10"/>
        <v>1.1641532182693481E-10</v>
      </c>
      <c r="CN17" s="340">
        <f t="shared" si="2"/>
        <v>67829.430000000764</v>
      </c>
      <c r="CO17" s="340">
        <f t="shared" si="3"/>
        <v>14917.8</v>
      </c>
      <c r="CP17" s="340">
        <f t="shared" si="4"/>
        <v>0</v>
      </c>
      <c r="CQ17" s="340">
        <f t="shared" si="5"/>
        <v>667.14999999999304</v>
      </c>
      <c r="CR17" s="340">
        <f t="shared" si="6"/>
        <v>0</v>
      </c>
      <c r="CS17" s="340">
        <f t="shared" si="7"/>
        <v>0</v>
      </c>
      <c r="CT17" s="90">
        <f t="shared" si="8"/>
        <v>83414.380000000761</v>
      </c>
      <c r="CV17" s="90">
        <f t="shared" si="9"/>
        <v>0</v>
      </c>
    </row>
    <row r="18" spans="1:100">
      <c r="A18" s="322">
        <v>857</v>
      </c>
      <c r="B18" s="306" t="s">
        <v>729</v>
      </c>
      <c r="C18" s="209">
        <v>-46033.750000000531</v>
      </c>
      <c r="D18" s="209">
        <v>-39910.68</v>
      </c>
      <c r="E18" s="209">
        <v>0</v>
      </c>
      <c r="F18" s="209">
        <v>-14377.389999999992</v>
      </c>
      <c r="G18" s="209">
        <v>0</v>
      </c>
      <c r="H18" s="209">
        <v>-7237.4200000000274</v>
      </c>
      <c r="I18" s="223">
        <v>-1280333.5</v>
      </c>
      <c r="J18" s="223">
        <v>0</v>
      </c>
      <c r="K18" s="223">
        <v>-43001</v>
      </c>
      <c r="L18" s="223">
        <v>0</v>
      </c>
      <c r="M18" s="223">
        <v>-52270</v>
      </c>
      <c r="N18" s="223">
        <v>-10823</v>
      </c>
      <c r="O18" s="223">
        <v>-1000</v>
      </c>
      <c r="P18" s="223">
        <v>-1895</v>
      </c>
      <c r="Q18" s="223">
        <v>-108531.57</v>
      </c>
      <c r="R18" s="223">
        <v>-53.25</v>
      </c>
      <c r="S18" s="223">
        <v>0</v>
      </c>
      <c r="T18" s="223">
        <v>-937.26</v>
      </c>
      <c r="U18" s="223">
        <v>-34434.74</v>
      </c>
      <c r="V18" s="223">
        <v>-16671.490000000002</v>
      </c>
      <c r="W18" s="223">
        <v>0</v>
      </c>
      <c r="X18" s="223">
        <v>-60216.84</v>
      </c>
      <c r="Y18" s="223">
        <v>-52298.36</v>
      </c>
      <c r="Z18" s="223">
        <v>0</v>
      </c>
      <c r="AA18" s="223">
        <v>0</v>
      </c>
      <c r="AB18" s="223">
        <v>139.37</v>
      </c>
      <c r="AC18" s="223">
        <v>-46542</v>
      </c>
      <c r="AD18" s="210">
        <v>767838.26</v>
      </c>
      <c r="AE18" s="210">
        <v>11267.460000000001</v>
      </c>
      <c r="AF18" s="210">
        <v>263761.27</v>
      </c>
      <c r="AG18" s="210">
        <v>33992.129999999997</v>
      </c>
      <c r="AH18" s="210">
        <v>71428.55</v>
      </c>
      <c r="AI18" s="210">
        <v>0</v>
      </c>
      <c r="AJ18" s="210">
        <v>77117.570000000007</v>
      </c>
      <c r="AK18" s="210">
        <v>5981.09</v>
      </c>
      <c r="AL18" s="210">
        <v>7642.2199999999993</v>
      </c>
      <c r="AM18" s="210">
        <v>780.8</v>
      </c>
      <c r="AN18" s="210">
        <v>0</v>
      </c>
      <c r="AO18" s="210">
        <v>30928.58</v>
      </c>
      <c r="AP18" s="210">
        <v>12581.83</v>
      </c>
      <c r="AQ18" s="210">
        <v>5117.1499999999996</v>
      </c>
      <c r="AR18" s="210">
        <v>2383.14</v>
      </c>
      <c r="AS18" s="210">
        <v>21690.02</v>
      </c>
      <c r="AT18" s="210">
        <v>32120.5</v>
      </c>
      <c r="AU18" s="210">
        <v>11569.72</v>
      </c>
      <c r="AV18" s="210">
        <v>86966.96</v>
      </c>
      <c r="AW18" s="405">
        <v>0</v>
      </c>
      <c r="AX18" s="210">
        <v>440</v>
      </c>
      <c r="AY18" s="210">
        <v>0</v>
      </c>
      <c r="AZ18" s="210">
        <v>3520.58</v>
      </c>
      <c r="BA18" s="210">
        <v>4275.29</v>
      </c>
      <c r="BB18" s="210">
        <v>12011.38</v>
      </c>
      <c r="BC18" s="210">
        <v>1960.17</v>
      </c>
      <c r="BD18" s="210">
        <v>21392.99</v>
      </c>
      <c r="BE18" s="210">
        <v>0</v>
      </c>
      <c r="BF18" s="210">
        <v>4286.7299999999996</v>
      </c>
      <c r="BG18" s="210">
        <v>12733.439999999999</v>
      </c>
      <c r="BH18" s="210">
        <v>11002</v>
      </c>
      <c r="BI18" s="210">
        <v>34213.199999999997</v>
      </c>
      <c r="BJ18" s="210">
        <v>3048.85</v>
      </c>
      <c r="BK18" s="210">
        <v>14467.98</v>
      </c>
      <c r="BL18" s="210">
        <v>15272.56</v>
      </c>
      <c r="BM18" s="210">
        <v>0</v>
      </c>
      <c r="BN18" s="210">
        <v>0</v>
      </c>
      <c r="BO18" s="210">
        <v>99370.64</v>
      </c>
      <c r="BP18" s="210">
        <v>17060.169999999998</v>
      </c>
      <c r="BQ18" s="211">
        <v>-6947.5</v>
      </c>
      <c r="BR18" s="211">
        <v>0</v>
      </c>
      <c r="BS18" s="211">
        <v>0</v>
      </c>
      <c r="BT18" s="212">
        <v>0</v>
      </c>
      <c r="BU18" s="212">
        <v>0</v>
      </c>
      <c r="BV18" s="212">
        <v>0</v>
      </c>
      <c r="BW18" s="212">
        <v>0</v>
      </c>
      <c r="BX18" s="212">
        <v>0</v>
      </c>
      <c r="BY18" s="212">
        <v>0</v>
      </c>
      <c r="BZ18" s="212">
        <v>673.28</v>
      </c>
      <c r="CA18" s="212">
        <v>887.97</v>
      </c>
      <c r="CB18" s="212">
        <v>0</v>
      </c>
      <c r="CC18" s="224">
        <v>-123590.90000000071</v>
      </c>
      <c r="CD18" s="213"/>
      <c r="CE18" s="211">
        <v>72964.740000000442</v>
      </c>
      <c r="CF18" s="211">
        <v>27540.710000000003</v>
      </c>
      <c r="CG18" s="211">
        <v>0</v>
      </c>
      <c r="CH18" s="211">
        <v>19763.639999999992</v>
      </c>
      <c r="CI18" s="211">
        <v>0</v>
      </c>
      <c r="CJ18" s="211">
        <v>3321.8100000000268</v>
      </c>
      <c r="CK18" s="211">
        <v>123590.90000000046</v>
      </c>
      <c r="CL18" s="201"/>
      <c r="CM18" s="201">
        <f t="shared" si="10"/>
        <v>-2.4738255888223648E-10</v>
      </c>
      <c r="CN18" s="340">
        <f t="shared" si="2"/>
        <v>72964.740000000442</v>
      </c>
      <c r="CO18" s="340">
        <f t="shared" si="3"/>
        <v>27540.710000000003</v>
      </c>
      <c r="CP18" s="340">
        <f t="shared" si="4"/>
        <v>0</v>
      </c>
      <c r="CQ18" s="340">
        <f t="shared" si="5"/>
        <v>19763.639999999992</v>
      </c>
      <c r="CR18" s="340">
        <f t="shared" si="6"/>
        <v>0</v>
      </c>
      <c r="CS18" s="340">
        <f t="shared" si="7"/>
        <v>3321.8100000000268</v>
      </c>
      <c r="CT18" s="90">
        <f t="shared" si="8"/>
        <v>123590.90000000046</v>
      </c>
      <c r="CV18" s="90">
        <f t="shared" si="9"/>
        <v>0</v>
      </c>
    </row>
    <row r="19" spans="1:100">
      <c r="A19" s="322">
        <v>884</v>
      </c>
      <c r="B19" s="306" t="s">
        <v>730</v>
      </c>
      <c r="C19" s="209">
        <v>-428429.13</v>
      </c>
      <c r="D19" s="209">
        <v>0</v>
      </c>
      <c r="E19" s="209">
        <v>0</v>
      </c>
      <c r="F19" s="209">
        <v>-22319.29</v>
      </c>
      <c r="G19" s="209">
        <v>9750</v>
      </c>
      <c r="H19" s="209">
        <v>-112774.90000000002</v>
      </c>
      <c r="I19" s="223">
        <v>-2160900.98</v>
      </c>
      <c r="J19" s="223">
        <v>0</v>
      </c>
      <c r="K19" s="223">
        <v>-117020</v>
      </c>
      <c r="L19" s="223">
        <v>0</v>
      </c>
      <c r="M19" s="223">
        <v>-108180</v>
      </c>
      <c r="N19" s="223">
        <v>0</v>
      </c>
      <c r="O19" s="223">
        <v>0</v>
      </c>
      <c r="P19" s="223">
        <v>-2400</v>
      </c>
      <c r="Q19" s="223">
        <v>-145099.1</v>
      </c>
      <c r="R19" s="223">
        <v>0</v>
      </c>
      <c r="S19" s="223">
        <v>0</v>
      </c>
      <c r="T19" s="223">
        <v>0</v>
      </c>
      <c r="U19" s="223">
        <v>-30371.84</v>
      </c>
      <c r="V19" s="223">
        <v>-2983.73</v>
      </c>
      <c r="W19" s="223">
        <v>0</v>
      </c>
      <c r="X19" s="223">
        <v>-162801.49</v>
      </c>
      <c r="Y19" s="223">
        <v>-74830.31</v>
      </c>
      <c r="Z19" s="223">
        <v>0</v>
      </c>
      <c r="AA19" s="223">
        <v>0</v>
      </c>
      <c r="AB19" s="223">
        <v>-4329.38</v>
      </c>
      <c r="AC19" s="223">
        <v>-102865</v>
      </c>
      <c r="AD19" s="210">
        <v>1216889.0299999998</v>
      </c>
      <c r="AE19" s="210">
        <v>1267.8000000000002</v>
      </c>
      <c r="AF19" s="210">
        <v>631344.06999999995</v>
      </c>
      <c r="AG19" s="210">
        <v>107528.53</v>
      </c>
      <c r="AH19" s="210">
        <v>140648.24000000002</v>
      </c>
      <c r="AI19" s="210">
        <v>0</v>
      </c>
      <c r="AJ19" s="210">
        <v>101515.97</v>
      </c>
      <c r="AK19" s="210">
        <v>10596.17</v>
      </c>
      <c r="AL19" s="210">
        <v>10266.07</v>
      </c>
      <c r="AM19" s="210">
        <v>1281</v>
      </c>
      <c r="AN19" s="210">
        <v>0</v>
      </c>
      <c r="AO19" s="210">
        <v>17066.98</v>
      </c>
      <c r="AP19" s="210">
        <v>14058.25</v>
      </c>
      <c r="AQ19" s="210">
        <v>9519.39</v>
      </c>
      <c r="AR19" s="210">
        <v>8323.86</v>
      </c>
      <c r="AS19" s="210">
        <v>23633.03</v>
      </c>
      <c r="AT19" s="210">
        <v>44200.25</v>
      </c>
      <c r="AU19" s="210">
        <v>9120.01</v>
      </c>
      <c r="AV19" s="210">
        <v>142316.74</v>
      </c>
      <c r="AW19" s="405">
        <v>0</v>
      </c>
      <c r="AX19" s="210">
        <v>4590</v>
      </c>
      <c r="AY19" s="210">
        <v>1031.96</v>
      </c>
      <c r="AZ19" s="210">
        <v>4750.07</v>
      </c>
      <c r="BA19" s="210">
        <v>5020.29</v>
      </c>
      <c r="BB19" s="210">
        <v>0</v>
      </c>
      <c r="BC19" s="210">
        <v>0</v>
      </c>
      <c r="BD19" s="210">
        <v>5901.4</v>
      </c>
      <c r="BE19" s="210">
        <v>0</v>
      </c>
      <c r="BF19" s="210">
        <v>3207.93</v>
      </c>
      <c r="BG19" s="210">
        <v>19147.8</v>
      </c>
      <c r="BH19" s="210">
        <v>0</v>
      </c>
      <c r="BI19" s="210">
        <v>93874.03</v>
      </c>
      <c r="BJ19" s="210">
        <v>7160</v>
      </c>
      <c r="BK19" s="210">
        <v>43588.71</v>
      </c>
      <c r="BL19" s="210">
        <v>20120.440000000002</v>
      </c>
      <c r="BM19" s="210">
        <v>0</v>
      </c>
      <c r="BN19" s="210">
        <v>0</v>
      </c>
      <c r="BO19" s="210">
        <v>162212.97999999998</v>
      </c>
      <c r="BP19" s="210">
        <v>42323.51</v>
      </c>
      <c r="BQ19" s="211">
        <v>-8736.25</v>
      </c>
      <c r="BR19" s="211">
        <v>0</v>
      </c>
      <c r="BS19" s="211">
        <v>0</v>
      </c>
      <c r="BT19" s="212">
        <v>0</v>
      </c>
      <c r="BU19" s="212">
        <v>1852.95</v>
      </c>
      <c r="BV19" s="212">
        <v>0</v>
      </c>
      <c r="BW19" s="212">
        <v>0</v>
      </c>
      <c r="BX19" s="212">
        <v>0</v>
      </c>
      <c r="BY19" s="212">
        <v>0</v>
      </c>
      <c r="BZ19" s="212">
        <v>0</v>
      </c>
      <c r="CA19" s="212">
        <v>0</v>
      </c>
      <c r="CB19" s="212">
        <v>0</v>
      </c>
      <c r="CC19" s="224">
        <v>-569933.94000000041</v>
      </c>
      <c r="CD19" s="213"/>
      <c r="CE19" s="211">
        <v>390287.39000000031</v>
      </c>
      <c r="CF19" s="211">
        <v>14323.75</v>
      </c>
      <c r="CG19" s="211">
        <v>0</v>
      </c>
      <c r="CH19" s="211">
        <v>19452.59</v>
      </c>
      <c r="CI19" s="211">
        <v>0</v>
      </c>
      <c r="CJ19" s="211">
        <v>145870.21000000002</v>
      </c>
      <c r="CK19" s="211">
        <v>569933.94000000041</v>
      </c>
      <c r="CL19" s="201"/>
      <c r="CM19" s="201">
        <f t="shared" si="10"/>
        <v>0</v>
      </c>
      <c r="CN19" s="340">
        <f t="shared" si="2"/>
        <v>390287.39000000031</v>
      </c>
      <c r="CO19" s="340">
        <f t="shared" si="3"/>
        <v>14323.75</v>
      </c>
      <c r="CP19" s="340">
        <f t="shared" si="4"/>
        <v>0</v>
      </c>
      <c r="CQ19" s="340">
        <f t="shared" si="5"/>
        <v>19452.59</v>
      </c>
      <c r="CR19" s="340">
        <f t="shared" si="6"/>
        <v>0</v>
      </c>
      <c r="CS19" s="340">
        <f t="shared" si="7"/>
        <v>145870.21000000002</v>
      </c>
      <c r="CT19" s="90">
        <f t="shared" si="8"/>
        <v>569933.94000000041</v>
      </c>
      <c r="CV19" s="90">
        <f t="shared" si="9"/>
        <v>0</v>
      </c>
    </row>
    <row r="20" spans="1:100">
      <c r="A20" s="322">
        <v>893</v>
      </c>
      <c r="B20" s="306" t="s">
        <v>731</v>
      </c>
      <c r="C20" s="209">
        <v>-862252.53999999817</v>
      </c>
      <c r="D20" s="209">
        <v>0</v>
      </c>
      <c r="E20" s="209">
        <v>0</v>
      </c>
      <c r="F20" s="209">
        <v>-21837.46</v>
      </c>
      <c r="G20" s="209">
        <v>0</v>
      </c>
      <c r="H20" s="209">
        <v>0</v>
      </c>
      <c r="I20" s="223">
        <v>-3010778.9099999997</v>
      </c>
      <c r="J20" s="223">
        <v>0</v>
      </c>
      <c r="K20" s="223">
        <v>-73079</v>
      </c>
      <c r="L20" s="223">
        <v>0</v>
      </c>
      <c r="M20" s="223">
        <v>-42900</v>
      </c>
      <c r="N20" s="223">
        <v>-7200</v>
      </c>
      <c r="O20" s="223">
        <v>0</v>
      </c>
      <c r="P20" s="223">
        <v>-10773.72</v>
      </c>
      <c r="Q20" s="223">
        <v>-945.29000000000008</v>
      </c>
      <c r="R20" s="223">
        <v>0</v>
      </c>
      <c r="S20" s="223">
        <v>-12183</v>
      </c>
      <c r="T20" s="223">
        <v>0</v>
      </c>
      <c r="U20" s="223">
        <v>-28128.98</v>
      </c>
      <c r="V20" s="223">
        <v>-6270</v>
      </c>
      <c r="W20" s="223">
        <v>0</v>
      </c>
      <c r="X20" s="223">
        <v>0</v>
      </c>
      <c r="Y20" s="223">
        <v>0</v>
      </c>
      <c r="Z20" s="223">
        <v>0</v>
      </c>
      <c r="AA20" s="223">
        <v>0</v>
      </c>
      <c r="AB20" s="223">
        <v>-52.5</v>
      </c>
      <c r="AC20" s="223">
        <v>-128320</v>
      </c>
      <c r="AD20" s="210">
        <v>1890466.81</v>
      </c>
      <c r="AE20" s="210">
        <v>46702.080000000002</v>
      </c>
      <c r="AF20" s="210">
        <v>459539.12999999995</v>
      </c>
      <c r="AG20" s="210">
        <v>29550.940000000002</v>
      </c>
      <c r="AH20" s="210">
        <v>126833.21999999999</v>
      </c>
      <c r="AI20" s="210">
        <v>0</v>
      </c>
      <c r="AJ20" s="210">
        <v>35251.699999999997</v>
      </c>
      <c r="AK20" s="210">
        <v>16442.46</v>
      </c>
      <c r="AL20" s="210">
        <v>14331.5</v>
      </c>
      <c r="AM20" s="210">
        <v>22446.44</v>
      </c>
      <c r="AN20" s="210">
        <v>0</v>
      </c>
      <c r="AO20" s="210">
        <v>77989.510000000009</v>
      </c>
      <c r="AP20" s="210">
        <v>43664.399999999994</v>
      </c>
      <c r="AQ20" s="210">
        <v>59015.73</v>
      </c>
      <c r="AR20" s="210">
        <v>5561.66</v>
      </c>
      <c r="AS20" s="210">
        <v>54269.520000000004</v>
      </c>
      <c r="AT20" s="210">
        <v>62216.78</v>
      </c>
      <c r="AU20" s="210">
        <v>13223.84</v>
      </c>
      <c r="AV20" s="210">
        <v>173542.66</v>
      </c>
      <c r="AW20" s="405">
        <v>0</v>
      </c>
      <c r="AX20" s="210">
        <v>3547.39</v>
      </c>
      <c r="AY20" s="210">
        <v>214.8</v>
      </c>
      <c r="AZ20" s="210">
        <v>5142.05</v>
      </c>
      <c r="BA20" s="210">
        <v>2958.5</v>
      </c>
      <c r="BB20" s="210">
        <v>15573.14</v>
      </c>
      <c r="BC20" s="210">
        <v>3489.45</v>
      </c>
      <c r="BD20" s="210">
        <v>10599.6</v>
      </c>
      <c r="BE20" s="210">
        <v>0</v>
      </c>
      <c r="BF20" s="210">
        <v>29110.17</v>
      </c>
      <c r="BG20" s="210">
        <v>31172.05</v>
      </c>
      <c r="BH20" s="210">
        <v>0</v>
      </c>
      <c r="BI20" s="210">
        <v>119622.12999999999</v>
      </c>
      <c r="BJ20" s="210">
        <v>8691</v>
      </c>
      <c r="BK20" s="210">
        <v>28158.43</v>
      </c>
      <c r="BL20" s="210">
        <v>18500.23</v>
      </c>
      <c r="BM20" s="210">
        <v>150</v>
      </c>
      <c r="BN20" s="210">
        <v>31095</v>
      </c>
      <c r="BO20" s="210">
        <v>0</v>
      </c>
      <c r="BP20" s="210">
        <v>0</v>
      </c>
      <c r="BQ20" s="211">
        <v>-10412.5</v>
      </c>
      <c r="BR20" s="211">
        <v>0</v>
      </c>
      <c r="BS20" s="211">
        <v>-31095</v>
      </c>
      <c r="BT20" s="212">
        <v>0</v>
      </c>
      <c r="BU20" s="212">
        <v>25240</v>
      </c>
      <c r="BV20" s="212">
        <v>0</v>
      </c>
      <c r="BW20" s="212">
        <v>0</v>
      </c>
      <c r="BX20" s="212">
        <v>0</v>
      </c>
      <c r="BY20" s="212">
        <v>0</v>
      </c>
      <c r="BZ20" s="212">
        <v>0</v>
      </c>
      <c r="CA20" s="212">
        <v>29852.49</v>
      </c>
      <c r="CB20" s="212">
        <v>0</v>
      </c>
      <c r="CC20" s="224">
        <v>-752064.0899999988</v>
      </c>
      <c r="CD20" s="213"/>
      <c r="CE20" s="211">
        <v>719687.5999999973</v>
      </c>
      <c r="CF20" s="211">
        <v>24124.02</v>
      </c>
      <c r="CG20" s="211">
        <v>0</v>
      </c>
      <c r="CH20" s="211">
        <v>8252.4699999999939</v>
      </c>
      <c r="CI20" s="211">
        <v>0</v>
      </c>
      <c r="CJ20" s="211">
        <v>0</v>
      </c>
      <c r="CK20" s="211">
        <v>752064.08999999729</v>
      </c>
      <c r="CL20" s="201"/>
      <c r="CM20" s="201">
        <f t="shared" si="10"/>
        <v>-1.5133991837501526E-9</v>
      </c>
      <c r="CN20" s="340">
        <f t="shared" si="2"/>
        <v>719687.5999999973</v>
      </c>
      <c r="CO20" s="340">
        <f t="shared" si="3"/>
        <v>24124.02</v>
      </c>
      <c r="CP20" s="340">
        <f t="shared" si="4"/>
        <v>0</v>
      </c>
      <c r="CQ20" s="340">
        <f t="shared" si="5"/>
        <v>8252.4699999999939</v>
      </c>
      <c r="CR20" s="340">
        <f t="shared" si="6"/>
        <v>0</v>
      </c>
      <c r="CS20" s="340">
        <f t="shared" si="7"/>
        <v>0</v>
      </c>
      <c r="CT20" s="90">
        <f t="shared" si="8"/>
        <v>752064.08999999729</v>
      </c>
      <c r="CV20" s="90">
        <f t="shared" si="9"/>
        <v>0</v>
      </c>
    </row>
    <row r="21" spans="1:100">
      <c r="A21" s="322">
        <v>920</v>
      </c>
      <c r="B21" s="306" t="s">
        <v>732</v>
      </c>
      <c r="C21" s="209">
        <v>-103488.39000000036</v>
      </c>
      <c r="D21" s="209">
        <v>0</v>
      </c>
      <c r="E21" s="209">
        <v>0</v>
      </c>
      <c r="F21" s="209">
        <v>0</v>
      </c>
      <c r="G21" s="209">
        <v>0</v>
      </c>
      <c r="H21" s="209">
        <v>0</v>
      </c>
      <c r="I21" s="223">
        <v>-1036982.42</v>
      </c>
      <c r="J21" s="223">
        <v>0</v>
      </c>
      <c r="K21" s="223">
        <v>-68370</v>
      </c>
      <c r="L21" s="223">
        <v>0</v>
      </c>
      <c r="M21" s="223">
        <v>-61890</v>
      </c>
      <c r="N21" s="223">
        <v>0</v>
      </c>
      <c r="O21" s="223">
        <v>-15978.45</v>
      </c>
      <c r="P21" s="223">
        <v>0</v>
      </c>
      <c r="Q21" s="223">
        <v>-781.97</v>
      </c>
      <c r="R21" s="223">
        <v>-12000.69</v>
      </c>
      <c r="S21" s="223">
        <v>-3400</v>
      </c>
      <c r="T21" s="223">
        <v>0</v>
      </c>
      <c r="U21" s="223">
        <v>-18811.8</v>
      </c>
      <c r="V21" s="223">
        <v>-11453.48</v>
      </c>
      <c r="W21" s="223">
        <v>0</v>
      </c>
      <c r="X21" s="223">
        <v>0</v>
      </c>
      <c r="Y21" s="223">
        <v>0</v>
      </c>
      <c r="Z21" s="223">
        <v>0</v>
      </c>
      <c r="AA21" s="223">
        <v>0</v>
      </c>
      <c r="AB21" s="223">
        <v>-117.5</v>
      </c>
      <c r="AC21" s="223">
        <v>-36540</v>
      </c>
      <c r="AD21" s="210">
        <v>602108.79999999993</v>
      </c>
      <c r="AE21" s="210">
        <v>14974.51</v>
      </c>
      <c r="AF21" s="210">
        <v>218485.17</v>
      </c>
      <c r="AG21" s="210">
        <v>41921.490000000005</v>
      </c>
      <c r="AH21" s="210">
        <v>61846.400000000001</v>
      </c>
      <c r="AI21" s="210">
        <v>26232.23</v>
      </c>
      <c r="AJ21" s="210">
        <v>36301.06</v>
      </c>
      <c r="AK21" s="210">
        <v>34</v>
      </c>
      <c r="AL21" s="210">
        <v>4799</v>
      </c>
      <c r="AM21" s="210">
        <v>5281.48</v>
      </c>
      <c r="AN21" s="210">
        <v>0</v>
      </c>
      <c r="AO21" s="210">
        <v>13008.72</v>
      </c>
      <c r="AP21" s="210">
        <v>1874.52</v>
      </c>
      <c r="AQ21" s="210">
        <v>3440</v>
      </c>
      <c r="AR21" s="210">
        <v>4639</v>
      </c>
      <c r="AS21" s="210">
        <v>21441.1</v>
      </c>
      <c r="AT21" s="210">
        <v>6264.3</v>
      </c>
      <c r="AU21" s="210">
        <v>1699.17</v>
      </c>
      <c r="AV21" s="210">
        <v>46201.65</v>
      </c>
      <c r="AW21" s="405">
        <v>0</v>
      </c>
      <c r="AX21" s="210">
        <v>2219.59</v>
      </c>
      <c r="AY21" s="210">
        <v>0</v>
      </c>
      <c r="AZ21" s="210">
        <v>4519.28</v>
      </c>
      <c r="BA21" s="210">
        <v>965.99</v>
      </c>
      <c r="BB21" s="210">
        <v>390</v>
      </c>
      <c r="BC21" s="210">
        <v>0</v>
      </c>
      <c r="BD21" s="210">
        <v>8940.2999999999993</v>
      </c>
      <c r="BE21" s="210">
        <v>0</v>
      </c>
      <c r="BF21" s="210">
        <v>1687.8</v>
      </c>
      <c r="BG21" s="210">
        <v>10111.27</v>
      </c>
      <c r="BH21" s="210">
        <v>0</v>
      </c>
      <c r="BI21" s="210">
        <v>35269.74</v>
      </c>
      <c r="BJ21" s="210">
        <v>0</v>
      </c>
      <c r="BK21" s="210">
        <v>7817.5</v>
      </c>
      <c r="BL21" s="210">
        <v>21847.859999999997</v>
      </c>
      <c r="BM21" s="210">
        <v>0</v>
      </c>
      <c r="BN21" s="210">
        <v>6128.08</v>
      </c>
      <c r="BO21" s="210">
        <v>0</v>
      </c>
      <c r="BP21" s="210">
        <v>0</v>
      </c>
      <c r="BQ21" s="211">
        <v>0</v>
      </c>
      <c r="BR21" s="211">
        <v>0</v>
      </c>
      <c r="BS21" s="211">
        <v>-6128.08</v>
      </c>
      <c r="BT21" s="212">
        <v>0</v>
      </c>
      <c r="BU21" s="212">
        <v>0</v>
      </c>
      <c r="BV21" s="212">
        <v>0</v>
      </c>
      <c r="BW21" s="212">
        <v>0</v>
      </c>
      <c r="BX21" s="212">
        <v>0</v>
      </c>
      <c r="BY21" s="212">
        <v>0</v>
      </c>
      <c r="BZ21" s="212">
        <v>0</v>
      </c>
      <c r="CA21" s="212">
        <v>4050</v>
      </c>
      <c r="CB21" s="212">
        <v>2078.08</v>
      </c>
      <c r="CC21" s="224">
        <v>-159364.69000000061</v>
      </c>
      <c r="CD21" s="213"/>
      <c r="CE21" s="211">
        <v>156896.69000000041</v>
      </c>
      <c r="CF21" s="211">
        <v>2468</v>
      </c>
      <c r="CG21" s="211">
        <v>0</v>
      </c>
      <c r="CH21" s="211">
        <v>0</v>
      </c>
      <c r="CI21" s="211">
        <v>0</v>
      </c>
      <c r="CJ21" s="211">
        <v>0</v>
      </c>
      <c r="CK21" s="211">
        <v>159364.69000000041</v>
      </c>
      <c r="CL21" s="201"/>
      <c r="CM21" s="201">
        <f t="shared" si="10"/>
        <v>0</v>
      </c>
      <c r="CN21" s="340">
        <f t="shared" si="2"/>
        <v>156896.69000000041</v>
      </c>
      <c r="CO21" s="340">
        <f t="shared" si="3"/>
        <v>2468</v>
      </c>
      <c r="CP21" s="340">
        <f t="shared" si="4"/>
        <v>0</v>
      </c>
      <c r="CQ21" s="340">
        <f t="shared" si="5"/>
        <v>0</v>
      </c>
      <c r="CR21" s="340">
        <f t="shared" si="6"/>
        <v>0</v>
      </c>
      <c r="CS21" s="340">
        <f t="shared" si="7"/>
        <v>0</v>
      </c>
      <c r="CT21" s="90">
        <f t="shared" si="8"/>
        <v>159364.69000000041</v>
      </c>
      <c r="CV21" s="90">
        <f t="shared" si="9"/>
        <v>0</v>
      </c>
    </row>
    <row r="22" spans="1:100">
      <c r="A22" s="322">
        <v>934</v>
      </c>
      <c r="B22" s="306" t="s">
        <v>733</v>
      </c>
      <c r="C22" s="209">
        <v>-659145.84999999939</v>
      </c>
      <c r="D22" s="209">
        <v>0</v>
      </c>
      <c r="E22" s="209">
        <v>0</v>
      </c>
      <c r="F22" s="209">
        <v>-32602.22</v>
      </c>
      <c r="G22" s="209">
        <v>0</v>
      </c>
      <c r="H22" s="209">
        <v>0</v>
      </c>
      <c r="I22" s="223">
        <v>-1814359</v>
      </c>
      <c r="J22" s="223">
        <v>0</v>
      </c>
      <c r="K22" s="223">
        <v>-47135.88</v>
      </c>
      <c r="L22" s="223">
        <v>0</v>
      </c>
      <c r="M22" s="223">
        <v>-134424.29</v>
      </c>
      <c r="N22" s="223">
        <v>0</v>
      </c>
      <c r="O22" s="223">
        <v>-450</v>
      </c>
      <c r="P22" s="223">
        <v>-2533.36</v>
      </c>
      <c r="Q22" s="223">
        <v>-1332.0800000000002</v>
      </c>
      <c r="R22" s="223">
        <v>-56369.22</v>
      </c>
      <c r="S22" s="223">
        <v>0</v>
      </c>
      <c r="T22" s="223">
        <v>0</v>
      </c>
      <c r="U22" s="223">
        <v>-31514.989999999998</v>
      </c>
      <c r="V22" s="223">
        <v>-2249.7800000000002</v>
      </c>
      <c r="W22" s="223">
        <v>0</v>
      </c>
      <c r="X22" s="223">
        <v>0</v>
      </c>
      <c r="Y22" s="223">
        <v>0</v>
      </c>
      <c r="Z22" s="223">
        <v>0</v>
      </c>
      <c r="AA22" s="223">
        <v>0</v>
      </c>
      <c r="AB22" s="223">
        <v>-5660.63</v>
      </c>
      <c r="AC22" s="223">
        <v>-19543</v>
      </c>
      <c r="AD22" s="210">
        <v>1073334.99</v>
      </c>
      <c r="AE22" s="210">
        <v>46750.06</v>
      </c>
      <c r="AF22" s="210">
        <v>424353.69</v>
      </c>
      <c r="AG22" s="210">
        <v>76373.75</v>
      </c>
      <c r="AH22" s="210">
        <v>96644.859999999986</v>
      </c>
      <c r="AI22" s="210">
        <v>0</v>
      </c>
      <c r="AJ22" s="210">
        <v>60518.11</v>
      </c>
      <c r="AK22" s="210">
        <v>3941.2</v>
      </c>
      <c r="AL22" s="210">
        <v>7744.1100000000006</v>
      </c>
      <c r="AM22" s="210">
        <v>1080</v>
      </c>
      <c r="AN22" s="210">
        <v>0</v>
      </c>
      <c r="AO22" s="210">
        <v>12383.99</v>
      </c>
      <c r="AP22" s="210">
        <v>18179.169999999998</v>
      </c>
      <c r="AQ22" s="210">
        <v>3417.38</v>
      </c>
      <c r="AR22" s="210">
        <v>-4793.13</v>
      </c>
      <c r="AS22" s="210">
        <v>26829.949999999997</v>
      </c>
      <c r="AT22" s="210">
        <v>25116</v>
      </c>
      <c r="AU22" s="210">
        <v>11725.2</v>
      </c>
      <c r="AV22" s="210">
        <v>122673.56</v>
      </c>
      <c r="AW22" s="405">
        <v>0</v>
      </c>
      <c r="AX22" s="210">
        <v>4941.9799999999996</v>
      </c>
      <c r="AY22" s="210">
        <v>0</v>
      </c>
      <c r="AZ22" s="210">
        <v>210</v>
      </c>
      <c r="BA22" s="210">
        <v>6140.83</v>
      </c>
      <c r="BB22" s="210">
        <v>1014.76</v>
      </c>
      <c r="BC22" s="210">
        <v>11423.31</v>
      </c>
      <c r="BD22" s="210">
        <v>1242.31</v>
      </c>
      <c r="BE22" s="210">
        <v>0</v>
      </c>
      <c r="BF22" s="210">
        <v>6168.53</v>
      </c>
      <c r="BG22" s="210">
        <v>18640.8</v>
      </c>
      <c r="BH22" s="210">
        <v>981.13</v>
      </c>
      <c r="BI22" s="210">
        <v>58920.92</v>
      </c>
      <c r="BJ22" s="210">
        <v>0</v>
      </c>
      <c r="BK22" s="210">
        <v>18971.52</v>
      </c>
      <c r="BL22" s="210">
        <v>25167.100000000002</v>
      </c>
      <c r="BM22" s="210">
        <v>55.9</v>
      </c>
      <c r="BN22" s="210">
        <v>50948.89</v>
      </c>
      <c r="BO22" s="210">
        <v>0</v>
      </c>
      <c r="BP22" s="210">
        <v>0</v>
      </c>
      <c r="BQ22" s="211">
        <v>-7960</v>
      </c>
      <c r="BR22" s="211">
        <v>0</v>
      </c>
      <c r="BS22" s="211">
        <v>-50948.89</v>
      </c>
      <c r="BT22" s="212">
        <v>0</v>
      </c>
      <c r="BU22" s="212">
        <v>91511.11</v>
      </c>
      <c r="BV22" s="212">
        <v>0</v>
      </c>
      <c r="BW22" s="212">
        <v>0</v>
      </c>
      <c r="BX22" s="212">
        <v>0</v>
      </c>
      <c r="BY22" s="212">
        <v>0</v>
      </c>
      <c r="BZ22" s="212">
        <v>0</v>
      </c>
      <c r="CA22" s="212">
        <v>0</v>
      </c>
      <c r="CB22" s="212">
        <v>0</v>
      </c>
      <c r="CC22" s="224">
        <v>-563617.20999999926</v>
      </c>
      <c r="CD22" s="213"/>
      <c r="CE22" s="211">
        <v>547388.20999999926</v>
      </c>
      <c r="CF22" s="211">
        <v>16229</v>
      </c>
      <c r="CG22" s="211">
        <v>0</v>
      </c>
      <c r="CH22" s="211">
        <v>0</v>
      </c>
      <c r="CI22" s="211">
        <v>0</v>
      </c>
      <c r="CJ22" s="211">
        <v>0</v>
      </c>
      <c r="CK22" s="211">
        <v>563617.20999999926</v>
      </c>
      <c r="CL22" s="201"/>
      <c r="CM22" s="201">
        <f t="shared" si="10"/>
        <v>0</v>
      </c>
      <c r="CN22" s="340">
        <f t="shared" si="2"/>
        <v>547388.20999999926</v>
      </c>
      <c r="CO22" s="340">
        <f t="shared" si="3"/>
        <v>16229</v>
      </c>
      <c r="CP22" s="340">
        <f t="shared" si="4"/>
        <v>0</v>
      </c>
      <c r="CQ22" s="340">
        <f t="shared" si="5"/>
        <v>0</v>
      </c>
      <c r="CR22" s="340">
        <f t="shared" si="6"/>
        <v>0</v>
      </c>
      <c r="CS22" s="340">
        <f t="shared" si="7"/>
        <v>0</v>
      </c>
      <c r="CT22" s="90">
        <f t="shared" si="8"/>
        <v>563617.20999999926</v>
      </c>
      <c r="CV22" s="90">
        <f t="shared" si="9"/>
        <v>0</v>
      </c>
    </row>
    <row r="23" spans="1:100">
      <c r="A23" s="322">
        <v>938</v>
      </c>
      <c r="B23" s="306" t="s">
        <v>734</v>
      </c>
      <c r="C23" s="209">
        <v>-246429.86999999787</v>
      </c>
      <c r="D23" s="209">
        <v>0</v>
      </c>
      <c r="E23" s="209">
        <v>0</v>
      </c>
      <c r="F23" s="209">
        <v>-45131.38</v>
      </c>
      <c r="G23" s="209">
        <v>0</v>
      </c>
      <c r="H23" s="209">
        <v>-13313.309999999969</v>
      </c>
      <c r="I23" s="223">
        <v>-3372449.41</v>
      </c>
      <c r="J23" s="223">
        <v>0</v>
      </c>
      <c r="K23" s="223">
        <v>-236870</v>
      </c>
      <c r="L23" s="223">
        <v>0</v>
      </c>
      <c r="M23" s="223">
        <v>-315770</v>
      </c>
      <c r="N23" s="223">
        <v>-17980.12</v>
      </c>
      <c r="O23" s="223">
        <v>-19024.27</v>
      </c>
      <c r="P23" s="223">
        <v>0</v>
      </c>
      <c r="Q23" s="223">
        <v>-60459.01</v>
      </c>
      <c r="R23" s="223">
        <v>-44186.49</v>
      </c>
      <c r="S23" s="223">
        <v>-20950.099999999999</v>
      </c>
      <c r="T23" s="223">
        <v>0</v>
      </c>
      <c r="U23" s="223">
        <v>-23809.42</v>
      </c>
      <c r="V23" s="223">
        <v>-24437.02</v>
      </c>
      <c r="W23" s="223">
        <v>0</v>
      </c>
      <c r="X23" s="223">
        <v>-177222.61</v>
      </c>
      <c r="Y23" s="223">
        <v>-8429.11</v>
      </c>
      <c r="Z23" s="223">
        <v>0</v>
      </c>
      <c r="AA23" s="223">
        <v>0</v>
      </c>
      <c r="AB23" s="223">
        <v>-12295.63</v>
      </c>
      <c r="AC23" s="223">
        <v>-115653</v>
      </c>
      <c r="AD23" s="210">
        <v>1889573.6</v>
      </c>
      <c r="AE23" s="210">
        <v>41243.960000000006</v>
      </c>
      <c r="AF23" s="210">
        <v>900798.18</v>
      </c>
      <c r="AG23" s="210">
        <v>125917.66</v>
      </c>
      <c r="AH23" s="210">
        <v>281849.17</v>
      </c>
      <c r="AI23" s="210">
        <v>126261.76000000001</v>
      </c>
      <c r="AJ23" s="210">
        <v>93472.67</v>
      </c>
      <c r="AK23" s="210">
        <v>16491.939999999999</v>
      </c>
      <c r="AL23" s="210">
        <v>34895.26</v>
      </c>
      <c r="AM23" s="210">
        <v>21685.02</v>
      </c>
      <c r="AN23" s="210">
        <v>0</v>
      </c>
      <c r="AO23" s="210">
        <v>14515.92</v>
      </c>
      <c r="AP23" s="210">
        <v>4714.7</v>
      </c>
      <c r="AQ23" s="210">
        <v>17884.54</v>
      </c>
      <c r="AR23" s="210">
        <v>8908.6200000000008</v>
      </c>
      <c r="AS23" s="210">
        <v>59680.119999999995</v>
      </c>
      <c r="AT23" s="210">
        <v>29420.83</v>
      </c>
      <c r="AU23" s="210">
        <v>21981.45</v>
      </c>
      <c r="AV23" s="210">
        <v>169248.48</v>
      </c>
      <c r="AW23" s="405">
        <v>0</v>
      </c>
      <c r="AX23" s="210">
        <v>3350.1</v>
      </c>
      <c r="AY23" s="210">
        <v>0</v>
      </c>
      <c r="AZ23" s="210">
        <v>992.7</v>
      </c>
      <c r="BA23" s="210">
        <v>11597.36</v>
      </c>
      <c r="BB23" s="210">
        <v>0</v>
      </c>
      <c r="BC23" s="210">
        <v>467.29</v>
      </c>
      <c r="BD23" s="210">
        <v>15152.86</v>
      </c>
      <c r="BE23" s="210">
        <v>0</v>
      </c>
      <c r="BF23" s="210">
        <v>22699.79</v>
      </c>
      <c r="BG23" s="210">
        <v>27532.81</v>
      </c>
      <c r="BH23" s="210">
        <v>0</v>
      </c>
      <c r="BI23" s="210">
        <v>97525.87</v>
      </c>
      <c r="BJ23" s="210">
        <v>138881.63</v>
      </c>
      <c r="BK23" s="210">
        <v>101790.85</v>
      </c>
      <c r="BL23" s="210">
        <v>45987.7</v>
      </c>
      <c r="BM23" s="210">
        <v>0</v>
      </c>
      <c r="BN23" s="210">
        <v>36509.99</v>
      </c>
      <c r="BO23" s="210">
        <v>160457.35</v>
      </c>
      <c r="BP23" s="210">
        <v>4225.8100000000004</v>
      </c>
      <c r="BQ23" s="211">
        <v>-30353.75</v>
      </c>
      <c r="BR23" s="211">
        <v>0</v>
      </c>
      <c r="BS23" s="211">
        <v>-36509.99</v>
      </c>
      <c r="BT23" s="212">
        <v>0</v>
      </c>
      <c r="BU23" s="212">
        <v>29478</v>
      </c>
      <c r="BV23" s="212">
        <v>0</v>
      </c>
      <c r="BW23" s="212">
        <v>0</v>
      </c>
      <c r="BX23" s="212">
        <v>0</v>
      </c>
      <c r="BY23" s="212">
        <v>0</v>
      </c>
      <c r="BZ23" s="212">
        <v>0</v>
      </c>
      <c r="CA23" s="212">
        <v>55809.99</v>
      </c>
      <c r="CB23" s="212">
        <v>0</v>
      </c>
      <c r="CC23" s="224">
        <v>-210270.5099999971</v>
      </c>
      <c r="CD23" s="213"/>
      <c r="CE23" s="211">
        <v>139568.2699999981</v>
      </c>
      <c r="CF23" s="211">
        <v>9713.24</v>
      </c>
      <c r="CG23" s="211">
        <v>0</v>
      </c>
      <c r="CH23" s="211">
        <v>26707.129999999997</v>
      </c>
      <c r="CI23" s="211">
        <v>0</v>
      </c>
      <c r="CJ23" s="211">
        <v>34281.869999999937</v>
      </c>
      <c r="CK23" s="211">
        <v>210270.50999999803</v>
      </c>
      <c r="CL23" s="201"/>
      <c r="CM23" s="201">
        <f t="shared" si="10"/>
        <v>9.3132257461547852E-10</v>
      </c>
      <c r="CN23" s="340">
        <f t="shared" si="2"/>
        <v>139568.2699999981</v>
      </c>
      <c r="CO23" s="340">
        <f t="shared" si="3"/>
        <v>9713.24</v>
      </c>
      <c r="CP23" s="340">
        <f t="shared" si="4"/>
        <v>0</v>
      </c>
      <c r="CQ23" s="340">
        <f t="shared" si="5"/>
        <v>26707.129999999997</v>
      </c>
      <c r="CR23" s="340">
        <f t="shared" si="6"/>
        <v>0</v>
      </c>
      <c r="CS23" s="340">
        <f t="shared" si="7"/>
        <v>34281.869999999937</v>
      </c>
      <c r="CT23" s="90">
        <f t="shared" si="8"/>
        <v>210270.50999999803</v>
      </c>
      <c r="CV23" s="90">
        <f t="shared" si="9"/>
        <v>0</v>
      </c>
    </row>
    <row r="24" spans="1:100">
      <c r="A24" s="322">
        <v>942</v>
      </c>
      <c r="B24" s="306" t="s">
        <v>971</v>
      </c>
      <c r="C24" s="209">
        <v>-534294.43999999901</v>
      </c>
      <c r="D24" s="209">
        <v>0</v>
      </c>
      <c r="E24" s="209">
        <v>0</v>
      </c>
      <c r="F24" s="209">
        <v>-28842.93</v>
      </c>
      <c r="G24" s="209">
        <v>-0.2000000000007276</v>
      </c>
      <c r="H24" s="209">
        <v>10804.459999999977</v>
      </c>
      <c r="I24" s="223">
        <v>-4107031.81</v>
      </c>
      <c r="J24" s="223">
        <v>0</v>
      </c>
      <c r="K24" s="223">
        <v>-77772</v>
      </c>
      <c r="L24" s="223">
        <v>0</v>
      </c>
      <c r="M24" s="223">
        <v>-148000</v>
      </c>
      <c r="N24" s="223">
        <v>-3256.93</v>
      </c>
      <c r="O24" s="223">
        <v>-6587</v>
      </c>
      <c r="P24" s="223">
        <v>-22961</v>
      </c>
      <c r="Q24" s="223">
        <v>-255080.72000000003</v>
      </c>
      <c r="R24" s="223">
        <v>-475</v>
      </c>
      <c r="S24" s="223">
        <v>0</v>
      </c>
      <c r="T24" s="223">
        <v>0</v>
      </c>
      <c r="U24" s="223">
        <v>-86199.87</v>
      </c>
      <c r="V24" s="223">
        <v>-11778.59</v>
      </c>
      <c r="W24" s="223">
        <v>0</v>
      </c>
      <c r="X24" s="223">
        <v>-142384.23000000001</v>
      </c>
      <c r="Y24" s="223">
        <v>-19336.580000000002</v>
      </c>
      <c r="Z24" s="223">
        <v>0</v>
      </c>
      <c r="AA24" s="223">
        <v>0</v>
      </c>
      <c r="AB24" s="223">
        <v>-4130.63</v>
      </c>
      <c r="AC24" s="223">
        <v>-158802</v>
      </c>
      <c r="AD24" s="210">
        <v>2389026.9</v>
      </c>
      <c r="AE24" s="210">
        <v>17169.310000000001</v>
      </c>
      <c r="AF24" s="210">
        <v>841637.72</v>
      </c>
      <c r="AG24" s="210">
        <v>140025.52000000002</v>
      </c>
      <c r="AH24" s="210">
        <v>331748.02</v>
      </c>
      <c r="AI24" s="210">
        <v>0</v>
      </c>
      <c r="AJ24" s="210">
        <v>274413.65999999997</v>
      </c>
      <c r="AK24" s="210">
        <v>16571.59</v>
      </c>
      <c r="AL24" s="210">
        <v>9855.19</v>
      </c>
      <c r="AM24" s="210">
        <v>2525.4</v>
      </c>
      <c r="AN24" s="210">
        <v>0</v>
      </c>
      <c r="AO24" s="210">
        <v>57768.43</v>
      </c>
      <c r="AP24" s="210">
        <v>7340.83</v>
      </c>
      <c r="AQ24" s="210">
        <v>58997.35</v>
      </c>
      <c r="AR24" s="210">
        <v>9423</v>
      </c>
      <c r="AS24" s="210">
        <v>63706.16</v>
      </c>
      <c r="AT24" s="210">
        <v>82119.81</v>
      </c>
      <c r="AU24" s="210">
        <v>10177.18</v>
      </c>
      <c r="AV24" s="210">
        <v>168644.77</v>
      </c>
      <c r="AW24" s="405">
        <v>0</v>
      </c>
      <c r="AX24" s="210">
        <v>4181.46</v>
      </c>
      <c r="AY24" s="210">
        <v>784</v>
      </c>
      <c r="AZ24" s="210">
        <v>584.26</v>
      </c>
      <c r="BA24" s="210">
        <v>27534.75</v>
      </c>
      <c r="BB24" s="210">
        <v>4092.57</v>
      </c>
      <c r="BC24" s="210">
        <v>2146</v>
      </c>
      <c r="BD24" s="210">
        <v>20579.28</v>
      </c>
      <c r="BE24" s="210">
        <v>0</v>
      </c>
      <c r="BF24" s="210">
        <v>23027.64</v>
      </c>
      <c r="BG24" s="210">
        <v>37748.520000000004</v>
      </c>
      <c r="BH24" s="210">
        <v>19230.8</v>
      </c>
      <c r="BI24" s="210">
        <v>158870.26</v>
      </c>
      <c r="BJ24" s="210">
        <v>20509</v>
      </c>
      <c r="BK24" s="210">
        <v>45970.31</v>
      </c>
      <c r="BL24" s="210">
        <v>33864.020000000004</v>
      </c>
      <c r="BM24" s="210">
        <v>0</v>
      </c>
      <c r="BN24" s="210">
        <v>20725.5</v>
      </c>
      <c r="BO24" s="210">
        <v>113873.93999999997</v>
      </c>
      <c r="BP24" s="210">
        <v>16304.1</v>
      </c>
      <c r="BQ24" s="211">
        <v>-17438.75</v>
      </c>
      <c r="BR24" s="211">
        <v>0</v>
      </c>
      <c r="BS24" s="211">
        <v>-20725.5</v>
      </c>
      <c r="BT24" s="212">
        <v>0</v>
      </c>
      <c r="BU24" s="212">
        <v>16895.309999999998</v>
      </c>
      <c r="BV24" s="212">
        <v>0</v>
      </c>
      <c r="BW24" s="212">
        <v>0</v>
      </c>
      <c r="BX24" s="212">
        <v>0</v>
      </c>
      <c r="BY24" s="212">
        <v>0</v>
      </c>
      <c r="BZ24" s="212">
        <v>0</v>
      </c>
      <c r="CA24" s="212">
        <v>15290</v>
      </c>
      <c r="CB24" s="212">
        <v>3248</v>
      </c>
      <c r="CC24" s="224">
        <v>-567683.15999999922</v>
      </c>
      <c r="CD24" s="213"/>
      <c r="CE24" s="211">
        <v>498424.77999999933</v>
      </c>
      <c r="CF24" s="211">
        <v>16946</v>
      </c>
      <c r="CG24" s="211">
        <v>0</v>
      </c>
      <c r="CH24" s="211">
        <v>31574.070000000003</v>
      </c>
      <c r="CI24" s="211">
        <v>0</v>
      </c>
      <c r="CJ24" s="211">
        <v>20738.310000000056</v>
      </c>
      <c r="CK24" s="211">
        <v>567683.15999999933</v>
      </c>
      <c r="CL24" s="201"/>
      <c r="CM24" s="201">
        <f t="shared" si="10"/>
        <v>0</v>
      </c>
      <c r="CN24" s="340">
        <f t="shared" si="2"/>
        <v>498424.77999999933</v>
      </c>
      <c r="CO24" s="340">
        <f t="shared" si="3"/>
        <v>16946</v>
      </c>
      <c r="CP24" s="340">
        <f t="shared" si="4"/>
        <v>0</v>
      </c>
      <c r="CQ24" s="340">
        <f t="shared" si="5"/>
        <v>31574.070000000003</v>
      </c>
      <c r="CR24" s="340">
        <f t="shared" si="6"/>
        <v>0</v>
      </c>
      <c r="CS24" s="340">
        <f t="shared" si="7"/>
        <v>20738.310000000056</v>
      </c>
      <c r="CT24" s="90">
        <f t="shared" si="8"/>
        <v>567683.15999999933</v>
      </c>
      <c r="CV24" s="90">
        <f t="shared" si="9"/>
        <v>0</v>
      </c>
    </row>
    <row r="25" spans="1:100">
      <c r="A25" s="322">
        <v>957</v>
      </c>
      <c r="B25" s="306" t="s">
        <v>735</v>
      </c>
      <c r="C25" s="209">
        <v>-242341.44000000088</v>
      </c>
      <c r="D25" s="209">
        <v>0</v>
      </c>
      <c r="E25" s="209">
        <v>0</v>
      </c>
      <c r="F25" s="209">
        <v>-13353.170000000002</v>
      </c>
      <c r="G25" s="209">
        <v>-6703.6500000000015</v>
      </c>
      <c r="H25" s="209">
        <v>0</v>
      </c>
      <c r="I25" s="223">
        <v>-2018448.33</v>
      </c>
      <c r="J25" s="223">
        <v>0</v>
      </c>
      <c r="K25" s="223">
        <v>-66605</v>
      </c>
      <c r="L25" s="223">
        <v>0</v>
      </c>
      <c r="M25" s="223">
        <v>-125722</v>
      </c>
      <c r="N25" s="223">
        <v>0</v>
      </c>
      <c r="O25" s="223">
        <v>-15777.28</v>
      </c>
      <c r="P25" s="223">
        <v>-19571.87</v>
      </c>
      <c r="Q25" s="223">
        <v>-73992.14</v>
      </c>
      <c r="R25" s="223">
        <v>-29133.85</v>
      </c>
      <c r="S25" s="223">
        <v>0</v>
      </c>
      <c r="T25" s="223">
        <v>0</v>
      </c>
      <c r="U25" s="223">
        <v>-28614.66</v>
      </c>
      <c r="V25" s="223">
        <v>-9856.23</v>
      </c>
      <c r="W25" s="223">
        <v>0</v>
      </c>
      <c r="X25" s="223">
        <v>0</v>
      </c>
      <c r="Y25" s="223">
        <v>0</v>
      </c>
      <c r="Z25" s="223">
        <v>0</v>
      </c>
      <c r="AA25" s="223">
        <v>0</v>
      </c>
      <c r="AB25" s="223">
        <v>206.25</v>
      </c>
      <c r="AC25" s="223">
        <v>-82126</v>
      </c>
      <c r="AD25" s="210">
        <v>1199186.9800000002</v>
      </c>
      <c r="AE25" s="210">
        <v>14968.11</v>
      </c>
      <c r="AF25" s="210">
        <v>420739.36</v>
      </c>
      <c r="AG25" s="210">
        <v>83380.52</v>
      </c>
      <c r="AH25" s="210">
        <v>150571.66</v>
      </c>
      <c r="AI25" s="210">
        <v>64168.56</v>
      </c>
      <c r="AJ25" s="210">
        <v>87260.73000000001</v>
      </c>
      <c r="AK25" s="210">
        <v>2375.6</v>
      </c>
      <c r="AL25" s="210">
        <v>6185.9400000000005</v>
      </c>
      <c r="AM25" s="210">
        <v>1256.5999999999999</v>
      </c>
      <c r="AN25" s="210">
        <v>0</v>
      </c>
      <c r="AO25" s="210">
        <v>15580.939999999999</v>
      </c>
      <c r="AP25" s="210">
        <v>7485.2400000000007</v>
      </c>
      <c r="AQ25" s="210">
        <v>6804.02</v>
      </c>
      <c r="AR25" s="210">
        <v>8659.6299999999992</v>
      </c>
      <c r="AS25" s="210">
        <v>32039.69</v>
      </c>
      <c r="AT25" s="210">
        <v>6885.2</v>
      </c>
      <c r="AU25" s="210">
        <v>8239.51</v>
      </c>
      <c r="AV25" s="210">
        <v>116097.48000000001</v>
      </c>
      <c r="AW25" s="405">
        <v>0</v>
      </c>
      <c r="AX25" s="210">
        <v>6399.37</v>
      </c>
      <c r="AY25" s="210">
        <v>198</v>
      </c>
      <c r="AZ25" s="210">
        <v>1762.15</v>
      </c>
      <c r="BA25" s="210">
        <v>13691.07</v>
      </c>
      <c r="BB25" s="210">
        <v>2476.0500000000002</v>
      </c>
      <c r="BC25" s="210">
        <v>18.97</v>
      </c>
      <c r="BD25" s="210">
        <v>10291.6</v>
      </c>
      <c r="BE25" s="210">
        <v>0</v>
      </c>
      <c r="BF25" s="210">
        <v>6974.27</v>
      </c>
      <c r="BG25" s="210">
        <v>18783.080000000002</v>
      </c>
      <c r="BH25" s="210">
        <v>0</v>
      </c>
      <c r="BI25" s="210">
        <v>36715.43</v>
      </c>
      <c r="BJ25" s="210">
        <v>32176.799999999999</v>
      </c>
      <c r="BK25" s="210">
        <v>23461.15</v>
      </c>
      <c r="BL25" s="210">
        <v>29398.130000000005</v>
      </c>
      <c r="BM25" s="210">
        <v>0</v>
      </c>
      <c r="BN25" s="210">
        <v>0</v>
      </c>
      <c r="BO25" s="210">
        <v>0</v>
      </c>
      <c r="BP25" s="210">
        <v>0</v>
      </c>
      <c r="BQ25" s="211">
        <v>-8646.25</v>
      </c>
      <c r="BR25" s="211">
        <v>0</v>
      </c>
      <c r="BS25" s="211">
        <v>0</v>
      </c>
      <c r="BT25" s="212">
        <v>0</v>
      </c>
      <c r="BU25" s="212">
        <v>11222.5</v>
      </c>
      <c r="BV25" s="212">
        <v>0</v>
      </c>
      <c r="BW25" s="212">
        <v>0</v>
      </c>
      <c r="BX25" s="212">
        <v>2094.8000000000002</v>
      </c>
      <c r="BY25" s="212">
        <v>0</v>
      </c>
      <c r="BZ25" s="212">
        <v>0</v>
      </c>
      <c r="CA25" s="212">
        <v>0</v>
      </c>
      <c r="CB25" s="212">
        <v>0</v>
      </c>
      <c r="CC25" s="224">
        <v>-313136.48000000115</v>
      </c>
      <c r="CD25" s="213"/>
      <c r="CE25" s="211">
        <v>240235.51000000042</v>
      </c>
      <c r="CF25" s="211">
        <v>57515.199999999997</v>
      </c>
      <c r="CG25" s="211">
        <v>0</v>
      </c>
      <c r="CH25" s="211">
        <v>15385.770000000004</v>
      </c>
      <c r="CI25" s="211">
        <v>0</v>
      </c>
      <c r="CJ25" s="211">
        <v>0</v>
      </c>
      <c r="CK25" s="211">
        <v>313136.48000000045</v>
      </c>
      <c r="CL25" s="201"/>
      <c r="CM25" s="201">
        <f t="shared" si="10"/>
        <v>-6.9849193096160889E-10</v>
      </c>
      <c r="CN25" s="340">
        <f t="shared" si="2"/>
        <v>240235.51000000042</v>
      </c>
      <c r="CO25" s="340">
        <f t="shared" si="3"/>
        <v>57515.199999999997</v>
      </c>
      <c r="CP25" s="340">
        <f t="shared" si="4"/>
        <v>0</v>
      </c>
      <c r="CQ25" s="340">
        <f t="shared" si="5"/>
        <v>15385.770000000004</v>
      </c>
      <c r="CR25" s="340">
        <f t="shared" si="6"/>
        <v>0</v>
      </c>
      <c r="CS25" s="340">
        <f t="shared" si="7"/>
        <v>0</v>
      </c>
      <c r="CT25" s="90">
        <f t="shared" si="8"/>
        <v>313136.48000000045</v>
      </c>
      <c r="CV25" s="90">
        <f t="shared" si="9"/>
        <v>0</v>
      </c>
    </row>
    <row r="26" spans="1:100">
      <c r="A26" s="323">
        <v>101520</v>
      </c>
      <c r="B26" s="324" t="s">
        <v>713</v>
      </c>
      <c r="C26" s="209">
        <v>-117553.67</v>
      </c>
      <c r="D26" s="209">
        <v>0</v>
      </c>
      <c r="E26" s="209">
        <v>0</v>
      </c>
      <c r="F26" s="209">
        <v>-47184.480000000003</v>
      </c>
      <c r="G26" s="209">
        <v>0</v>
      </c>
      <c r="H26" s="209">
        <v>0</v>
      </c>
      <c r="I26" s="223">
        <v>-2893922.85</v>
      </c>
      <c r="J26" s="223">
        <v>0</v>
      </c>
      <c r="K26" s="223">
        <v>-3129067.6399999997</v>
      </c>
      <c r="L26" s="223">
        <v>0</v>
      </c>
      <c r="M26" s="223">
        <v>-240060.84</v>
      </c>
      <c r="N26" s="223">
        <v>-6073.6</v>
      </c>
      <c r="O26" s="223">
        <v>-500</v>
      </c>
      <c r="P26" s="223">
        <v>-1000</v>
      </c>
      <c r="Q26" s="223">
        <v>-129317.86000000002</v>
      </c>
      <c r="R26" s="223">
        <v>0</v>
      </c>
      <c r="S26" s="223">
        <v>-8896.2000000000007</v>
      </c>
      <c r="T26" s="223">
        <v>-783</v>
      </c>
      <c r="U26" s="223">
        <v>0</v>
      </c>
      <c r="V26" s="223">
        <v>-17500</v>
      </c>
      <c r="W26" s="223">
        <v>0</v>
      </c>
      <c r="X26" s="223">
        <v>0</v>
      </c>
      <c r="Y26" s="223">
        <v>0</v>
      </c>
      <c r="Z26" s="223">
        <v>0</v>
      </c>
      <c r="AA26" s="223">
        <v>0</v>
      </c>
      <c r="AB26" s="223">
        <v>-12912.32</v>
      </c>
      <c r="AC26" s="223">
        <v>-17973</v>
      </c>
      <c r="AD26" s="210">
        <v>2228131.4</v>
      </c>
      <c r="AE26" s="210">
        <v>4739</v>
      </c>
      <c r="AF26" s="210">
        <v>1341371.3499999999</v>
      </c>
      <c r="AG26" s="210">
        <v>114305.50999999998</v>
      </c>
      <c r="AH26" s="210">
        <v>346105.56</v>
      </c>
      <c r="AI26" s="210">
        <v>49770.350000000006</v>
      </c>
      <c r="AJ26" s="210">
        <v>18326.22</v>
      </c>
      <c r="AK26" s="210">
        <v>64736.46</v>
      </c>
      <c r="AL26" s="210">
        <v>19615.66</v>
      </c>
      <c r="AM26" s="210">
        <v>0</v>
      </c>
      <c r="AN26" s="210">
        <v>21265.66</v>
      </c>
      <c r="AO26" s="210">
        <v>139692.06000000011</v>
      </c>
      <c r="AP26" s="210">
        <v>5716.4900000000007</v>
      </c>
      <c r="AQ26" s="210">
        <v>86597.219999999972</v>
      </c>
      <c r="AR26" s="210">
        <v>8219.1099999999969</v>
      </c>
      <c r="AS26" s="210">
        <v>94621.09</v>
      </c>
      <c r="AT26" s="210">
        <v>14316.630000000001</v>
      </c>
      <c r="AU26" s="210">
        <v>50455.830000000009</v>
      </c>
      <c r="AV26" s="210">
        <v>79886.040000000081</v>
      </c>
      <c r="AW26" s="312">
        <v>0</v>
      </c>
      <c r="AX26" s="210">
        <v>39521.289999999994</v>
      </c>
      <c r="AY26" s="210">
        <v>0</v>
      </c>
      <c r="AZ26" s="210">
        <v>84</v>
      </c>
      <c r="BA26" s="210">
        <v>8950.31</v>
      </c>
      <c r="BB26" s="210">
        <v>11218.240000000005</v>
      </c>
      <c r="BC26" s="210">
        <v>3203</v>
      </c>
      <c r="BD26" s="210">
        <v>28064.98</v>
      </c>
      <c r="BE26" s="210">
        <v>22532.549999999996</v>
      </c>
      <c r="BF26" s="210">
        <v>51872.789999999994</v>
      </c>
      <c r="BG26" s="210">
        <v>8485.4200000000019</v>
      </c>
      <c r="BH26" s="210">
        <v>0</v>
      </c>
      <c r="BI26" s="210">
        <v>65438.800000000017</v>
      </c>
      <c r="BJ26" s="210">
        <v>30425.79</v>
      </c>
      <c r="BK26" s="210">
        <v>1149878.4099999999</v>
      </c>
      <c r="BL26" s="210">
        <v>-364781.93999999994</v>
      </c>
      <c r="BM26" s="210">
        <v>0</v>
      </c>
      <c r="BN26" s="210">
        <v>19532</v>
      </c>
      <c r="BO26" s="210">
        <v>0</v>
      </c>
      <c r="BP26" s="210">
        <v>0</v>
      </c>
      <c r="BQ26" s="211">
        <v>-18091.25</v>
      </c>
      <c r="BR26" s="211">
        <v>0</v>
      </c>
      <c r="BS26" s="211">
        <v>-19532</v>
      </c>
      <c r="BT26" s="212">
        <v>0</v>
      </c>
      <c r="BU26" s="212">
        <v>48728.82</v>
      </c>
      <c r="BV26" s="212">
        <v>32114.63</v>
      </c>
      <c r="BW26" s="212">
        <v>995.44</v>
      </c>
      <c r="BX26" s="212">
        <v>0</v>
      </c>
      <c r="BY26" s="212">
        <v>0</v>
      </c>
      <c r="BZ26" s="212">
        <v>0</v>
      </c>
      <c r="CA26" s="212">
        <v>21172</v>
      </c>
      <c r="CB26" s="212">
        <v>0</v>
      </c>
      <c r="CC26" s="224">
        <v>-795060.5400000005</v>
      </c>
      <c r="CD26" s="213"/>
      <c r="CE26" s="211">
        <v>770543.80999999971</v>
      </c>
      <c r="CF26" s="211">
        <v>9578</v>
      </c>
      <c r="CG26" s="211">
        <v>0</v>
      </c>
      <c r="CH26" s="211">
        <v>14938.729999999989</v>
      </c>
      <c r="CI26" s="211">
        <v>0</v>
      </c>
      <c r="CJ26" s="211">
        <v>0</v>
      </c>
      <c r="CK26" s="211">
        <v>795060.53999999969</v>
      </c>
      <c r="CL26" s="201"/>
      <c r="CM26" s="201">
        <f t="shared" si="10"/>
        <v>0</v>
      </c>
      <c r="CN26" s="340">
        <f t="shared" si="2"/>
        <v>770543.80999999971</v>
      </c>
      <c r="CO26" s="340">
        <f t="shared" si="3"/>
        <v>9578</v>
      </c>
      <c r="CP26" s="340">
        <f t="shared" si="4"/>
        <v>0</v>
      </c>
      <c r="CQ26" s="340">
        <f t="shared" si="5"/>
        <v>14938.729999999989</v>
      </c>
      <c r="CR26" s="340">
        <f t="shared" si="6"/>
        <v>0</v>
      </c>
      <c r="CS26" s="340">
        <f t="shared" si="7"/>
        <v>0</v>
      </c>
      <c r="CT26" s="90">
        <f t="shared" si="8"/>
        <v>795060.53999999969</v>
      </c>
      <c r="CV26" s="90">
        <f t="shared" si="9"/>
        <v>0</v>
      </c>
    </row>
    <row r="27" spans="1:100">
      <c r="A27" s="325">
        <v>125</v>
      </c>
      <c r="B27" s="325" t="s">
        <v>385</v>
      </c>
      <c r="C27" s="209">
        <v>-2388941.11</v>
      </c>
      <c r="D27" s="209">
        <v>-44219.05</v>
      </c>
      <c r="E27" s="209">
        <v>0</v>
      </c>
      <c r="F27" s="209">
        <v>-3309.96</v>
      </c>
      <c r="G27" s="209">
        <v>0</v>
      </c>
      <c r="H27" s="209">
        <v>0</v>
      </c>
      <c r="I27" s="223">
        <v>-2819658.71</v>
      </c>
      <c r="J27" s="223">
        <v>-2889.76</v>
      </c>
      <c r="K27" s="223">
        <v>-2097079.4999999998</v>
      </c>
      <c r="L27" s="223">
        <v>0</v>
      </c>
      <c r="M27" s="223">
        <v>-90324</v>
      </c>
      <c r="N27" s="223">
        <v>-4800</v>
      </c>
      <c r="O27" s="223">
        <v>-2175</v>
      </c>
      <c r="P27" s="223">
        <v>0</v>
      </c>
      <c r="Q27" s="223">
        <v>-420362.83999999985</v>
      </c>
      <c r="R27" s="223">
        <v>0</v>
      </c>
      <c r="S27" s="223">
        <v>0</v>
      </c>
      <c r="T27" s="223">
        <v>0</v>
      </c>
      <c r="U27" s="223">
        <v>-39080.44999999999</v>
      </c>
      <c r="V27" s="223">
        <v>-7369.44</v>
      </c>
      <c r="W27" s="223">
        <v>0</v>
      </c>
      <c r="X27" s="223">
        <v>0</v>
      </c>
      <c r="Y27" s="223">
        <v>0</v>
      </c>
      <c r="Z27" s="223">
        <v>0</v>
      </c>
      <c r="AA27" s="223">
        <v>0</v>
      </c>
      <c r="AB27" s="223">
        <v>-19356.88</v>
      </c>
      <c r="AC27" s="223">
        <v>-16386</v>
      </c>
      <c r="AD27" s="210">
        <v>2282000.48</v>
      </c>
      <c r="AE27" s="210">
        <v>31366.69</v>
      </c>
      <c r="AF27" s="210">
        <v>1688251.1200000003</v>
      </c>
      <c r="AG27" s="210">
        <v>80532.28</v>
      </c>
      <c r="AH27" s="210">
        <v>339661.79</v>
      </c>
      <c r="AI27" s="210">
        <v>1834.12</v>
      </c>
      <c r="AJ27" s="210">
        <v>0</v>
      </c>
      <c r="AK27" s="210">
        <v>23679.69</v>
      </c>
      <c r="AL27" s="210">
        <v>19693.86</v>
      </c>
      <c r="AM27" s="210">
        <v>0</v>
      </c>
      <c r="AN27" s="210">
        <v>0</v>
      </c>
      <c r="AO27" s="210">
        <v>97677.410000000033</v>
      </c>
      <c r="AP27" s="210">
        <v>14115.29</v>
      </c>
      <c r="AQ27" s="210">
        <v>13991.82</v>
      </c>
      <c r="AR27" s="210">
        <v>5808.08</v>
      </c>
      <c r="AS27" s="210">
        <v>61468.89</v>
      </c>
      <c r="AT27" s="210">
        <v>0</v>
      </c>
      <c r="AU27" s="210">
        <v>5566.4900000000007</v>
      </c>
      <c r="AV27" s="210">
        <v>174463.19999999998</v>
      </c>
      <c r="AW27" s="312">
        <v>0</v>
      </c>
      <c r="AX27" s="210">
        <v>4742.38</v>
      </c>
      <c r="AY27" s="210">
        <v>0</v>
      </c>
      <c r="AZ27" s="210">
        <v>7515.9</v>
      </c>
      <c r="BA27" s="210">
        <v>0</v>
      </c>
      <c r="BB27" s="210">
        <v>25180.36</v>
      </c>
      <c r="BC27" s="210">
        <v>364.92</v>
      </c>
      <c r="BD27" s="210">
        <v>2147.5</v>
      </c>
      <c r="BE27" s="210">
        <v>21936.65</v>
      </c>
      <c r="BF27" s="210">
        <v>46603.03</v>
      </c>
      <c r="BG27" s="210">
        <v>39002.490000000005</v>
      </c>
      <c r="BH27" s="210">
        <v>0</v>
      </c>
      <c r="BI27" s="210">
        <v>19556.599999999999</v>
      </c>
      <c r="BJ27" s="210">
        <v>0</v>
      </c>
      <c r="BK27" s="210">
        <v>56106.57</v>
      </c>
      <c r="BL27" s="210">
        <v>62651.74</v>
      </c>
      <c r="BM27" s="210">
        <v>0</v>
      </c>
      <c r="BN27" s="210">
        <v>0</v>
      </c>
      <c r="BO27" s="210">
        <v>0</v>
      </c>
      <c r="BP27" s="210">
        <v>0</v>
      </c>
      <c r="BQ27" s="211">
        <v>-15188.13</v>
      </c>
      <c r="BR27" s="211">
        <v>0</v>
      </c>
      <c r="BS27" s="211">
        <v>0</v>
      </c>
      <c r="BT27" s="212">
        <v>0</v>
      </c>
      <c r="BU27" s="212">
        <v>59907.57</v>
      </c>
      <c r="BV27" s="212">
        <v>0</v>
      </c>
      <c r="BW27" s="212">
        <v>0</v>
      </c>
      <c r="BX27" s="212">
        <v>0</v>
      </c>
      <c r="BY27" s="212">
        <v>0</v>
      </c>
      <c r="BZ27" s="212">
        <v>0</v>
      </c>
      <c r="CA27" s="212">
        <v>0</v>
      </c>
      <c r="CB27" s="212">
        <v>0</v>
      </c>
      <c r="CC27" s="224">
        <v>-2785313.91</v>
      </c>
      <c r="CD27" s="213"/>
      <c r="CE27" s="211">
        <v>2753532.5599999987</v>
      </c>
      <c r="CF27" s="211">
        <v>22080.510000000009</v>
      </c>
      <c r="CG27" s="211">
        <v>0</v>
      </c>
      <c r="CH27" s="211">
        <v>9700.8400000000038</v>
      </c>
      <c r="CI27" s="211">
        <v>0</v>
      </c>
      <c r="CJ27" s="211">
        <v>0</v>
      </c>
      <c r="CK27" s="211">
        <v>2785313.9099999983</v>
      </c>
      <c r="CL27" s="201"/>
      <c r="CM27" s="201">
        <f t="shared" si="10"/>
        <v>0</v>
      </c>
      <c r="CN27" s="340">
        <f t="shared" si="2"/>
        <v>2753532.5599999987</v>
      </c>
      <c r="CO27" s="340">
        <f t="shared" si="3"/>
        <v>22080.510000000009</v>
      </c>
      <c r="CP27" s="340">
        <f t="shared" si="4"/>
        <v>0</v>
      </c>
      <c r="CQ27" s="340">
        <f t="shared" si="5"/>
        <v>9700.8400000000038</v>
      </c>
      <c r="CR27" s="340">
        <f t="shared" si="6"/>
        <v>0</v>
      </c>
      <c r="CS27" s="340">
        <f t="shared" si="7"/>
        <v>0</v>
      </c>
      <c r="CT27" s="90">
        <f t="shared" si="8"/>
        <v>2785313.9099999983</v>
      </c>
      <c r="CV27" s="90">
        <f t="shared" si="9"/>
        <v>0</v>
      </c>
    </row>
    <row r="28" spans="1:100">
      <c r="A28" s="325">
        <v>127</v>
      </c>
      <c r="B28" s="325" t="s">
        <v>386</v>
      </c>
      <c r="C28" s="209">
        <v>278824.93</v>
      </c>
      <c r="D28" s="209">
        <v>-114463.56</v>
      </c>
      <c r="E28" s="209">
        <v>0</v>
      </c>
      <c r="F28" s="209">
        <v>-22433.56</v>
      </c>
      <c r="G28" s="209">
        <v>0</v>
      </c>
      <c r="H28" s="209">
        <v>0</v>
      </c>
      <c r="I28" s="223">
        <v>-1834398.9500000002</v>
      </c>
      <c r="J28" s="223">
        <v>-2311.81</v>
      </c>
      <c r="K28" s="223">
        <v>-2933842.3899999992</v>
      </c>
      <c r="L28" s="223">
        <v>0</v>
      </c>
      <c r="M28" s="223">
        <v>-69800</v>
      </c>
      <c r="N28" s="223">
        <v>-200</v>
      </c>
      <c r="O28" s="223">
        <v>0</v>
      </c>
      <c r="P28" s="223">
        <v>-35419.430000000008</v>
      </c>
      <c r="Q28" s="223">
        <v>-27054.7</v>
      </c>
      <c r="R28" s="223">
        <v>0</v>
      </c>
      <c r="S28" s="223">
        <v>-8242</v>
      </c>
      <c r="T28" s="223">
        <v>-33005.25</v>
      </c>
      <c r="U28" s="223">
        <v>0</v>
      </c>
      <c r="V28" s="223">
        <v>-82741.319999999992</v>
      </c>
      <c r="W28" s="223">
        <v>0</v>
      </c>
      <c r="X28" s="223">
        <v>0</v>
      </c>
      <c r="Y28" s="223">
        <v>0</v>
      </c>
      <c r="Z28" s="223">
        <v>0</v>
      </c>
      <c r="AA28" s="223">
        <v>0</v>
      </c>
      <c r="AB28" s="223">
        <v>-7012</v>
      </c>
      <c r="AC28" s="223">
        <v>-19341</v>
      </c>
      <c r="AD28" s="210">
        <v>1721355.9999999998</v>
      </c>
      <c r="AE28" s="210">
        <v>62232.189999999995</v>
      </c>
      <c r="AF28" s="210">
        <v>2035998.13</v>
      </c>
      <c r="AG28" s="210">
        <v>188065.16999999998</v>
      </c>
      <c r="AH28" s="210">
        <v>225038.67</v>
      </c>
      <c r="AI28" s="210">
        <v>0</v>
      </c>
      <c r="AJ28" s="210">
        <v>16161.279999999999</v>
      </c>
      <c r="AK28" s="210">
        <v>15825.41</v>
      </c>
      <c r="AL28" s="210">
        <v>18057.37</v>
      </c>
      <c r="AM28" s="210">
        <v>36418.379999999997</v>
      </c>
      <c r="AN28" s="210">
        <v>12394.41</v>
      </c>
      <c r="AO28" s="210">
        <v>133279.78000000006</v>
      </c>
      <c r="AP28" s="210">
        <v>0</v>
      </c>
      <c r="AQ28" s="210">
        <v>13835.580000000002</v>
      </c>
      <c r="AR28" s="210">
        <v>8959.7099999999991</v>
      </c>
      <c r="AS28" s="210">
        <v>90339.640000000014</v>
      </c>
      <c r="AT28" s="210">
        <v>0</v>
      </c>
      <c r="AU28" s="210">
        <v>3355.1</v>
      </c>
      <c r="AV28" s="210">
        <v>172873.40999999997</v>
      </c>
      <c r="AW28" s="312">
        <v>83374.78</v>
      </c>
      <c r="AX28" s="210">
        <v>0</v>
      </c>
      <c r="AY28" s="210">
        <v>0</v>
      </c>
      <c r="AZ28" s="210">
        <v>0</v>
      </c>
      <c r="BA28" s="210">
        <v>0</v>
      </c>
      <c r="BB28" s="210">
        <v>0</v>
      </c>
      <c r="BC28" s="210">
        <v>0</v>
      </c>
      <c r="BD28" s="210">
        <v>958.65</v>
      </c>
      <c r="BE28" s="210">
        <v>0</v>
      </c>
      <c r="BF28" s="210">
        <v>24723.029999999995</v>
      </c>
      <c r="BG28" s="210">
        <v>25915.32</v>
      </c>
      <c r="BH28" s="210">
        <v>0</v>
      </c>
      <c r="BI28" s="210">
        <v>17347.519999999997</v>
      </c>
      <c r="BJ28" s="210">
        <v>76048.929999999993</v>
      </c>
      <c r="BK28" s="210">
        <v>221823.57</v>
      </c>
      <c r="BL28" s="210">
        <v>36034.099999999977</v>
      </c>
      <c r="BM28" s="210">
        <v>0</v>
      </c>
      <c r="BN28" s="210">
        <v>0</v>
      </c>
      <c r="BO28" s="210">
        <v>0</v>
      </c>
      <c r="BP28" s="210">
        <v>0</v>
      </c>
      <c r="BQ28" s="211">
        <v>-12150.63</v>
      </c>
      <c r="BR28" s="211">
        <v>0</v>
      </c>
      <c r="BS28" s="211">
        <v>0</v>
      </c>
      <c r="BT28" s="212">
        <v>0</v>
      </c>
      <c r="BU28" s="212">
        <v>-22211.02</v>
      </c>
      <c r="BV28" s="212">
        <v>64330</v>
      </c>
      <c r="BW28" s="212">
        <v>0</v>
      </c>
      <c r="BX28" s="212">
        <v>0</v>
      </c>
      <c r="BY28" s="212">
        <v>0</v>
      </c>
      <c r="BZ28" s="212">
        <v>0</v>
      </c>
      <c r="CA28" s="212">
        <v>0</v>
      </c>
      <c r="CB28" s="212">
        <v>0</v>
      </c>
      <c r="CC28" s="224">
        <v>358943.43999999983</v>
      </c>
      <c r="CD28" s="213"/>
      <c r="CE28" s="211">
        <v>-376687.12999999977</v>
      </c>
      <c r="CF28" s="211">
        <v>-9240.5000000000018</v>
      </c>
      <c r="CG28" s="211">
        <v>0</v>
      </c>
      <c r="CH28" s="211">
        <v>26984.190000000006</v>
      </c>
      <c r="CI28" s="211">
        <v>0</v>
      </c>
      <c r="CJ28" s="211">
        <v>0</v>
      </c>
      <c r="CK28" s="211">
        <v>-358943.43999999977</v>
      </c>
      <c r="CL28" s="201"/>
      <c r="CM28" s="201">
        <f t="shared" si="10"/>
        <v>0</v>
      </c>
      <c r="CN28" s="340">
        <f t="shared" si="2"/>
        <v>-376687.12999999977</v>
      </c>
      <c r="CO28" s="340">
        <f t="shared" si="3"/>
        <v>-9240.5000000000018</v>
      </c>
      <c r="CP28" s="340">
        <f t="shared" si="4"/>
        <v>0</v>
      </c>
      <c r="CQ28" s="340">
        <f t="shared" si="5"/>
        <v>26984.190000000006</v>
      </c>
      <c r="CR28" s="340">
        <f t="shared" si="6"/>
        <v>0</v>
      </c>
      <c r="CS28" s="340">
        <f t="shared" si="7"/>
        <v>0</v>
      </c>
      <c r="CT28" s="90">
        <f t="shared" si="8"/>
        <v>-358943.43999999977</v>
      </c>
      <c r="CV28" s="90">
        <f t="shared" si="9"/>
        <v>0</v>
      </c>
    </row>
    <row r="29" spans="1:100">
      <c r="A29" s="325">
        <v>139</v>
      </c>
      <c r="B29" s="325" t="s">
        <v>387</v>
      </c>
      <c r="C29" s="209">
        <v>-31991.3</v>
      </c>
      <c r="D29" s="209">
        <v>-4663</v>
      </c>
      <c r="E29" s="209">
        <v>0</v>
      </c>
      <c r="F29" s="209">
        <v>0</v>
      </c>
      <c r="G29" s="209">
        <v>0</v>
      </c>
      <c r="H29" s="209">
        <v>0</v>
      </c>
      <c r="I29" s="223">
        <v>-1577454.94</v>
      </c>
      <c r="J29" s="223">
        <v>-1733.85</v>
      </c>
      <c r="K29" s="223">
        <v>-1784852.9600000002</v>
      </c>
      <c r="L29" s="223">
        <v>0</v>
      </c>
      <c r="M29" s="223">
        <v>-71920</v>
      </c>
      <c r="N29" s="223">
        <v>0</v>
      </c>
      <c r="O29" s="223">
        <v>-100</v>
      </c>
      <c r="P29" s="223">
        <v>0</v>
      </c>
      <c r="Q29" s="223">
        <v>-59465.83</v>
      </c>
      <c r="R29" s="223">
        <v>-2261.52</v>
      </c>
      <c r="S29" s="223">
        <v>-10828</v>
      </c>
      <c r="T29" s="223">
        <v>-8207.2000000000007</v>
      </c>
      <c r="U29" s="223">
        <v>0</v>
      </c>
      <c r="V29" s="223">
        <v>0</v>
      </c>
      <c r="W29" s="223">
        <v>0</v>
      </c>
      <c r="X29" s="223">
        <v>0</v>
      </c>
      <c r="Y29" s="223">
        <v>0</v>
      </c>
      <c r="Z29" s="223">
        <v>0</v>
      </c>
      <c r="AA29" s="223">
        <v>0</v>
      </c>
      <c r="AB29" s="223">
        <v>-14941.5</v>
      </c>
      <c r="AC29" s="223">
        <v>-24895</v>
      </c>
      <c r="AD29" s="210">
        <v>1351022.46</v>
      </c>
      <c r="AE29" s="210">
        <v>154.38</v>
      </c>
      <c r="AF29" s="210">
        <v>1468297.97</v>
      </c>
      <c r="AG29" s="210">
        <v>37357.870000000003</v>
      </c>
      <c r="AH29" s="210">
        <v>132511.12</v>
      </c>
      <c r="AI29" s="210">
        <v>0</v>
      </c>
      <c r="AJ29" s="210">
        <v>50650.990000000005</v>
      </c>
      <c r="AK29" s="210">
        <v>11496.4</v>
      </c>
      <c r="AL29" s="210">
        <v>12087.57</v>
      </c>
      <c r="AM29" s="210">
        <v>8000</v>
      </c>
      <c r="AN29" s="210">
        <v>26515.350000000002</v>
      </c>
      <c r="AO29" s="210">
        <v>24799.259999999995</v>
      </c>
      <c r="AP29" s="210">
        <v>6951.4000000000005</v>
      </c>
      <c r="AQ29" s="210">
        <v>61040.1</v>
      </c>
      <c r="AR29" s="210">
        <v>7796.1799999999994</v>
      </c>
      <c r="AS29" s="210">
        <v>67955.930000000008</v>
      </c>
      <c r="AT29" s="210">
        <v>0</v>
      </c>
      <c r="AU29" s="210">
        <v>16001.309999999996</v>
      </c>
      <c r="AV29" s="210">
        <v>39351.94000000001</v>
      </c>
      <c r="AW29" s="312">
        <v>-1.7053025658242404E-12</v>
      </c>
      <c r="AX29" s="210">
        <v>8693.2200000000012</v>
      </c>
      <c r="AY29" s="210">
        <v>0</v>
      </c>
      <c r="AZ29" s="210">
        <v>9786.7800000000007</v>
      </c>
      <c r="BA29" s="210">
        <v>6289.5299999999988</v>
      </c>
      <c r="BB29" s="210">
        <v>21262.690000000002</v>
      </c>
      <c r="BC29" s="210">
        <v>7536.41</v>
      </c>
      <c r="BD29" s="210">
        <v>4683.9400000000005</v>
      </c>
      <c r="BE29" s="210">
        <v>1254.95</v>
      </c>
      <c r="BF29" s="210">
        <v>4903.3999999999996</v>
      </c>
      <c r="BG29" s="210">
        <v>21562.54</v>
      </c>
      <c r="BH29" s="210">
        <v>5690.4699999999984</v>
      </c>
      <c r="BI29" s="210">
        <v>33126.9</v>
      </c>
      <c r="BJ29" s="210">
        <v>0</v>
      </c>
      <c r="BK29" s="210">
        <v>62811.449999999946</v>
      </c>
      <c r="BL29" s="210">
        <v>23891.419999999991</v>
      </c>
      <c r="BM29" s="210">
        <v>0</v>
      </c>
      <c r="BN29" s="210">
        <v>7850</v>
      </c>
      <c r="BO29" s="210">
        <v>0</v>
      </c>
      <c r="BP29" s="210">
        <v>0</v>
      </c>
      <c r="BQ29" s="211">
        <v>-10581.25</v>
      </c>
      <c r="BR29" s="211">
        <v>0</v>
      </c>
      <c r="BS29" s="211">
        <v>-7850</v>
      </c>
      <c r="BT29" s="212">
        <v>0</v>
      </c>
      <c r="BU29" s="212">
        <v>23425.13</v>
      </c>
      <c r="BV29" s="212">
        <v>0</v>
      </c>
      <c r="BW29" s="212">
        <v>0</v>
      </c>
      <c r="BX29" s="212">
        <v>0</v>
      </c>
      <c r="BY29" s="212">
        <v>0</v>
      </c>
      <c r="BZ29" s="212">
        <v>0</v>
      </c>
      <c r="CA29" s="212">
        <v>0</v>
      </c>
      <c r="CB29" s="212">
        <v>0</v>
      </c>
      <c r="CC29" s="224">
        <v>-46987.290000000881</v>
      </c>
      <c r="CD29" s="213"/>
      <c r="CE29" s="211">
        <v>45813.040000000692</v>
      </c>
      <c r="CF29" s="211">
        <v>1174</v>
      </c>
      <c r="CG29" s="211">
        <v>0</v>
      </c>
      <c r="CH29" s="211">
        <v>0.25</v>
      </c>
      <c r="CI29" s="211">
        <v>0</v>
      </c>
      <c r="CJ29" s="211">
        <v>0</v>
      </c>
      <c r="CK29" s="211">
        <v>46987.290000000692</v>
      </c>
      <c r="CL29" s="201"/>
      <c r="CM29" s="201">
        <f t="shared" si="10"/>
        <v>-1.8917489796876907E-10</v>
      </c>
      <c r="CN29" s="340">
        <f t="shared" si="2"/>
        <v>45813.040000000692</v>
      </c>
      <c r="CO29" s="340">
        <f t="shared" si="3"/>
        <v>1174</v>
      </c>
      <c r="CP29" s="340">
        <f t="shared" si="4"/>
        <v>0</v>
      </c>
      <c r="CQ29" s="340">
        <f t="shared" si="5"/>
        <v>0.25</v>
      </c>
      <c r="CR29" s="340">
        <f t="shared" si="6"/>
        <v>0</v>
      </c>
      <c r="CS29" s="340">
        <f t="shared" si="7"/>
        <v>0</v>
      </c>
      <c r="CT29" s="90">
        <f t="shared" si="8"/>
        <v>46987.290000000692</v>
      </c>
      <c r="CV29" s="90">
        <f t="shared" si="9"/>
        <v>0</v>
      </c>
    </row>
    <row r="30" spans="1:100">
      <c r="A30" s="325">
        <v>145</v>
      </c>
      <c r="B30" s="325" t="s">
        <v>388</v>
      </c>
      <c r="C30" s="209">
        <v>-252442.62</v>
      </c>
      <c r="D30" s="209">
        <v>-77606.570000000007</v>
      </c>
      <c r="E30" s="209">
        <v>0</v>
      </c>
      <c r="F30" s="209">
        <v>-30025.77</v>
      </c>
      <c r="G30" s="209">
        <v>0</v>
      </c>
      <c r="H30" s="209">
        <v>0</v>
      </c>
      <c r="I30" s="223">
        <v>-1541089.5499999998</v>
      </c>
      <c r="J30" s="223">
        <v>-1541.21</v>
      </c>
      <c r="K30" s="223">
        <v>-1856436.6400000001</v>
      </c>
      <c r="L30" s="223">
        <v>0</v>
      </c>
      <c r="M30" s="223">
        <v>-88113.35</v>
      </c>
      <c r="N30" s="223">
        <v>-11978.98</v>
      </c>
      <c r="O30" s="223">
        <v>-3700</v>
      </c>
      <c r="P30" s="223">
        <v>0</v>
      </c>
      <c r="Q30" s="223">
        <v>-22252.600000000002</v>
      </c>
      <c r="R30" s="223">
        <v>0</v>
      </c>
      <c r="S30" s="223">
        <v>0</v>
      </c>
      <c r="T30" s="223">
        <v>-10016</v>
      </c>
      <c r="U30" s="223">
        <v>-238.40000000000006</v>
      </c>
      <c r="V30" s="223">
        <v>-7021.71</v>
      </c>
      <c r="W30" s="223">
        <v>0</v>
      </c>
      <c r="X30" s="223">
        <v>0</v>
      </c>
      <c r="Y30" s="223">
        <v>0</v>
      </c>
      <c r="Z30" s="223">
        <v>0</v>
      </c>
      <c r="AA30" s="223">
        <v>0</v>
      </c>
      <c r="AB30" s="223">
        <v>-7356.25</v>
      </c>
      <c r="AC30" s="223">
        <v>-20640</v>
      </c>
      <c r="AD30" s="210">
        <v>959118.40999999992</v>
      </c>
      <c r="AE30" s="210">
        <v>68081.579999999987</v>
      </c>
      <c r="AF30" s="210">
        <v>1596939.38</v>
      </c>
      <c r="AG30" s="210">
        <v>120811.78000000001</v>
      </c>
      <c r="AH30" s="210">
        <v>134810.29</v>
      </c>
      <c r="AI30" s="210">
        <v>0</v>
      </c>
      <c r="AJ30" s="210">
        <v>50814.939999999995</v>
      </c>
      <c r="AK30" s="210">
        <v>89258.29</v>
      </c>
      <c r="AL30" s="210">
        <v>21610.04</v>
      </c>
      <c r="AM30" s="210">
        <v>13979.47</v>
      </c>
      <c r="AN30" s="210">
        <v>0</v>
      </c>
      <c r="AO30" s="210">
        <v>54916.369999999995</v>
      </c>
      <c r="AP30" s="210">
        <v>13796.52</v>
      </c>
      <c r="AQ30" s="210">
        <v>10752.730000000003</v>
      </c>
      <c r="AR30" s="210">
        <v>3633.3599999999997</v>
      </c>
      <c r="AS30" s="210">
        <v>62121.87</v>
      </c>
      <c r="AT30" s="210">
        <v>0</v>
      </c>
      <c r="AU30" s="210">
        <v>20176.010000000002</v>
      </c>
      <c r="AV30" s="210">
        <v>106911.70999999999</v>
      </c>
      <c r="AW30" s="312">
        <v>0</v>
      </c>
      <c r="AX30" s="210">
        <v>2501.81</v>
      </c>
      <c r="AY30" s="210">
        <v>0</v>
      </c>
      <c r="AZ30" s="210">
        <v>453.98</v>
      </c>
      <c r="BA30" s="210">
        <v>13042.59</v>
      </c>
      <c r="BB30" s="210">
        <v>0</v>
      </c>
      <c r="BC30" s="210">
        <v>430.5</v>
      </c>
      <c r="BD30" s="210">
        <v>6148.5</v>
      </c>
      <c r="BE30" s="210">
        <v>475</v>
      </c>
      <c r="BF30" s="210">
        <v>34575.360000000001</v>
      </c>
      <c r="BG30" s="210">
        <v>22456.62</v>
      </c>
      <c r="BH30" s="210">
        <v>0</v>
      </c>
      <c r="BI30" s="210">
        <v>22845.02</v>
      </c>
      <c r="BJ30" s="210">
        <v>6125.48</v>
      </c>
      <c r="BK30" s="210">
        <v>264024.15000000002</v>
      </c>
      <c r="BL30" s="210">
        <v>44432.489999999991</v>
      </c>
      <c r="BM30" s="210">
        <v>0</v>
      </c>
      <c r="BN30" s="210">
        <v>0</v>
      </c>
      <c r="BO30" s="210">
        <v>0</v>
      </c>
      <c r="BP30" s="210">
        <v>0</v>
      </c>
      <c r="BQ30" s="211">
        <v>-10480</v>
      </c>
      <c r="BR30" s="211">
        <v>0</v>
      </c>
      <c r="BS30" s="211">
        <v>0</v>
      </c>
      <c r="BT30" s="212">
        <v>0</v>
      </c>
      <c r="BU30" s="212">
        <v>19350</v>
      </c>
      <c r="BV30" s="212">
        <v>0</v>
      </c>
      <c r="BW30" s="212">
        <v>0</v>
      </c>
      <c r="BX30" s="212">
        <v>0</v>
      </c>
      <c r="BY30" s="212">
        <v>0</v>
      </c>
      <c r="BZ30" s="212">
        <v>0</v>
      </c>
      <c r="CA30" s="212">
        <v>0</v>
      </c>
      <c r="CB30" s="212">
        <v>0</v>
      </c>
      <c r="CC30" s="224">
        <v>-176345.40000000026</v>
      </c>
      <c r="CD30" s="213"/>
      <c r="CE30" s="211">
        <v>91400.980000000171</v>
      </c>
      <c r="CF30" s="211">
        <v>65598.64</v>
      </c>
      <c r="CG30" s="211">
        <v>0</v>
      </c>
      <c r="CH30" s="211">
        <v>19345.78</v>
      </c>
      <c r="CI30" s="211">
        <v>0</v>
      </c>
      <c r="CJ30" s="211">
        <v>0</v>
      </c>
      <c r="CK30" s="211">
        <v>176345.40000000017</v>
      </c>
      <c r="CL30" s="201"/>
      <c r="CM30" s="201">
        <f t="shared" si="10"/>
        <v>0</v>
      </c>
      <c r="CN30" s="340">
        <f t="shared" si="2"/>
        <v>91400.980000000171</v>
      </c>
      <c r="CO30" s="340">
        <f t="shared" si="3"/>
        <v>65598.64</v>
      </c>
      <c r="CP30" s="340">
        <f t="shared" si="4"/>
        <v>0</v>
      </c>
      <c r="CQ30" s="340">
        <f t="shared" si="5"/>
        <v>19345.78</v>
      </c>
      <c r="CR30" s="340">
        <f t="shared" si="6"/>
        <v>0</v>
      </c>
      <c r="CS30" s="340">
        <f t="shared" si="7"/>
        <v>0</v>
      </c>
      <c r="CT30" s="90">
        <f t="shared" si="8"/>
        <v>176345.40000000017</v>
      </c>
      <c r="CV30" s="90">
        <f t="shared" si="9"/>
        <v>0</v>
      </c>
    </row>
    <row r="31" spans="1:100">
      <c r="A31" s="325">
        <v>526</v>
      </c>
      <c r="B31" s="325" t="s">
        <v>288</v>
      </c>
      <c r="C31" s="209">
        <v>0</v>
      </c>
      <c r="D31" s="209">
        <v>-40432.03</v>
      </c>
      <c r="E31" s="209">
        <v>50329.53</v>
      </c>
      <c r="F31" s="209">
        <v>-15606.28</v>
      </c>
      <c r="G31" s="209">
        <v>0</v>
      </c>
      <c r="H31" s="209">
        <v>0</v>
      </c>
      <c r="I31" s="223">
        <v>-138805.90000000002</v>
      </c>
      <c r="J31" s="223">
        <v>0</v>
      </c>
      <c r="K31" s="223">
        <v>-12529</v>
      </c>
      <c r="L31" s="223">
        <v>0</v>
      </c>
      <c r="M31" s="223">
        <v>-4070</v>
      </c>
      <c r="N31" s="223">
        <v>0</v>
      </c>
      <c r="O31" s="223">
        <v>0</v>
      </c>
      <c r="P31" s="223">
        <v>0</v>
      </c>
      <c r="Q31" s="223">
        <v>-2657.45</v>
      </c>
      <c r="R31" s="223">
        <v>43.12</v>
      </c>
      <c r="S31" s="223">
        <v>0</v>
      </c>
      <c r="T31" s="223">
        <v>0</v>
      </c>
      <c r="U31" s="223">
        <v>-1029.9099999999999</v>
      </c>
      <c r="V31" s="223">
        <v>-4930</v>
      </c>
      <c r="W31" s="223">
        <v>0</v>
      </c>
      <c r="X31" s="223">
        <v>0</v>
      </c>
      <c r="Y31" s="223">
        <v>0</v>
      </c>
      <c r="Z31" s="223">
        <v>0</v>
      </c>
      <c r="AA31" s="223">
        <v>0</v>
      </c>
      <c r="AB31" s="223">
        <v>-781.25</v>
      </c>
      <c r="AC31" s="223">
        <v>-14754</v>
      </c>
      <c r="AD31" s="210">
        <v>98285.06</v>
      </c>
      <c r="AE31" s="210">
        <v>2179.2800000000002</v>
      </c>
      <c r="AF31" s="210">
        <v>20334.580000000002</v>
      </c>
      <c r="AG31" s="210">
        <v>0</v>
      </c>
      <c r="AH31" s="210">
        <v>10140.18</v>
      </c>
      <c r="AI31" s="210">
        <v>0</v>
      </c>
      <c r="AJ31" s="210">
        <v>4974.28</v>
      </c>
      <c r="AK31" s="210">
        <v>608.04000000000008</v>
      </c>
      <c r="AL31" s="210">
        <v>1263</v>
      </c>
      <c r="AM31" s="210">
        <v>62.269999999999982</v>
      </c>
      <c r="AN31" s="210">
        <v>0</v>
      </c>
      <c r="AO31" s="210">
        <v>4028.2</v>
      </c>
      <c r="AP31" s="210">
        <v>411.96000000000004</v>
      </c>
      <c r="AQ31" s="210">
        <v>4595.5799999999981</v>
      </c>
      <c r="AR31" s="210">
        <v>347.27</v>
      </c>
      <c r="AS31" s="210">
        <v>3139.2799999999997</v>
      </c>
      <c r="AT31" s="210">
        <v>2153.2200000000003</v>
      </c>
      <c r="AU31" s="210">
        <v>1128.74</v>
      </c>
      <c r="AV31" s="210">
        <v>18549.55</v>
      </c>
      <c r="AW31" s="312">
        <v>0</v>
      </c>
      <c r="AX31" s="210">
        <v>2515.34</v>
      </c>
      <c r="AY31" s="210">
        <v>0</v>
      </c>
      <c r="AZ31" s="210">
        <v>0</v>
      </c>
      <c r="BA31" s="210">
        <v>0</v>
      </c>
      <c r="BB31" s="210">
        <v>0</v>
      </c>
      <c r="BC31" s="210">
        <v>0</v>
      </c>
      <c r="BD31" s="210">
        <v>897.5</v>
      </c>
      <c r="BE31" s="210">
        <v>0</v>
      </c>
      <c r="BF31" s="210">
        <v>787.73</v>
      </c>
      <c r="BG31" s="210">
        <v>420.38000000000011</v>
      </c>
      <c r="BH31" s="210">
        <v>0</v>
      </c>
      <c r="BI31" s="210">
        <v>2723.1000000000004</v>
      </c>
      <c r="BJ31" s="210">
        <v>3046</v>
      </c>
      <c r="BK31" s="210">
        <v>1886</v>
      </c>
      <c r="BL31" s="210">
        <v>5241.630000000001</v>
      </c>
      <c r="BM31" s="210">
        <v>0</v>
      </c>
      <c r="BN31" s="210">
        <v>0</v>
      </c>
      <c r="BO31" s="210">
        <v>0</v>
      </c>
      <c r="BP31" s="210">
        <v>0</v>
      </c>
      <c r="BQ31" s="211">
        <v>-4495</v>
      </c>
      <c r="BR31" s="211">
        <v>0</v>
      </c>
      <c r="BS31" s="211">
        <v>0</v>
      </c>
      <c r="BT31" s="212">
        <v>0</v>
      </c>
      <c r="BU31" s="212">
        <v>0</v>
      </c>
      <c r="BV31" s="212">
        <v>0</v>
      </c>
      <c r="BW31" s="212">
        <v>0</v>
      </c>
      <c r="BX31" s="212">
        <v>0</v>
      </c>
      <c r="BY31" s="212">
        <v>0</v>
      </c>
      <c r="BZ31" s="212">
        <v>0</v>
      </c>
      <c r="CA31" s="212">
        <v>0</v>
      </c>
      <c r="CB31" s="212">
        <v>0</v>
      </c>
      <c r="CC31" s="224">
        <v>-4.9112713895738125E-11</v>
      </c>
      <c r="CD31" s="213"/>
      <c r="CE31" s="211"/>
      <c r="CF31" s="211"/>
      <c r="CG31" s="211"/>
      <c r="CH31" s="211"/>
      <c r="CI31" s="211"/>
      <c r="CJ31" s="211"/>
      <c r="CK31" s="211"/>
      <c r="CL31" s="201"/>
      <c r="CM31" s="201">
        <f t="shared" si="10"/>
        <v>-4.9112713895738125E-11</v>
      </c>
      <c r="CN31" s="340">
        <f t="shared" si="2"/>
        <v>0</v>
      </c>
      <c r="CO31" s="340">
        <f t="shared" si="3"/>
        <v>0</v>
      </c>
      <c r="CP31" s="340">
        <f t="shared" si="4"/>
        <v>0</v>
      </c>
      <c r="CQ31" s="340">
        <f t="shared" si="5"/>
        <v>0</v>
      </c>
      <c r="CR31" s="340">
        <f t="shared" si="6"/>
        <v>0</v>
      </c>
      <c r="CS31" s="340">
        <f t="shared" si="7"/>
        <v>0</v>
      </c>
      <c r="CT31" s="90">
        <f t="shared" si="8"/>
        <v>0</v>
      </c>
      <c r="CV31" s="90">
        <f t="shared" si="9"/>
        <v>0</v>
      </c>
    </row>
    <row r="32" spans="1:100">
      <c r="A32" s="325">
        <v>529</v>
      </c>
      <c r="B32" s="325" t="s">
        <v>213</v>
      </c>
      <c r="C32" s="209">
        <v>-110403.15</v>
      </c>
      <c r="D32" s="209">
        <v>-21365.3</v>
      </c>
      <c r="E32" s="209">
        <v>0</v>
      </c>
      <c r="F32" s="209">
        <v>-3860.02</v>
      </c>
      <c r="G32" s="209">
        <v>0</v>
      </c>
      <c r="H32" s="209">
        <v>0</v>
      </c>
      <c r="I32" s="223">
        <v>-2079225.94</v>
      </c>
      <c r="J32" s="223">
        <v>0</v>
      </c>
      <c r="K32" s="223">
        <v>-143614</v>
      </c>
      <c r="L32" s="223">
        <v>0</v>
      </c>
      <c r="M32" s="223">
        <v>-89400</v>
      </c>
      <c r="N32" s="223">
        <v>-800</v>
      </c>
      <c r="O32" s="223">
        <v>-1100</v>
      </c>
      <c r="P32" s="223">
        <v>-13683.11</v>
      </c>
      <c r="Q32" s="223">
        <v>-40272.090000000004</v>
      </c>
      <c r="R32" s="223">
        <v>0</v>
      </c>
      <c r="S32" s="223">
        <v>0</v>
      </c>
      <c r="T32" s="223">
        <v>0</v>
      </c>
      <c r="U32" s="223">
        <v>-54638.080000000031</v>
      </c>
      <c r="V32" s="223">
        <v>-6915.4800000000005</v>
      </c>
      <c r="W32" s="223">
        <v>0</v>
      </c>
      <c r="X32" s="223">
        <v>0</v>
      </c>
      <c r="Y32" s="223">
        <v>0</v>
      </c>
      <c r="Z32" s="223">
        <v>0</v>
      </c>
      <c r="AA32" s="223">
        <v>0</v>
      </c>
      <c r="AB32" s="223">
        <v>-3958.75</v>
      </c>
      <c r="AC32" s="223">
        <v>-82547</v>
      </c>
      <c r="AD32" s="210">
        <v>1264007.8900000001</v>
      </c>
      <c r="AE32" s="210">
        <v>22561.25</v>
      </c>
      <c r="AF32" s="210">
        <v>530695.8600000001</v>
      </c>
      <c r="AG32" s="210">
        <v>89051.389999999985</v>
      </c>
      <c r="AH32" s="210">
        <v>138678.01</v>
      </c>
      <c r="AI32" s="210">
        <v>0</v>
      </c>
      <c r="AJ32" s="210">
        <v>90775.469999999987</v>
      </c>
      <c r="AK32" s="210">
        <v>7833.79</v>
      </c>
      <c r="AL32" s="210">
        <v>5213.49</v>
      </c>
      <c r="AM32" s="210">
        <v>2974.0800000000004</v>
      </c>
      <c r="AN32" s="210">
        <v>1000</v>
      </c>
      <c r="AO32" s="210">
        <v>12067.479999999996</v>
      </c>
      <c r="AP32" s="210">
        <v>3246.1100000000006</v>
      </c>
      <c r="AQ32" s="210">
        <v>7061.5299999999988</v>
      </c>
      <c r="AR32" s="210">
        <v>10245.66</v>
      </c>
      <c r="AS32" s="210">
        <v>45518.67</v>
      </c>
      <c r="AT32" s="210">
        <v>47590.5</v>
      </c>
      <c r="AU32" s="210">
        <v>8603.2000000000007</v>
      </c>
      <c r="AV32" s="210">
        <v>100882.31</v>
      </c>
      <c r="AW32" s="312">
        <v>0</v>
      </c>
      <c r="AX32" s="210">
        <v>5025.1499999999996</v>
      </c>
      <c r="AY32" s="210">
        <v>0</v>
      </c>
      <c r="AZ32" s="210">
        <v>3964.22</v>
      </c>
      <c r="BA32" s="210">
        <v>4124.9400000000005</v>
      </c>
      <c r="BB32" s="210">
        <v>0</v>
      </c>
      <c r="BC32" s="210">
        <v>0</v>
      </c>
      <c r="BD32" s="210">
        <v>3600</v>
      </c>
      <c r="BE32" s="210">
        <v>0</v>
      </c>
      <c r="BF32" s="210">
        <v>6665.58</v>
      </c>
      <c r="BG32" s="210">
        <v>19056.62</v>
      </c>
      <c r="BH32" s="210">
        <v>345</v>
      </c>
      <c r="BI32" s="210">
        <v>74817.959999999992</v>
      </c>
      <c r="BJ32" s="210">
        <v>6505</v>
      </c>
      <c r="BK32" s="210">
        <v>8231</v>
      </c>
      <c r="BL32" s="210">
        <v>25160.340000000004</v>
      </c>
      <c r="BM32" s="210">
        <v>0</v>
      </c>
      <c r="BN32" s="210">
        <v>0</v>
      </c>
      <c r="BO32" s="210">
        <v>0</v>
      </c>
      <c r="BP32" s="210">
        <v>0</v>
      </c>
      <c r="BQ32" s="211">
        <v>-9051.25</v>
      </c>
      <c r="BR32" s="211">
        <v>0</v>
      </c>
      <c r="BS32" s="211">
        <v>0</v>
      </c>
      <c r="BT32" s="212">
        <v>0</v>
      </c>
      <c r="BU32" s="212">
        <v>10509.1</v>
      </c>
      <c r="BV32" s="212">
        <v>0</v>
      </c>
      <c r="BW32" s="212">
        <v>0</v>
      </c>
      <c r="BX32" s="212">
        <v>0</v>
      </c>
      <c r="BY32" s="212">
        <v>0</v>
      </c>
      <c r="BZ32" s="212">
        <v>0</v>
      </c>
      <c r="CA32" s="212">
        <v>0</v>
      </c>
      <c r="CB32" s="212">
        <v>0</v>
      </c>
      <c r="CC32" s="224">
        <v>-104822.56999999977</v>
      </c>
      <c r="CD32" s="213"/>
      <c r="CE32" s="211">
        <v>76255.400000000169</v>
      </c>
      <c r="CF32" s="211">
        <v>26165</v>
      </c>
      <c r="CG32" s="211">
        <v>0</v>
      </c>
      <c r="CH32" s="211">
        <v>2402.1699999999996</v>
      </c>
      <c r="CI32" s="211">
        <v>0</v>
      </c>
      <c r="CJ32" s="211">
        <v>0</v>
      </c>
      <c r="CK32" s="211">
        <v>104822.57000000017</v>
      </c>
      <c r="CL32" s="201"/>
      <c r="CM32" s="201">
        <f t="shared" si="10"/>
        <v>3.92901711165905E-10</v>
      </c>
      <c r="CN32" s="340">
        <f t="shared" si="2"/>
        <v>76255.400000000169</v>
      </c>
      <c r="CO32" s="340">
        <f t="shared" si="3"/>
        <v>26165</v>
      </c>
      <c r="CP32" s="340">
        <f t="shared" si="4"/>
        <v>0</v>
      </c>
      <c r="CQ32" s="340">
        <f t="shared" si="5"/>
        <v>2402.1699999999996</v>
      </c>
      <c r="CR32" s="340">
        <f t="shared" si="6"/>
        <v>0</v>
      </c>
      <c r="CS32" s="340">
        <f t="shared" si="7"/>
        <v>0</v>
      </c>
      <c r="CT32" s="90">
        <f t="shared" si="8"/>
        <v>104822.57000000017</v>
      </c>
      <c r="CV32" s="90">
        <f t="shared" si="9"/>
        <v>0</v>
      </c>
    </row>
    <row r="33" spans="1:100">
      <c r="A33" s="325">
        <v>530</v>
      </c>
      <c r="B33" s="325" t="s">
        <v>972</v>
      </c>
      <c r="C33" s="209">
        <v>0</v>
      </c>
      <c r="D33" s="209">
        <v>0</v>
      </c>
      <c r="E33" s="209">
        <v>0</v>
      </c>
      <c r="F33" s="209">
        <v>0</v>
      </c>
      <c r="G33" s="209">
        <v>0</v>
      </c>
      <c r="H33" s="209">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312"/>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1">
        <v>0</v>
      </c>
      <c r="BR33" s="211">
        <v>0</v>
      </c>
      <c r="BS33" s="211">
        <v>0</v>
      </c>
      <c r="BT33" s="212">
        <v>0</v>
      </c>
      <c r="BU33" s="212">
        <v>0</v>
      </c>
      <c r="BV33" s="212">
        <v>0</v>
      </c>
      <c r="BW33" s="212">
        <v>0</v>
      </c>
      <c r="BX33" s="212">
        <v>0</v>
      </c>
      <c r="BY33" s="212">
        <v>0</v>
      </c>
      <c r="BZ33" s="212">
        <v>0</v>
      </c>
      <c r="CA33" s="212">
        <v>0</v>
      </c>
      <c r="CB33" s="212">
        <v>0</v>
      </c>
      <c r="CC33" s="224">
        <v>0</v>
      </c>
      <c r="CD33" s="213"/>
      <c r="CE33" s="211"/>
      <c r="CF33" s="211"/>
      <c r="CG33" s="211"/>
      <c r="CH33" s="211"/>
      <c r="CI33" s="211"/>
      <c r="CJ33" s="211"/>
      <c r="CK33" s="211"/>
      <c r="CL33" s="201"/>
      <c r="CM33" s="201">
        <f t="shared" si="10"/>
        <v>0</v>
      </c>
      <c r="CN33" s="340">
        <f t="shared" si="2"/>
        <v>0</v>
      </c>
      <c r="CO33" s="340">
        <f t="shared" si="3"/>
        <v>0</v>
      </c>
      <c r="CP33" s="340">
        <f t="shared" si="4"/>
        <v>0</v>
      </c>
      <c r="CQ33" s="340">
        <f t="shared" si="5"/>
        <v>0</v>
      </c>
      <c r="CR33" s="340">
        <f t="shared" si="6"/>
        <v>0</v>
      </c>
      <c r="CS33" s="340">
        <f t="shared" si="7"/>
        <v>0</v>
      </c>
      <c r="CT33" s="90">
        <f t="shared" si="8"/>
        <v>0</v>
      </c>
      <c r="CV33" s="90">
        <f t="shared" si="9"/>
        <v>0</v>
      </c>
    </row>
    <row r="34" spans="1:100" s="131" customFormat="1">
      <c r="A34" s="325">
        <v>531</v>
      </c>
      <c r="B34" s="325" t="s">
        <v>212</v>
      </c>
      <c r="C34" s="209">
        <v>-42878.57</v>
      </c>
      <c r="D34" s="209">
        <v>-12439.11</v>
      </c>
      <c r="E34" s="209">
        <v>0</v>
      </c>
      <c r="F34" s="209">
        <v>0</v>
      </c>
      <c r="G34" s="209">
        <v>0</v>
      </c>
      <c r="H34" s="209">
        <v>0</v>
      </c>
      <c r="I34" s="223">
        <v>-587296.19999999995</v>
      </c>
      <c r="J34" s="223">
        <v>0</v>
      </c>
      <c r="K34" s="223">
        <v>0</v>
      </c>
      <c r="L34" s="223">
        <v>0</v>
      </c>
      <c r="M34" s="223">
        <v>-14680</v>
      </c>
      <c r="N34" s="223">
        <v>-2000</v>
      </c>
      <c r="O34" s="223">
        <v>0</v>
      </c>
      <c r="P34" s="223">
        <v>0</v>
      </c>
      <c r="Q34" s="223">
        <v>-27388.149999999998</v>
      </c>
      <c r="R34" s="223">
        <v>-336.44</v>
      </c>
      <c r="S34" s="223">
        <v>-2880</v>
      </c>
      <c r="T34" s="223">
        <v>0</v>
      </c>
      <c r="U34" s="223">
        <v>-10897.719999999998</v>
      </c>
      <c r="V34" s="223">
        <v>-15421.540000000006</v>
      </c>
      <c r="W34" s="223">
        <v>0</v>
      </c>
      <c r="X34" s="223">
        <v>0</v>
      </c>
      <c r="Y34" s="223">
        <v>0</v>
      </c>
      <c r="Z34" s="223">
        <v>0</v>
      </c>
      <c r="AA34" s="223">
        <v>0</v>
      </c>
      <c r="AB34" s="223">
        <v>-145.63</v>
      </c>
      <c r="AC34" s="223">
        <v>-29491</v>
      </c>
      <c r="AD34" s="210">
        <v>348161.07</v>
      </c>
      <c r="AE34" s="210">
        <v>1151.8800000000001</v>
      </c>
      <c r="AF34" s="210">
        <v>116838.57999999997</v>
      </c>
      <c r="AG34" s="210">
        <v>6001.36</v>
      </c>
      <c r="AH34" s="210">
        <v>42203.250000000007</v>
      </c>
      <c r="AI34" s="210">
        <v>0</v>
      </c>
      <c r="AJ34" s="210">
        <v>26825.29</v>
      </c>
      <c r="AK34" s="210">
        <v>507.92999999999995</v>
      </c>
      <c r="AL34" s="210">
        <v>3178</v>
      </c>
      <c r="AM34" s="210">
        <v>2811.5</v>
      </c>
      <c r="AN34" s="210">
        <v>632</v>
      </c>
      <c r="AO34" s="210">
        <v>15786.35</v>
      </c>
      <c r="AP34" s="210">
        <v>2650</v>
      </c>
      <c r="AQ34" s="210">
        <v>3527.6600000000008</v>
      </c>
      <c r="AR34" s="210">
        <v>1199.8000000000002</v>
      </c>
      <c r="AS34" s="210">
        <v>7300.1299999999992</v>
      </c>
      <c r="AT34" s="210">
        <v>1360.02</v>
      </c>
      <c r="AU34" s="210">
        <v>3556.0199999999995</v>
      </c>
      <c r="AV34" s="210">
        <v>40072.549999999996</v>
      </c>
      <c r="AW34" s="312">
        <v>0</v>
      </c>
      <c r="AX34" s="210">
        <v>198</v>
      </c>
      <c r="AY34" s="210">
        <v>0</v>
      </c>
      <c r="AZ34" s="210">
        <v>662.09999999999991</v>
      </c>
      <c r="BA34" s="210">
        <v>0</v>
      </c>
      <c r="BB34" s="210">
        <v>0</v>
      </c>
      <c r="BC34" s="210">
        <v>0</v>
      </c>
      <c r="BD34" s="210">
        <v>2799.99</v>
      </c>
      <c r="BE34" s="210">
        <v>0</v>
      </c>
      <c r="BF34" s="210">
        <v>3654.4999999999995</v>
      </c>
      <c r="BG34" s="210">
        <v>4872.2700000000004</v>
      </c>
      <c r="BH34" s="210">
        <v>0</v>
      </c>
      <c r="BI34" s="210">
        <v>14819.580000000002</v>
      </c>
      <c r="BJ34" s="210">
        <v>21942</v>
      </c>
      <c r="BK34" s="210">
        <v>27772.14</v>
      </c>
      <c r="BL34" s="210">
        <v>11443.19</v>
      </c>
      <c r="BM34" s="210">
        <v>0</v>
      </c>
      <c r="BN34" s="210">
        <v>668</v>
      </c>
      <c r="BO34" s="210">
        <v>0</v>
      </c>
      <c r="BP34" s="210">
        <v>0</v>
      </c>
      <c r="BQ34" s="211">
        <v>0</v>
      </c>
      <c r="BR34" s="211">
        <v>0</v>
      </c>
      <c r="BS34" s="211">
        <v>0</v>
      </c>
      <c r="BT34" s="212">
        <v>0</v>
      </c>
      <c r="BU34" s="212">
        <v>0</v>
      </c>
      <c r="BV34" s="212">
        <v>0</v>
      </c>
      <c r="BW34" s="212">
        <v>0</v>
      </c>
      <c r="BX34" s="212">
        <v>0</v>
      </c>
      <c r="BY34" s="212">
        <v>0</v>
      </c>
      <c r="BZ34" s="212">
        <v>0</v>
      </c>
      <c r="CA34" s="212">
        <v>0</v>
      </c>
      <c r="CB34" s="212">
        <v>0</v>
      </c>
      <c r="CC34" s="224">
        <v>-33259.200000000041</v>
      </c>
      <c r="CD34" s="213"/>
      <c r="CE34" s="211">
        <v>23760.800000000021</v>
      </c>
      <c r="CF34" s="211">
        <v>9498.3999999999978</v>
      </c>
      <c r="CG34" s="211">
        <v>0</v>
      </c>
      <c r="CH34" s="211">
        <v>0</v>
      </c>
      <c r="CI34" s="211">
        <v>0</v>
      </c>
      <c r="CJ34" s="211">
        <v>0</v>
      </c>
      <c r="CK34" s="211">
        <v>33259.200000000019</v>
      </c>
      <c r="CL34" s="280"/>
      <c r="CM34" s="201">
        <f t="shared" si="10"/>
        <v>0</v>
      </c>
      <c r="CN34" s="340">
        <f t="shared" si="2"/>
        <v>23760.800000000021</v>
      </c>
      <c r="CO34" s="340">
        <f t="shared" si="3"/>
        <v>9498.3999999999978</v>
      </c>
      <c r="CP34" s="340">
        <f t="shared" si="4"/>
        <v>0</v>
      </c>
      <c r="CQ34" s="340">
        <f t="shared" si="5"/>
        <v>0</v>
      </c>
      <c r="CR34" s="340">
        <f t="shared" si="6"/>
        <v>0</v>
      </c>
      <c r="CS34" s="340">
        <f t="shared" si="7"/>
        <v>0</v>
      </c>
      <c r="CT34" s="90">
        <f t="shared" si="8"/>
        <v>33259.200000000019</v>
      </c>
      <c r="CV34" s="90">
        <f t="shared" si="9"/>
        <v>0</v>
      </c>
    </row>
    <row r="35" spans="1:100">
      <c r="A35" s="325">
        <v>534</v>
      </c>
      <c r="B35" s="325" t="s">
        <v>225</v>
      </c>
      <c r="C35" s="209">
        <v>-47185.95</v>
      </c>
      <c r="D35" s="209">
        <v>-17275.099999999999</v>
      </c>
      <c r="E35" s="209">
        <v>0</v>
      </c>
      <c r="F35" s="209">
        <v>-8847.17</v>
      </c>
      <c r="G35" s="209">
        <v>0</v>
      </c>
      <c r="H35" s="209">
        <v>0</v>
      </c>
      <c r="I35" s="223">
        <v>-792374.23</v>
      </c>
      <c r="J35" s="223">
        <v>0</v>
      </c>
      <c r="K35" s="223">
        <v>-44775</v>
      </c>
      <c r="L35" s="223">
        <v>0</v>
      </c>
      <c r="M35" s="223">
        <v>-46060</v>
      </c>
      <c r="N35" s="223">
        <v>-31333.86</v>
      </c>
      <c r="O35" s="223">
        <v>0</v>
      </c>
      <c r="P35" s="223">
        <v>-1705</v>
      </c>
      <c r="Q35" s="223">
        <v>-26596.32</v>
      </c>
      <c r="R35" s="223">
        <v>0</v>
      </c>
      <c r="S35" s="223">
        <v>0</v>
      </c>
      <c r="T35" s="223">
        <v>0</v>
      </c>
      <c r="U35" s="223">
        <v>-15030.25</v>
      </c>
      <c r="V35" s="223">
        <v>-3750</v>
      </c>
      <c r="W35" s="223">
        <v>0</v>
      </c>
      <c r="X35" s="223">
        <v>0</v>
      </c>
      <c r="Y35" s="223">
        <v>0</v>
      </c>
      <c r="Z35" s="223">
        <v>0</v>
      </c>
      <c r="AA35" s="223">
        <v>0</v>
      </c>
      <c r="AB35" s="223">
        <v>-230.63000000000011</v>
      </c>
      <c r="AC35" s="223">
        <v>-35277</v>
      </c>
      <c r="AD35" s="210">
        <v>509006.25999999995</v>
      </c>
      <c r="AE35" s="210">
        <v>3869.25</v>
      </c>
      <c r="AF35" s="210">
        <v>145888.34999999998</v>
      </c>
      <c r="AG35" s="210">
        <v>0</v>
      </c>
      <c r="AH35" s="210">
        <v>43836.62</v>
      </c>
      <c r="AI35" s="210">
        <v>0</v>
      </c>
      <c r="AJ35" s="210">
        <v>41827.870000000003</v>
      </c>
      <c r="AK35" s="210">
        <v>2759</v>
      </c>
      <c r="AL35" s="210">
        <v>1000</v>
      </c>
      <c r="AM35" s="210">
        <v>423.95</v>
      </c>
      <c r="AN35" s="210">
        <v>0</v>
      </c>
      <c r="AO35" s="210">
        <v>16557.8</v>
      </c>
      <c r="AP35" s="210">
        <v>6179.9399999999987</v>
      </c>
      <c r="AQ35" s="210">
        <v>27436.250000000007</v>
      </c>
      <c r="AR35" s="210">
        <v>5293.4299999999994</v>
      </c>
      <c r="AS35" s="210">
        <v>15639.189999999999</v>
      </c>
      <c r="AT35" s="210">
        <v>9607.24</v>
      </c>
      <c r="AU35" s="210">
        <v>1031.81</v>
      </c>
      <c r="AV35" s="210">
        <v>56550.830000000016</v>
      </c>
      <c r="AW35" s="312">
        <v>0</v>
      </c>
      <c r="AX35" s="210">
        <v>4599.96</v>
      </c>
      <c r="AY35" s="210">
        <v>0</v>
      </c>
      <c r="AZ35" s="210">
        <v>768.83999999999992</v>
      </c>
      <c r="BA35" s="210">
        <v>0</v>
      </c>
      <c r="BB35" s="210">
        <v>2174.96</v>
      </c>
      <c r="BC35" s="210">
        <v>1984</v>
      </c>
      <c r="BD35" s="210">
        <v>3267.09</v>
      </c>
      <c r="BE35" s="210">
        <v>0</v>
      </c>
      <c r="BF35" s="210">
        <v>7605.3499999999985</v>
      </c>
      <c r="BG35" s="210">
        <v>7282.21</v>
      </c>
      <c r="BH35" s="210">
        <v>0</v>
      </c>
      <c r="BI35" s="210">
        <v>29940.82</v>
      </c>
      <c r="BJ35" s="210">
        <v>0</v>
      </c>
      <c r="BK35" s="210">
        <v>15862.65</v>
      </c>
      <c r="BL35" s="210">
        <v>12360.610000000002</v>
      </c>
      <c r="BM35" s="210">
        <v>0</v>
      </c>
      <c r="BN35" s="210">
        <v>0</v>
      </c>
      <c r="BO35" s="210">
        <v>0</v>
      </c>
      <c r="BP35" s="210">
        <v>0</v>
      </c>
      <c r="BQ35" s="211">
        <v>-5552.5</v>
      </c>
      <c r="BR35" s="211">
        <v>0</v>
      </c>
      <c r="BS35" s="211">
        <v>0</v>
      </c>
      <c r="BT35" s="212">
        <v>0</v>
      </c>
      <c r="BU35" s="212">
        <v>26431.440000000002</v>
      </c>
      <c r="BV35" s="212">
        <v>0</v>
      </c>
      <c r="BW35" s="212">
        <v>0</v>
      </c>
      <c r="BX35" s="212">
        <v>0</v>
      </c>
      <c r="BY35" s="212">
        <v>0</v>
      </c>
      <c r="BZ35" s="212">
        <v>0</v>
      </c>
      <c r="CA35" s="212">
        <v>0</v>
      </c>
      <c r="CB35" s="212">
        <v>0</v>
      </c>
      <c r="CC35" s="224">
        <v>-76807.289999999819</v>
      </c>
      <c r="CD35" s="213"/>
      <c r="CE35" s="211">
        <v>69147.839999999982</v>
      </c>
      <c r="CF35" s="211">
        <v>7659.4499999999971</v>
      </c>
      <c r="CG35" s="211">
        <v>0</v>
      </c>
      <c r="CH35" s="211">
        <v>-1.8189894035458565E-12</v>
      </c>
      <c r="CI35" s="211">
        <v>0</v>
      </c>
      <c r="CJ35" s="211">
        <v>0</v>
      </c>
      <c r="CK35" s="211">
        <v>76807.289999999979</v>
      </c>
      <c r="CL35" s="201"/>
      <c r="CM35" s="201">
        <f t="shared" si="10"/>
        <v>1.6007106751203537E-10</v>
      </c>
      <c r="CN35" s="340">
        <f t="shared" si="2"/>
        <v>69147.839999999982</v>
      </c>
      <c r="CO35" s="340">
        <f t="shared" si="3"/>
        <v>7659.4499999999971</v>
      </c>
      <c r="CP35" s="340">
        <f t="shared" si="4"/>
        <v>0</v>
      </c>
      <c r="CQ35" s="340">
        <f t="shared" si="5"/>
        <v>-1.8189894035458565E-12</v>
      </c>
      <c r="CR35" s="340">
        <f t="shared" si="6"/>
        <v>0</v>
      </c>
      <c r="CS35" s="340">
        <f t="shared" si="7"/>
        <v>0</v>
      </c>
      <c r="CT35" s="90">
        <f t="shared" si="8"/>
        <v>76807.289999999979</v>
      </c>
      <c r="CV35" s="90">
        <f t="shared" si="9"/>
        <v>0</v>
      </c>
    </row>
    <row r="36" spans="1:100" s="131" customFormat="1">
      <c r="A36" s="325">
        <v>535</v>
      </c>
      <c r="B36" s="325" t="s">
        <v>272</v>
      </c>
      <c r="C36" s="209">
        <v>-53654.38</v>
      </c>
      <c r="D36" s="209">
        <v>-32660.03</v>
      </c>
      <c r="E36" s="209">
        <v>0</v>
      </c>
      <c r="F36" s="209">
        <v>-18269.14</v>
      </c>
      <c r="G36" s="209">
        <v>0</v>
      </c>
      <c r="H36" s="209">
        <v>0</v>
      </c>
      <c r="I36" s="223">
        <v>-238428.89</v>
      </c>
      <c r="J36" s="223">
        <v>0</v>
      </c>
      <c r="K36" s="223">
        <v>-35812</v>
      </c>
      <c r="L36" s="223">
        <v>0</v>
      </c>
      <c r="M36" s="223">
        <v>-14280</v>
      </c>
      <c r="N36" s="223">
        <v>-3256.93</v>
      </c>
      <c r="O36" s="223">
        <v>0</v>
      </c>
      <c r="P36" s="223">
        <v>0</v>
      </c>
      <c r="Q36" s="223">
        <v>-6823.98</v>
      </c>
      <c r="R36" s="223">
        <v>0</v>
      </c>
      <c r="S36" s="223">
        <v>0</v>
      </c>
      <c r="T36" s="223">
        <v>-1632</v>
      </c>
      <c r="U36" s="223">
        <v>-828.53999999999985</v>
      </c>
      <c r="V36" s="223">
        <v>-1798.31</v>
      </c>
      <c r="W36" s="223">
        <v>0</v>
      </c>
      <c r="X36" s="223">
        <v>0</v>
      </c>
      <c r="Y36" s="223">
        <v>0</v>
      </c>
      <c r="Z36" s="223">
        <v>0</v>
      </c>
      <c r="AA36" s="223">
        <v>0</v>
      </c>
      <c r="AB36" s="223">
        <v>-66.88</v>
      </c>
      <c r="AC36" s="223">
        <v>-18336</v>
      </c>
      <c r="AD36" s="210">
        <v>153157.39000000001</v>
      </c>
      <c r="AE36" s="210">
        <v>1464.6799999999998</v>
      </c>
      <c r="AF36" s="210">
        <v>43193.56</v>
      </c>
      <c r="AG36" s="210">
        <v>0</v>
      </c>
      <c r="AH36" s="210">
        <v>17062.009999999998</v>
      </c>
      <c r="AI36" s="210">
        <v>0</v>
      </c>
      <c r="AJ36" s="210">
        <v>9818.4700000000012</v>
      </c>
      <c r="AK36" s="210">
        <v>722</v>
      </c>
      <c r="AL36" s="210">
        <v>2246.92</v>
      </c>
      <c r="AM36" s="210">
        <v>51.85</v>
      </c>
      <c r="AN36" s="210">
        <v>0</v>
      </c>
      <c r="AO36" s="210">
        <v>2693.04</v>
      </c>
      <c r="AP36" s="210">
        <v>1774.6</v>
      </c>
      <c r="AQ36" s="210">
        <v>11526.6</v>
      </c>
      <c r="AR36" s="210">
        <v>510.34</v>
      </c>
      <c r="AS36" s="210">
        <v>10026.06</v>
      </c>
      <c r="AT36" s="210">
        <v>2677.43</v>
      </c>
      <c r="AU36" s="210">
        <v>3231.62</v>
      </c>
      <c r="AV36" s="210">
        <v>9781.3399999999983</v>
      </c>
      <c r="AW36" s="312">
        <v>0</v>
      </c>
      <c r="AX36" s="210">
        <v>2227.7199999999998</v>
      </c>
      <c r="AY36" s="210">
        <v>0</v>
      </c>
      <c r="AZ36" s="210">
        <v>0</v>
      </c>
      <c r="BA36" s="210">
        <v>1319.9899999999998</v>
      </c>
      <c r="BB36" s="210">
        <v>0</v>
      </c>
      <c r="BC36" s="210">
        <v>0</v>
      </c>
      <c r="BD36" s="210">
        <v>4120</v>
      </c>
      <c r="BE36" s="210">
        <v>0</v>
      </c>
      <c r="BF36" s="210">
        <v>820.3900000000001</v>
      </c>
      <c r="BG36" s="210">
        <v>1602.18</v>
      </c>
      <c r="BH36" s="210">
        <v>0</v>
      </c>
      <c r="BI36" s="210">
        <v>8333.23</v>
      </c>
      <c r="BJ36" s="210">
        <v>1691.63</v>
      </c>
      <c r="BK36" s="210">
        <v>26427.4</v>
      </c>
      <c r="BL36" s="210">
        <v>11961.87</v>
      </c>
      <c r="BM36" s="210">
        <v>0</v>
      </c>
      <c r="BN36" s="210">
        <v>0</v>
      </c>
      <c r="BO36" s="210">
        <v>0</v>
      </c>
      <c r="BP36" s="210">
        <v>0</v>
      </c>
      <c r="BQ36" s="211">
        <v>-4247.5</v>
      </c>
      <c r="BR36" s="211">
        <v>0</v>
      </c>
      <c r="BS36" s="211">
        <v>0</v>
      </c>
      <c r="BT36" s="212">
        <v>0</v>
      </c>
      <c r="BU36" s="212">
        <v>5463</v>
      </c>
      <c r="BV36" s="212">
        <v>0</v>
      </c>
      <c r="BW36" s="212">
        <v>0</v>
      </c>
      <c r="BX36" s="212">
        <v>0</v>
      </c>
      <c r="BY36" s="212">
        <v>0</v>
      </c>
      <c r="BZ36" s="212">
        <v>844.5</v>
      </c>
      <c r="CA36" s="212">
        <v>6148</v>
      </c>
      <c r="CB36" s="212">
        <v>325</v>
      </c>
      <c r="CC36" s="224">
        <v>-88871.759999999922</v>
      </c>
      <c r="CD36" s="213"/>
      <c r="CE36" s="211">
        <v>52548.790000000023</v>
      </c>
      <c r="CF36" s="211">
        <v>26586.83</v>
      </c>
      <c r="CG36" s="211">
        <v>0</v>
      </c>
      <c r="CH36" s="211">
        <v>9736.14</v>
      </c>
      <c r="CI36" s="211">
        <v>0</v>
      </c>
      <c r="CJ36" s="211">
        <v>0</v>
      </c>
      <c r="CK36" s="211">
        <v>88871.760000000024</v>
      </c>
      <c r="CL36" s="280"/>
      <c r="CM36" s="201">
        <f t="shared" si="10"/>
        <v>0</v>
      </c>
      <c r="CN36" s="340">
        <f t="shared" ref="CN36:CN67" si="11">CE36-(CL36)</f>
        <v>52548.790000000023</v>
      </c>
      <c r="CO36" s="340">
        <f t="shared" ref="CO36:CO67" si="12">CF36</f>
        <v>26586.83</v>
      </c>
      <c r="CP36" s="340">
        <f t="shared" ref="CP36:CP67" si="13">CG36</f>
        <v>0</v>
      </c>
      <c r="CQ36" s="340">
        <f t="shared" ref="CQ36:CQ67" si="14">CH36</f>
        <v>9736.14</v>
      </c>
      <c r="CR36" s="340">
        <f t="shared" ref="CR36:CR67" si="15">CI36</f>
        <v>0</v>
      </c>
      <c r="CS36" s="340">
        <f t="shared" ref="CS36:CS67" si="16">CJ36</f>
        <v>0</v>
      </c>
      <c r="CT36" s="90">
        <f t="shared" si="8"/>
        <v>88871.760000000024</v>
      </c>
      <c r="CV36" s="90">
        <f t="shared" si="9"/>
        <v>0</v>
      </c>
    </row>
    <row r="37" spans="1:100">
      <c r="A37" s="325">
        <v>538</v>
      </c>
      <c r="B37" s="325" t="s">
        <v>973</v>
      </c>
      <c r="C37" s="209">
        <v>0</v>
      </c>
      <c r="D37" s="209">
        <v>0</v>
      </c>
      <c r="E37" s="209">
        <v>0</v>
      </c>
      <c r="F37" s="209">
        <v>0</v>
      </c>
      <c r="G37" s="209">
        <v>0</v>
      </c>
      <c r="H37" s="209">
        <v>0</v>
      </c>
      <c r="I37" s="223">
        <v>0</v>
      </c>
      <c r="J37" s="223">
        <v>0</v>
      </c>
      <c r="K37" s="223">
        <v>0</v>
      </c>
      <c r="L37" s="223">
        <v>0</v>
      </c>
      <c r="M37" s="223">
        <v>0</v>
      </c>
      <c r="N37" s="223">
        <v>0</v>
      </c>
      <c r="O37" s="223">
        <v>0</v>
      </c>
      <c r="P37" s="223">
        <v>0</v>
      </c>
      <c r="Q37" s="223">
        <v>0</v>
      </c>
      <c r="R37" s="223">
        <v>0</v>
      </c>
      <c r="S37" s="223">
        <v>0</v>
      </c>
      <c r="T37" s="223">
        <v>0</v>
      </c>
      <c r="U37" s="223">
        <v>0</v>
      </c>
      <c r="V37" s="223">
        <v>0</v>
      </c>
      <c r="W37" s="223">
        <v>0</v>
      </c>
      <c r="X37" s="223">
        <v>0</v>
      </c>
      <c r="Y37" s="223">
        <v>0</v>
      </c>
      <c r="Z37" s="223">
        <v>0</v>
      </c>
      <c r="AA37" s="223">
        <v>0</v>
      </c>
      <c r="AB37" s="223">
        <v>0</v>
      </c>
      <c r="AC37" s="223">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312"/>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1">
        <v>0</v>
      </c>
      <c r="BR37" s="211">
        <v>0</v>
      </c>
      <c r="BS37" s="211">
        <v>0</v>
      </c>
      <c r="BT37" s="212">
        <v>0</v>
      </c>
      <c r="BU37" s="212">
        <v>0</v>
      </c>
      <c r="BV37" s="212">
        <v>0</v>
      </c>
      <c r="BW37" s="212">
        <v>0</v>
      </c>
      <c r="BX37" s="212">
        <v>0</v>
      </c>
      <c r="BY37" s="212">
        <v>0</v>
      </c>
      <c r="BZ37" s="212">
        <v>0</v>
      </c>
      <c r="CA37" s="212">
        <v>0</v>
      </c>
      <c r="CB37" s="212">
        <v>0</v>
      </c>
      <c r="CC37" s="224">
        <v>0</v>
      </c>
      <c r="CD37" s="213"/>
      <c r="CE37" s="211"/>
      <c r="CF37" s="211"/>
      <c r="CG37" s="211"/>
      <c r="CH37" s="211"/>
      <c r="CI37" s="211"/>
      <c r="CJ37" s="211"/>
      <c r="CK37" s="211"/>
      <c r="CL37" s="201"/>
      <c r="CM37" s="201">
        <f t="shared" si="10"/>
        <v>0</v>
      </c>
      <c r="CN37" s="340">
        <f t="shared" si="11"/>
        <v>0</v>
      </c>
      <c r="CO37" s="340">
        <f t="shared" si="12"/>
        <v>0</v>
      </c>
      <c r="CP37" s="340">
        <f t="shared" si="13"/>
        <v>0</v>
      </c>
      <c r="CQ37" s="340">
        <f t="shared" si="14"/>
        <v>0</v>
      </c>
      <c r="CR37" s="340">
        <f t="shared" si="15"/>
        <v>0</v>
      </c>
      <c r="CS37" s="340">
        <f t="shared" si="16"/>
        <v>0</v>
      </c>
      <c r="CT37" s="90">
        <f t="shared" si="8"/>
        <v>0</v>
      </c>
      <c r="CV37" s="90">
        <f t="shared" si="9"/>
        <v>0</v>
      </c>
    </row>
    <row r="38" spans="1:100">
      <c r="A38" s="325">
        <v>546</v>
      </c>
      <c r="B38" s="325" t="s">
        <v>753</v>
      </c>
      <c r="C38" s="209">
        <v>-93883.98</v>
      </c>
      <c r="D38" s="209">
        <v>-13076.26</v>
      </c>
      <c r="E38" s="209">
        <v>0</v>
      </c>
      <c r="F38" s="209">
        <v>0</v>
      </c>
      <c r="G38" s="209">
        <v>0</v>
      </c>
      <c r="H38" s="209">
        <v>78369.179999999993</v>
      </c>
      <c r="I38" s="223">
        <v>-1063401.8799999999</v>
      </c>
      <c r="J38" s="223">
        <v>0</v>
      </c>
      <c r="K38" s="223">
        <v>-16638</v>
      </c>
      <c r="L38" s="223">
        <v>0</v>
      </c>
      <c r="M38" s="223">
        <v>-52926.119999999995</v>
      </c>
      <c r="N38" s="223">
        <v>-1200</v>
      </c>
      <c r="O38" s="223">
        <v>-1329.7</v>
      </c>
      <c r="P38" s="223">
        <v>0</v>
      </c>
      <c r="Q38" s="223">
        <v>-21207.060000000005</v>
      </c>
      <c r="R38" s="223">
        <v>-15224.33</v>
      </c>
      <c r="S38" s="223">
        <v>0</v>
      </c>
      <c r="T38" s="223">
        <v>0</v>
      </c>
      <c r="U38" s="223">
        <v>-20563.359999999982</v>
      </c>
      <c r="V38" s="223">
        <v>-4173.08</v>
      </c>
      <c r="W38" s="223">
        <v>0</v>
      </c>
      <c r="X38" s="223">
        <v>-10088.35</v>
      </c>
      <c r="Y38" s="223">
        <v>-562.25</v>
      </c>
      <c r="Z38" s="223">
        <v>0</v>
      </c>
      <c r="AA38" s="223">
        <v>0</v>
      </c>
      <c r="AB38" s="223">
        <v>185</v>
      </c>
      <c r="AC38" s="223">
        <v>-56073</v>
      </c>
      <c r="AD38" s="210">
        <v>595185.84000000008</v>
      </c>
      <c r="AE38" s="210">
        <v>11781.070000000002</v>
      </c>
      <c r="AF38" s="210">
        <v>241589.38000000003</v>
      </c>
      <c r="AG38" s="210">
        <v>43999.729999999996</v>
      </c>
      <c r="AH38" s="210">
        <v>68295.97</v>
      </c>
      <c r="AI38" s="210">
        <v>37987.75</v>
      </c>
      <c r="AJ38" s="210">
        <v>37414.410000000003</v>
      </c>
      <c r="AK38" s="210">
        <v>9939.4699999999993</v>
      </c>
      <c r="AL38" s="210">
        <v>5269.67</v>
      </c>
      <c r="AM38" s="210">
        <v>600.85</v>
      </c>
      <c r="AN38" s="210">
        <v>4979.7</v>
      </c>
      <c r="AO38" s="210">
        <v>18531.579999999998</v>
      </c>
      <c r="AP38" s="210">
        <v>0</v>
      </c>
      <c r="AQ38" s="210">
        <v>4133.67</v>
      </c>
      <c r="AR38" s="210">
        <v>4474.6100000000006</v>
      </c>
      <c r="AS38" s="210">
        <v>19247.39</v>
      </c>
      <c r="AT38" s="210">
        <v>4019.33</v>
      </c>
      <c r="AU38" s="210">
        <v>2813.27</v>
      </c>
      <c r="AV38" s="210">
        <v>95561.11</v>
      </c>
      <c r="AW38" s="312">
        <v>0</v>
      </c>
      <c r="AX38" s="210">
        <v>4512</v>
      </c>
      <c r="AY38" s="210">
        <v>0</v>
      </c>
      <c r="AZ38" s="210">
        <v>1882.97</v>
      </c>
      <c r="BA38" s="210">
        <v>2908.73</v>
      </c>
      <c r="BB38" s="210">
        <v>0</v>
      </c>
      <c r="BC38" s="210">
        <v>6284</v>
      </c>
      <c r="BD38" s="210">
        <v>4113</v>
      </c>
      <c r="BE38" s="210">
        <v>0</v>
      </c>
      <c r="BF38" s="210">
        <v>2684.6699999999992</v>
      </c>
      <c r="BG38" s="210">
        <v>10320.83</v>
      </c>
      <c r="BH38" s="210">
        <v>0</v>
      </c>
      <c r="BI38" s="210">
        <v>38438.740000000042</v>
      </c>
      <c r="BJ38" s="210">
        <v>12665</v>
      </c>
      <c r="BK38" s="210">
        <v>5646</v>
      </c>
      <c r="BL38" s="210">
        <v>23603.789999999986</v>
      </c>
      <c r="BM38" s="210">
        <v>0</v>
      </c>
      <c r="BN38" s="210">
        <v>0</v>
      </c>
      <c r="BO38" s="210">
        <v>0</v>
      </c>
      <c r="BP38" s="210">
        <v>0</v>
      </c>
      <c r="BQ38" s="211">
        <v>-6193.75</v>
      </c>
      <c r="BR38" s="211">
        <v>0</v>
      </c>
      <c r="BS38" s="211">
        <v>0</v>
      </c>
      <c r="BT38" s="212">
        <v>0</v>
      </c>
      <c r="BU38" s="212">
        <v>11146.5</v>
      </c>
      <c r="BV38" s="212">
        <v>0</v>
      </c>
      <c r="BW38" s="212">
        <v>0</v>
      </c>
      <c r="BX38" s="212">
        <v>0</v>
      </c>
      <c r="BY38" s="212">
        <v>0</v>
      </c>
      <c r="BZ38" s="212">
        <v>0</v>
      </c>
      <c r="CA38" s="212">
        <v>0</v>
      </c>
      <c r="CB38" s="212">
        <v>0</v>
      </c>
      <c r="CC38" s="224">
        <v>32044.089999999851</v>
      </c>
      <c r="CD38" s="213"/>
      <c r="CE38" s="211">
        <v>19297.239999999612</v>
      </c>
      <c r="CF38" s="211">
        <v>21330</v>
      </c>
      <c r="CG38" s="211">
        <v>0</v>
      </c>
      <c r="CH38" s="211">
        <v>-4952.75</v>
      </c>
      <c r="CI38" s="211">
        <v>0</v>
      </c>
      <c r="CJ38" s="211">
        <v>-67718.579999999987</v>
      </c>
      <c r="CK38" s="211">
        <v>-32044.090000000375</v>
      </c>
      <c r="CL38" s="201"/>
      <c r="CM38" s="201">
        <f t="shared" si="10"/>
        <v>-5.2386894822120667E-10</v>
      </c>
      <c r="CN38" s="340">
        <f t="shared" si="11"/>
        <v>19297.239999999612</v>
      </c>
      <c r="CO38" s="340">
        <f t="shared" si="12"/>
        <v>21330</v>
      </c>
      <c r="CP38" s="340">
        <f t="shared" si="13"/>
        <v>0</v>
      </c>
      <c r="CQ38" s="340">
        <f t="shared" si="14"/>
        <v>-4952.75</v>
      </c>
      <c r="CR38" s="340">
        <f t="shared" si="15"/>
        <v>0</v>
      </c>
      <c r="CS38" s="340">
        <f t="shared" si="16"/>
        <v>-67718.579999999987</v>
      </c>
      <c r="CT38" s="90">
        <f t="shared" si="8"/>
        <v>-32044.090000000375</v>
      </c>
      <c r="CV38" s="90">
        <f t="shared" si="9"/>
        <v>0</v>
      </c>
    </row>
    <row r="39" spans="1:100">
      <c r="A39" s="325">
        <v>547</v>
      </c>
      <c r="B39" s="325" t="s">
        <v>246</v>
      </c>
      <c r="C39" s="209">
        <v>-327057.36</v>
      </c>
      <c r="D39" s="209">
        <v>-6461.51</v>
      </c>
      <c r="E39" s="209">
        <v>0</v>
      </c>
      <c r="F39" s="209">
        <v>-10958.52</v>
      </c>
      <c r="G39" s="209">
        <v>0</v>
      </c>
      <c r="H39" s="209">
        <v>-33962.050000000003</v>
      </c>
      <c r="I39" s="223">
        <v>-2046029</v>
      </c>
      <c r="J39" s="223">
        <v>0</v>
      </c>
      <c r="K39" s="223">
        <v>-119217</v>
      </c>
      <c r="L39" s="223">
        <v>0</v>
      </c>
      <c r="M39" s="223">
        <v>-96700</v>
      </c>
      <c r="N39" s="223">
        <v>-2856.93</v>
      </c>
      <c r="O39" s="223">
        <v>-800</v>
      </c>
      <c r="P39" s="223">
        <v>0</v>
      </c>
      <c r="Q39" s="223">
        <v>-219550.77000000002</v>
      </c>
      <c r="R39" s="223">
        <v>-3137.4500000000003</v>
      </c>
      <c r="S39" s="223">
        <v>0</v>
      </c>
      <c r="T39" s="223">
        <v>0</v>
      </c>
      <c r="U39" s="223">
        <v>-37831.240000000013</v>
      </c>
      <c r="V39" s="223">
        <v>-36796.650000000016</v>
      </c>
      <c r="W39" s="223">
        <v>0</v>
      </c>
      <c r="X39" s="223">
        <v>-136565</v>
      </c>
      <c r="Y39" s="223">
        <v>-7716.4000000000005</v>
      </c>
      <c r="Z39" s="223">
        <v>0</v>
      </c>
      <c r="AA39" s="223">
        <v>0</v>
      </c>
      <c r="AB39" s="223">
        <v>181.25</v>
      </c>
      <c r="AC39" s="223">
        <v>-93553</v>
      </c>
      <c r="AD39" s="210">
        <v>1292604.1300000004</v>
      </c>
      <c r="AE39" s="210">
        <v>27156.28</v>
      </c>
      <c r="AF39" s="210">
        <v>402893.52999999997</v>
      </c>
      <c r="AG39" s="210">
        <v>19468.96</v>
      </c>
      <c r="AH39" s="210">
        <v>126757.93999999999</v>
      </c>
      <c r="AI39" s="210">
        <v>0</v>
      </c>
      <c r="AJ39" s="210">
        <v>152330.54</v>
      </c>
      <c r="AK39" s="210">
        <v>7877.79</v>
      </c>
      <c r="AL39" s="210">
        <v>7573.35</v>
      </c>
      <c r="AM39" s="210">
        <v>1262.7</v>
      </c>
      <c r="AN39" s="210">
        <v>0</v>
      </c>
      <c r="AO39" s="210">
        <v>17954.46</v>
      </c>
      <c r="AP39" s="210">
        <v>12481.739999999998</v>
      </c>
      <c r="AQ39" s="210">
        <v>42773.399999999994</v>
      </c>
      <c r="AR39" s="210">
        <v>3162.54</v>
      </c>
      <c r="AS39" s="210">
        <v>30103.010000000002</v>
      </c>
      <c r="AT39" s="210">
        <v>30641</v>
      </c>
      <c r="AU39" s="210">
        <v>7586.43</v>
      </c>
      <c r="AV39" s="210">
        <v>117674.60000000003</v>
      </c>
      <c r="AW39" s="312">
        <v>0</v>
      </c>
      <c r="AX39" s="210">
        <v>0</v>
      </c>
      <c r="AY39" s="210">
        <v>0</v>
      </c>
      <c r="AZ39" s="210">
        <v>0</v>
      </c>
      <c r="BA39" s="210">
        <v>0</v>
      </c>
      <c r="BB39" s="210">
        <v>731</v>
      </c>
      <c r="BC39" s="210">
        <v>0</v>
      </c>
      <c r="BD39" s="210">
        <v>3600</v>
      </c>
      <c r="BE39" s="210">
        <v>0</v>
      </c>
      <c r="BF39" s="210">
        <v>9826.2300000000014</v>
      </c>
      <c r="BG39" s="210">
        <v>21689.46</v>
      </c>
      <c r="BH39" s="210">
        <v>0</v>
      </c>
      <c r="BI39" s="210">
        <v>93987.39</v>
      </c>
      <c r="BJ39" s="210">
        <v>27714.5</v>
      </c>
      <c r="BK39" s="210">
        <v>65166.12000000001</v>
      </c>
      <c r="BL39" s="210">
        <v>21928.709999999988</v>
      </c>
      <c r="BM39" s="210">
        <v>0</v>
      </c>
      <c r="BN39" s="210">
        <v>0</v>
      </c>
      <c r="BO39" s="210">
        <v>114667.20000000001</v>
      </c>
      <c r="BP39" s="210">
        <v>21413.550000000003</v>
      </c>
      <c r="BQ39" s="211">
        <v>-8680</v>
      </c>
      <c r="BR39" s="211">
        <v>-7000</v>
      </c>
      <c r="BS39" s="211">
        <v>0</v>
      </c>
      <c r="BT39" s="212">
        <v>0</v>
      </c>
      <c r="BU39" s="212">
        <v>8073.5299999999988</v>
      </c>
      <c r="BV39" s="212">
        <v>0</v>
      </c>
      <c r="BW39" s="212">
        <v>0</v>
      </c>
      <c r="BX39" s="212">
        <v>0</v>
      </c>
      <c r="BY39" s="212">
        <v>0</v>
      </c>
      <c r="BZ39" s="212">
        <v>0</v>
      </c>
      <c r="CA39" s="212">
        <v>30035</v>
      </c>
      <c r="CB39" s="212">
        <v>0</v>
      </c>
      <c r="CC39" s="224">
        <v>-475556.54000000004</v>
      </c>
      <c r="CD39" s="213"/>
      <c r="CE39" s="211">
        <v>419298.7999999997</v>
      </c>
      <c r="CF39" s="211">
        <v>14033.839999999997</v>
      </c>
      <c r="CG39" s="211">
        <v>0</v>
      </c>
      <c r="CH39" s="211">
        <v>0</v>
      </c>
      <c r="CI39" s="211">
        <v>0</v>
      </c>
      <c r="CJ39" s="211">
        <v>42223.899999999994</v>
      </c>
      <c r="CK39" s="211">
        <v>475556.53999999969</v>
      </c>
      <c r="CL39" s="201"/>
      <c r="CM39" s="201">
        <f t="shared" si="10"/>
        <v>0</v>
      </c>
      <c r="CN39" s="340">
        <f t="shared" si="11"/>
        <v>419298.7999999997</v>
      </c>
      <c r="CO39" s="340">
        <f t="shared" si="12"/>
        <v>14033.839999999997</v>
      </c>
      <c r="CP39" s="340">
        <f t="shared" si="13"/>
        <v>0</v>
      </c>
      <c r="CQ39" s="340">
        <f t="shared" si="14"/>
        <v>0</v>
      </c>
      <c r="CR39" s="340">
        <f t="shared" si="15"/>
        <v>0</v>
      </c>
      <c r="CS39" s="340">
        <f t="shared" si="16"/>
        <v>42223.899999999994</v>
      </c>
      <c r="CT39" s="90">
        <f t="shared" si="8"/>
        <v>475556.53999999969</v>
      </c>
      <c r="CV39" s="90">
        <f t="shared" si="9"/>
        <v>0</v>
      </c>
    </row>
    <row r="40" spans="1:100">
      <c r="A40" s="325">
        <v>551</v>
      </c>
      <c r="B40" s="325" t="s">
        <v>229</v>
      </c>
      <c r="C40" s="209">
        <v>-83440.570000000007</v>
      </c>
      <c r="D40" s="209">
        <v>-5837.82</v>
      </c>
      <c r="E40" s="209">
        <v>0</v>
      </c>
      <c r="F40" s="209">
        <v>-5021.2299999999996</v>
      </c>
      <c r="G40" s="209">
        <v>0</v>
      </c>
      <c r="H40" s="209">
        <v>0</v>
      </c>
      <c r="I40" s="223">
        <v>-606289.41</v>
      </c>
      <c r="J40" s="223">
        <v>0</v>
      </c>
      <c r="K40" s="223">
        <v>-1854</v>
      </c>
      <c r="L40" s="223">
        <v>0</v>
      </c>
      <c r="M40" s="223">
        <v>-17320</v>
      </c>
      <c r="N40" s="223">
        <v>-1200</v>
      </c>
      <c r="O40" s="223">
        <v>0</v>
      </c>
      <c r="P40" s="223">
        <v>-2270</v>
      </c>
      <c r="Q40" s="223">
        <v>-13810.630000000001</v>
      </c>
      <c r="R40" s="223">
        <v>-72.72</v>
      </c>
      <c r="S40" s="223">
        <v>0</v>
      </c>
      <c r="T40" s="223">
        <v>0</v>
      </c>
      <c r="U40" s="223">
        <v>-12309.6</v>
      </c>
      <c r="V40" s="223">
        <v>-7521.5</v>
      </c>
      <c r="W40" s="223">
        <v>0</v>
      </c>
      <c r="X40" s="223">
        <v>0</v>
      </c>
      <c r="Y40" s="223">
        <v>0</v>
      </c>
      <c r="Z40" s="223">
        <v>0</v>
      </c>
      <c r="AA40" s="223">
        <v>0</v>
      </c>
      <c r="AB40" s="223">
        <v>-27.5</v>
      </c>
      <c r="AC40" s="223">
        <v>-29561</v>
      </c>
      <c r="AD40" s="210">
        <v>325561.26999999996</v>
      </c>
      <c r="AE40" s="210">
        <v>1445.21</v>
      </c>
      <c r="AF40" s="210">
        <v>113612.68</v>
      </c>
      <c r="AG40" s="210">
        <v>0</v>
      </c>
      <c r="AH40" s="210">
        <v>47918.890000000007</v>
      </c>
      <c r="AI40" s="210">
        <v>0</v>
      </c>
      <c r="AJ40" s="210">
        <v>0</v>
      </c>
      <c r="AK40" s="210">
        <v>2115.17</v>
      </c>
      <c r="AL40" s="210">
        <v>3176.5</v>
      </c>
      <c r="AM40" s="210">
        <v>298.89999999999998</v>
      </c>
      <c r="AN40" s="210">
        <v>403</v>
      </c>
      <c r="AO40" s="210">
        <v>6128.8499999999995</v>
      </c>
      <c r="AP40" s="210">
        <v>4379.7899999999991</v>
      </c>
      <c r="AQ40" s="210">
        <v>9381.869999999999</v>
      </c>
      <c r="AR40" s="210">
        <v>2966.8000000000015</v>
      </c>
      <c r="AS40" s="210">
        <v>19001.939999999999</v>
      </c>
      <c r="AT40" s="210">
        <v>4798.09</v>
      </c>
      <c r="AU40" s="210">
        <v>13605.92</v>
      </c>
      <c r="AV40" s="210">
        <v>32305.219999999994</v>
      </c>
      <c r="AW40" s="312" t="s">
        <v>970</v>
      </c>
      <c r="AX40" s="210">
        <v>2264.37</v>
      </c>
      <c r="AY40" s="210">
        <v>0</v>
      </c>
      <c r="AZ40" s="210">
        <v>4817.91</v>
      </c>
      <c r="BA40" s="210">
        <v>1516</v>
      </c>
      <c r="BB40" s="210">
        <v>609.75</v>
      </c>
      <c r="BC40" s="210">
        <v>0</v>
      </c>
      <c r="BD40" s="210">
        <v>3380</v>
      </c>
      <c r="BE40" s="210">
        <v>0</v>
      </c>
      <c r="BF40" s="210">
        <v>3837.26</v>
      </c>
      <c r="BG40" s="210">
        <v>5134.22</v>
      </c>
      <c r="BH40" s="210">
        <v>0</v>
      </c>
      <c r="BI40" s="210">
        <v>17379.2</v>
      </c>
      <c r="BJ40" s="210">
        <v>0</v>
      </c>
      <c r="BK40" s="210">
        <v>17848.919999999998</v>
      </c>
      <c r="BL40" s="210">
        <v>13896.93</v>
      </c>
      <c r="BM40" s="210">
        <v>0</v>
      </c>
      <c r="BN40" s="210">
        <v>0</v>
      </c>
      <c r="BO40" s="210">
        <v>0</v>
      </c>
      <c r="BP40" s="210">
        <v>0</v>
      </c>
      <c r="BQ40" s="211">
        <v>-5136.25</v>
      </c>
      <c r="BR40" s="211">
        <v>0</v>
      </c>
      <c r="BS40" s="211">
        <v>0</v>
      </c>
      <c r="BT40" s="212">
        <v>0</v>
      </c>
      <c r="BU40" s="212">
        <v>7335</v>
      </c>
      <c r="BV40" s="212">
        <v>0</v>
      </c>
      <c r="BW40" s="212">
        <v>0</v>
      </c>
      <c r="BX40" s="212">
        <v>1605</v>
      </c>
      <c r="BY40" s="212">
        <v>0</v>
      </c>
      <c r="BZ40" s="212">
        <v>0</v>
      </c>
      <c r="CA40" s="212">
        <v>449.99</v>
      </c>
      <c r="CB40" s="212">
        <v>604.65</v>
      </c>
      <c r="CC40" s="224">
        <v>-123892.93000000001</v>
      </c>
      <c r="CD40" s="213"/>
      <c r="CE40" s="211">
        <v>121049.09000000008</v>
      </c>
      <c r="CF40" s="211">
        <v>2681</v>
      </c>
      <c r="CG40" s="211">
        <v>0</v>
      </c>
      <c r="CH40" s="211">
        <v>162.84000000000015</v>
      </c>
      <c r="CI40" s="211">
        <v>0</v>
      </c>
      <c r="CJ40" s="211">
        <v>0</v>
      </c>
      <c r="CK40" s="211">
        <v>123892.93000000008</v>
      </c>
      <c r="CL40" s="201"/>
      <c r="CM40" s="201">
        <f t="shared" si="10"/>
        <v>0</v>
      </c>
      <c r="CN40" s="340">
        <f t="shared" si="11"/>
        <v>121049.09000000008</v>
      </c>
      <c r="CO40" s="340">
        <f t="shared" si="12"/>
        <v>2681</v>
      </c>
      <c r="CP40" s="340">
        <f t="shared" si="13"/>
        <v>0</v>
      </c>
      <c r="CQ40" s="340">
        <f t="shared" si="14"/>
        <v>162.84000000000015</v>
      </c>
      <c r="CR40" s="340">
        <f t="shared" si="15"/>
        <v>0</v>
      </c>
      <c r="CS40" s="340">
        <f t="shared" si="16"/>
        <v>0</v>
      </c>
      <c r="CT40" s="90">
        <f t="shared" si="8"/>
        <v>123892.93000000008</v>
      </c>
      <c r="CV40" s="90">
        <f t="shared" si="9"/>
        <v>0</v>
      </c>
    </row>
    <row r="41" spans="1:100">
      <c r="A41" s="325">
        <v>553</v>
      </c>
      <c r="B41" s="325" t="s">
        <v>241</v>
      </c>
      <c r="C41" s="209">
        <v>-144371.03</v>
      </c>
      <c r="D41" s="209">
        <v>-6558</v>
      </c>
      <c r="E41" s="209">
        <v>0</v>
      </c>
      <c r="F41" s="209">
        <v>-18295.34</v>
      </c>
      <c r="G41" s="209">
        <v>0</v>
      </c>
      <c r="H41" s="209">
        <v>-33594.199999999997</v>
      </c>
      <c r="I41" s="223">
        <v>-462393.88</v>
      </c>
      <c r="J41" s="223">
        <v>0</v>
      </c>
      <c r="K41" s="223">
        <v>-10915</v>
      </c>
      <c r="L41" s="223">
        <v>0</v>
      </c>
      <c r="M41" s="223">
        <v>-22150</v>
      </c>
      <c r="N41" s="223">
        <v>0</v>
      </c>
      <c r="O41" s="223">
        <v>0</v>
      </c>
      <c r="P41" s="223">
        <v>0</v>
      </c>
      <c r="Q41" s="223">
        <v>-20247.510000000002</v>
      </c>
      <c r="R41" s="223">
        <v>0</v>
      </c>
      <c r="S41" s="223">
        <v>0</v>
      </c>
      <c r="T41" s="223">
        <v>-2800</v>
      </c>
      <c r="U41" s="223">
        <v>-8002.1400000000012</v>
      </c>
      <c r="V41" s="223">
        <v>-2001.82</v>
      </c>
      <c r="W41" s="223">
        <v>0</v>
      </c>
      <c r="X41" s="223">
        <v>-19050.350000000002</v>
      </c>
      <c r="Y41" s="223">
        <v>-2269.12</v>
      </c>
      <c r="Z41" s="223">
        <v>0</v>
      </c>
      <c r="AA41" s="223">
        <v>0</v>
      </c>
      <c r="AB41" s="223">
        <v>-901.25</v>
      </c>
      <c r="AC41" s="223">
        <v>-21599</v>
      </c>
      <c r="AD41" s="210">
        <v>254661.49000000005</v>
      </c>
      <c r="AE41" s="210">
        <v>3924.7599999999998</v>
      </c>
      <c r="AF41" s="210">
        <v>78303.11</v>
      </c>
      <c r="AG41" s="210">
        <v>0</v>
      </c>
      <c r="AH41" s="210">
        <v>37137.210000000006</v>
      </c>
      <c r="AI41" s="210">
        <v>0</v>
      </c>
      <c r="AJ41" s="210">
        <v>36005.960000000006</v>
      </c>
      <c r="AK41" s="210">
        <v>7667.85</v>
      </c>
      <c r="AL41" s="210">
        <v>2993.91</v>
      </c>
      <c r="AM41" s="210">
        <v>843.59</v>
      </c>
      <c r="AN41" s="210">
        <v>2026.63</v>
      </c>
      <c r="AO41" s="210">
        <v>33525</v>
      </c>
      <c r="AP41" s="210">
        <v>1873.03</v>
      </c>
      <c r="AQ41" s="210">
        <v>15592.890000000001</v>
      </c>
      <c r="AR41" s="210">
        <v>884.49</v>
      </c>
      <c r="AS41" s="210">
        <v>12159.960000000001</v>
      </c>
      <c r="AT41" s="210">
        <v>3527.9</v>
      </c>
      <c r="AU41" s="210">
        <v>2595.7799999999997</v>
      </c>
      <c r="AV41" s="210">
        <v>34121.649999999994</v>
      </c>
      <c r="AW41" s="312">
        <v>0</v>
      </c>
      <c r="AX41" s="210">
        <v>2539</v>
      </c>
      <c r="AY41" s="210">
        <v>4253.8</v>
      </c>
      <c r="AZ41" s="210">
        <v>1036.19</v>
      </c>
      <c r="BA41" s="210">
        <v>0</v>
      </c>
      <c r="BB41" s="210">
        <v>471.8</v>
      </c>
      <c r="BC41" s="210">
        <v>0</v>
      </c>
      <c r="BD41" s="210">
        <v>2875</v>
      </c>
      <c r="BE41" s="210">
        <v>0</v>
      </c>
      <c r="BF41" s="210">
        <v>2167.31</v>
      </c>
      <c r="BG41" s="210">
        <v>2829.0600000000004</v>
      </c>
      <c r="BH41" s="210">
        <v>0</v>
      </c>
      <c r="BI41" s="210">
        <v>9205.08</v>
      </c>
      <c r="BJ41" s="210">
        <v>11633</v>
      </c>
      <c r="BK41" s="210">
        <v>16949.18</v>
      </c>
      <c r="BL41" s="210">
        <v>10524.24</v>
      </c>
      <c r="BM41" s="210">
        <v>0</v>
      </c>
      <c r="BN41" s="210">
        <v>0</v>
      </c>
      <c r="BO41" s="210">
        <v>26484.910000000003</v>
      </c>
      <c r="BP41" s="210">
        <v>2562.41</v>
      </c>
      <c r="BQ41" s="211">
        <v>-4742.5</v>
      </c>
      <c r="BR41" s="211">
        <v>0</v>
      </c>
      <c r="BS41" s="211">
        <v>0</v>
      </c>
      <c r="BT41" s="212">
        <v>0</v>
      </c>
      <c r="BU41" s="212">
        <v>22627.77</v>
      </c>
      <c r="BV41" s="212">
        <v>0</v>
      </c>
      <c r="BW41" s="212">
        <v>0</v>
      </c>
      <c r="BX41" s="212">
        <v>0</v>
      </c>
      <c r="BY41" s="212">
        <v>0</v>
      </c>
      <c r="BZ41" s="212">
        <v>0</v>
      </c>
      <c r="CA41" s="212">
        <v>0</v>
      </c>
      <c r="CB41" s="212">
        <v>0</v>
      </c>
      <c r="CC41" s="224">
        <v>-135887.17999999979</v>
      </c>
      <c r="CD41" s="213"/>
      <c r="CE41" s="211">
        <v>95580.759999999762</v>
      </c>
      <c r="CF41" s="211">
        <v>14030</v>
      </c>
      <c r="CG41" s="211">
        <v>0</v>
      </c>
      <c r="CH41" s="211">
        <v>410.06999999999971</v>
      </c>
      <c r="CI41" s="211">
        <v>0</v>
      </c>
      <c r="CJ41" s="211">
        <v>25866.349999999995</v>
      </c>
      <c r="CK41" s="211">
        <v>135887.17999999976</v>
      </c>
      <c r="CL41" s="201"/>
      <c r="CM41" s="201">
        <f t="shared" si="10"/>
        <v>0</v>
      </c>
      <c r="CN41" s="340">
        <f t="shared" si="11"/>
        <v>95580.759999999762</v>
      </c>
      <c r="CO41" s="340">
        <f t="shared" si="12"/>
        <v>14030</v>
      </c>
      <c r="CP41" s="340">
        <f t="shared" si="13"/>
        <v>0</v>
      </c>
      <c r="CQ41" s="340">
        <f t="shared" si="14"/>
        <v>410.06999999999971</v>
      </c>
      <c r="CR41" s="340">
        <f t="shared" si="15"/>
        <v>0</v>
      </c>
      <c r="CS41" s="340">
        <f t="shared" si="16"/>
        <v>25866.349999999995</v>
      </c>
      <c r="CT41" s="90">
        <f t="shared" si="8"/>
        <v>135887.17999999976</v>
      </c>
      <c r="CV41" s="90">
        <f t="shared" si="9"/>
        <v>0</v>
      </c>
    </row>
    <row r="42" spans="1:100">
      <c r="A42" s="325">
        <v>558</v>
      </c>
      <c r="B42" s="325" t="s">
        <v>389</v>
      </c>
      <c r="C42" s="209">
        <v>20693.77</v>
      </c>
      <c r="D42" s="209">
        <v>-18365.509999999998</v>
      </c>
      <c r="E42" s="209">
        <v>0</v>
      </c>
      <c r="F42" s="209">
        <v>-18476.72</v>
      </c>
      <c r="G42" s="209">
        <v>0</v>
      </c>
      <c r="H42" s="209">
        <v>0</v>
      </c>
      <c r="I42" s="223">
        <v>-1137525.02</v>
      </c>
      <c r="J42" s="223">
        <v>0</v>
      </c>
      <c r="K42" s="223">
        <v>-53587</v>
      </c>
      <c r="L42" s="223">
        <v>0</v>
      </c>
      <c r="M42" s="223">
        <v>-38434.82</v>
      </c>
      <c r="N42" s="223">
        <v>-4400</v>
      </c>
      <c r="O42" s="223">
        <v>-1173</v>
      </c>
      <c r="P42" s="223">
        <v>0</v>
      </c>
      <c r="Q42" s="223">
        <v>-5512.41</v>
      </c>
      <c r="R42" s="223">
        <v>-478.08</v>
      </c>
      <c r="S42" s="223">
        <v>-3683.8</v>
      </c>
      <c r="T42" s="223">
        <v>-489.5</v>
      </c>
      <c r="U42" s="223">
        <v>-22440.120000000003</v>
      </c>
      <c r="V42" s="223">
        <v>-10401.799999999999</v>
      </c>
      <c r="W42" s="223">
        <v>0</v>
      </c>
      <c r="X42" s="223">
        <v>0</v>
      </c>
      <c r="Y42" s="223">
        <v>0</v>
      </c>
      <c r="Z42" s="223">
        <v>0</v>
      </c>
      <c r="AA42" s="223">
        <v>0</v>
      </c>
      <c r="AB42" s="223">
        <v>98.119999999999891</v>
      </c>
      <c r="AC42" s="223">
        <v>-60190</v>
      </c>
      <c r="AD42" s="210">
        <v>582090.91</v>
      </c>
      <c r="AE42" s="210">
        <v>25560.159999999996</v>
      </c>
      <c r="AF42" s="210">
        <v>313323.27999999997</v>
      </c>
      <c r="AG42" s="210">
        <v>35656.15</v>
      </c>
      <c r="AH42" s="210">
        <v>70259.53</v>
      </c>
      <c r="AI42" s="210">
        <v>0</v>
      </c>
      <c r="AJ42" s="210">
        <v>35489.80999999999</v>
      </c>
      <c r="AK42" s="210">
        <v>4657.05</v>
      </c>
      <c r="AL42" s="210">
        <v>11934.769999999999</v>
      </c>
      <c r="AM42" s="210">
        <v>11098.67</v>
      </c>
      <c r="AN42" s="210">
        <v>0</v>
      </c>
      <c r="AO42" s="210">
        <v>13166.35</v>
      </c>
      <c r="AP42" s="210">
        <v>4883.3599999999997</v>
      </c>
      <c r="AQ42" s="210">
        <v>2547.5500000000006</v>
      </c>
      <c r="AR42" s="210">
        <v>4684</v>
      </c>
      <c r="AS42" s="210">
        <v>30581.87</v>
      </c>
      <c r="AT42" s="210">
        <v>17167.03</v>
      </c>
      <c r="AU42" s="210">
        <v>8710.159999999998</v>
      </c>
      <c r="AV42" s="210">
        <v>105056.95999999998</v>
      </c>
      <c r="AW42" s="312">
        <v>0</v>
      </c>
      <c r="AX42" s="210">
        <v>5767.21</v>
      </c>
      <c r="AY42" s="210">
        <v>2106.9599999999996</v>
      </c>
      <c r="AZ42" s="210">
        <v>4290</v>
      </c>
      <c r="BA42" s="210">
        <v>2201.4699999999998</v>
      </c>
      <c r="BB42" s="210">
        <v>759.96</v>
      </c>
      <c r="BC42" s="210">
        <v>2837.39</v>
      </c>
      <c r="BD42" s="210">
        <v>6005</v>
      </c>
      <c r="BE42" s="210">
        <v>0</v>
      </c>
      <c r="BF42" s="210">
        <v>6011.74</v>
      </c>
      <c r="BG42" s="210">
        <v>8801.52</v>
      </c>
      <c r="BH42" s="210">
        <v>0</v>
      </c>
      <c r="BI42" s="210">
        <v>39758.83</v>
      </c>
      <c r="BJ42" s="210">
        <v>13427.720000000001</v>
      </c>
      <c r="BK42" s="210">
        <v>9481.7000000000007</v>
      </c>
      <c r="BL42" s="210">
        <v>21551.970000000005</v>
      </c>
      <c r="BM42" s="210">
        <v>0</v>
      </c>
      <c r="BN42" s="210">
        <v>0</v>
      </c>
      <c r="BO42" s="210">
        <v>0</v>
      </c>
      <c r="BP42" s="210">
        <v>0</v>
      </c>
      <c r="BQ42" s="211">
        <v>-10137.5</v>
      </c>
      <c r="BR42" s="211">
        <v>0</v>
      </c>
      <c r="BS42" s="211">
        <v>0</v>
      </c>
      <c r="BT42" s="212">
        <v>0</v>
      </c>
      <c r="BU42" s="212">
        <v>5214.32</v>
      </c>
      <c r="BV42" s="212">
        <v>0</v>
      </c>
      <c r="BW42" s="212">
        <v>0</v>
      </c>
      <c r="BX42" s="212">
        <v>0</v>
      </c>
      <c r="BY42" s="212">
        <v>0</v>
      </c>
      <c r="BZ42" s="212">
        <v>0</v>
      </c>
      <c r="CA42" s="212">
        <v>0</v>
      </c>
      <c r="CB42" s="212">
        <v>0</v>
      </c>
      <c r="CC42" s="224">
        <v>40580.009999999864</v>
      </c>
      <c r="CD42" s="213"/>
      <c r="CE42" s="381">
        <v>-76349.179999999906</v>
      </c>
      <c r="CF42" s="381">
        <v>12369.27</v>
      </c>
      <c r="CG42" s="381">
        <v>0</v>
      </c>
      <c r="CH42" s="381">
        <v>23399.9</v>
      </c>
      <c r="CI42" s="381">
        <v>0</v>
      </c>
      <c r="CJ42" s="381">
        <v>0</v>
      </c>
      <c r="CK42" s="381">
        <v>-40580.0099999999</v>
      </c>
      <c r="CL42" s="201"/>
      <c r="CM42" s="201">
        <f t="shared" si="10"/>
        <v>0</v>
      </c>
      <c r="CN42" s="290">
        <f t="shared" si="11"/>
        <v>-76349.179999999906</v>
      </c>
      <c r="CO42" s="290">
        <f t="shared" si="12"/>
        <v>12369.27</v>
      </c>
      <c r="CP42" s="290">
        <f t="shared" si="13"/>
        <v>0</v>
      </c>
      <c r="CQ42" s="290">
        <f t="shared" si="14"/>
        <v>23399.9</v>
      </c>
      <c r="CR42" s="290">
        <f t="shared" si="15"/>
        <v>0</v>
      </c>
      <c r="CS42" s="290">
        <f t="shared" si="16"/>
        <v>0</v>
      </c>
      <c r="CT42" s="290">
        <f t="shared" si="8"/>
        <v>-40580.0099999999</v>
      </c>
      <c r="CV42" s="90">
        <f t="shared" si="9"/>
        <v>0</v>
      </c>
    </row>
    <row r="43" spans="1:100">
      <c r="A43" s="325">
        <v>559</v>
      </c>
      <c r="B43" s="326" t="s">
        <v>390</v>
      </c>
      <c r="C43" s="209">
        <v>-161197.03</v>
      </c>
      <c r="D43" s="209">
        <v>-14727</v>
      </c>
      <c r="E43" s="209">
        <v>0</v>
      </c>
      <c r="F43" s="209">
        <v>-16258.15</v>
      </c>
      <c r="G43" s="209">
        <v>0</v>
      </c>
      <c r="H43" s="209">
        <v>0</v>
      </c>
      <c r="I43" s="223">
        <v>-565145.94999999995</v>
      </c>
      <c r="J43" s="223">
        <v>0</v>
      </c>
      <c r="K43" s="223">
        <v>0</v>
      </c>
      <c r="L43" s="223">
        <v>0</v>
      </c>
      <c r="M43" s="223">
        <v>-15790</v>
      </c>
      <c r="N43" s="223">
        <v>-4685.6399999999994</v>
      </c>
      <c r="O43" s="223">
        <v>0</v>
      </c>
      <c r="P43" s="223">
        <v>0</v>
      </c>
      <c r="Q43" s="223">
        <v>-26894.550000000003</v>
      </c>
      <c r="R43" s="223">
        <v>-229.04</v>
      </c>
      <c r="S43" s="223">
        <v>0</v>
      </c>
      <c r="T43" s="223">
        <v>0</v>
      </c>
      <c r="U43" s="223">
        <v>-6722.43</v>
      </c>
      <c r="V43" s="223">
        <v>-12734.880000000001</v>
      </c>
      <c r="W43" s="223">
        <v>0</v>
      </c>
      <c r="X43" s="223">
        <v>0</v>
      </c>
      <c r="Y43" s="223">
        <v>0</v>
      </c>
      <c r="Z43" s="223">
        <v>0</v>
      </c>
      <c r="AA43" s="223">
        <v>0</v>
      </c>
      <c r="AB43" s="223">
        <v>-224.38</v>
      </c>
      <c r="AC43" s="223">
        <v>-32967</v>
      </c>
      <c r="AD43" s="210">
        <v>342738.61</v>
      </c>
      <c r="AE43" s="210">
        <v>3692.45</v>
      </c>
      <c r="AF43" s="210">
        <v>73886.280000000013</v>
      </c>
      <c r="AG43" s="210">
        <v>10699.49</v>
      </c>
      <c r="AH43" s="210">
        <v>29888.959999999999</v>
      </c>
      <c r="AI43" s="210">
        <v>0</v>
      </c>
      <c r="AJ43" s="210">
        <v>12540.36</v>
      </c>
      <c r="AK43" s="210">
        <v>1754.45</v>
      </c>
      <c r="AL43" s="210">
        <v>3535.5</v>
      </c>
      <c r="AM43" s="210">
        <v>247.05</v>
      </c>
      <c r="AN43" s="210">
        <v>0</v>
      </c>
      <c r="AO43" s="210">
        <v>9064.2199999999993</v>
      </c>
      <c r="AP43" s="210">
        <v>3908.8200000000006</v>
      </c>
      <c r="AQ43" s="210">
        <v>1832.5300000000002</v>
      </c>
      <c r="AR43" s="210">
        <v>1807.54</v>
      </c>
      <c r="AS43" s="210">
        <v>10588.579999999998</v>
      </c>
      <c r="AT43" s="210">
        <v>9944.18</v>
      </c>
      <c r="AU43" s="210">
        <v>4399.6900000000005</v>
      </c>
      <c r="AV43" s="210">
        <v>22448.67</v>
      </c>
      <c r="AW43" s="312">
        <v>1045.6099999999999</v>
      </c>
      <c r="AX43" s="210">
        <v>145.34</v>
      </c>
      <c r="AY43" s="210">
        <v>0</v>
      </c>
      <c r="AZ43" s="210">
        <v>81.59</v>
      </c>
      <c r="BA43" s="210">
        <v>645</v>
      </c>
      <c r="BB43" s="210">
        <v>0</v>
      </c>
      <c r="BC43" s="210">
        <v>0</v>
      </c>
      <c r="BD43" s="210">
        <v>810</v>
      </c>
      <c r="BE43" s="210">
        <v>0</v>
      </c>
      <c r="BF43" s="210">
        <v>1305.18</v>
      </c>
      <c r="BG43" s="210">
        <v>4243.59</v>
      </c>
      <c r="BH43" s="210">
        <v>0</v>
      </c>
      <c r="BI43" s="210">
        <v>19912.27</v>
      </c>
      <c r="BJ43" s="210">
        <v>400</v>
      </c>
      <c r="BK43" s="210">
        <v>22304.5</v>
      </c>
      <c r="BL43" s="210">
        <v>24906.05</v>
      </c>
      <c r="BM43" s="210">
        <v>0</v>
      </c>
      <c r="BN43" s="210">
        <v>0</v>
      </c>
      <c r="BO43" s="210">
        <v>0</v>
      </c>
      <c r="BP43" s="210">
        <v>0</v>
      </c>
      <c r="BQ43" s="211">
        <v>-4855</v>
      </c>
      <c r="BR43" s="211">
        <v>0</v>
      </c>
      <c r="BS43" s="211">
        <v>0</v>
      </c>
      <c r="BT43" s="212">
        <v>0</v>
      </c>
      <c r="BU43" s="212">
        <v>536.84</v>
      </c>
      <c r="BV43" s="212">
        <v>0</v>
      </c>
      <c r="BW43" s="212">
        <v>747.16</v>
      </c>
      <c r="BX43" s="212">
        <v>0</v>
      </c>
      <c r="BY43" s="212">
        <v>0</v>
      </c>
      <c r="BZ43" s="212">
        <v>1300</v>
      </c>
      <c r="CA43" s="212">
        <v>0</v>
      </c>
      <c r="CB43" s="212">
        <v>0</v>
      </c>
      <c r="CC43" s="224">
        <v>-241070.53999999998</v>
      </c>
      <c r="CD43" s="213"/>
      <c r="CE43" s="211">
        <v>213688.22999999995</v>
      </c>
      <c r="CF43" s="211">
        <v>8106</v>
      </c>
      <c r="CG43" s="211">
        <v>0</v>
      </c>
      <c r="CH43" s="211">
        <v>19276.309999999998</v>
      </c>
      <c r="CI43" s="211">
        <v>0</v>
      </c>
      <c r="CJ43" s="211">
        <v>0</v>
      </c>
      <c r="CK43" s="211">
        <v>241070.53999999995</v>
      </c>
      <c r="CL43" s="201"/>
      <c r="CM43" s="201">
        <f t="shared" si="10"/>
        <v>0</v>
      </c>
      <c r="CN43" s="340">
        <f t="shared" si="11"/>
        <v>213688.22999999995</v>
      </c>
      <c r="CO43" s="340">
        <f t="shared" si="12"/>
        <v>8106</v>
      </c>
      <c r="CP43" s="340">
        <f t="shared" si="13"/>
        <v>0</v>
      </c>
      <c r="CQ43" s="340">
        <f t="shared" si="14"/>
        <v>19276.309999999998</v>
      </c>
      <c r="CR43" s="340">
        <f t="shared" si="15"/>
        <v>0</v>
      </c>
      <c r="CS43" s="340">
        <f t="shared" si="16"/>
        <v>0</v>
      </c>
      <c r="CT43" s="90">
        <f t="shared" si="8"/>
        <v>241070.53999999995</v>
      </c>
      <c r="CV43" s="90">
        <f t="shared" si="9"/>
        <v>0</v>
      </c>
    </row>
    <row r="44" spans="1:100">
      <c r="A44" s="325">
        <v>564</v>
      </c>
      <c r="B44" s="325" t="s">
        <v>438</v>
      </c>
      <c r="C44" s="209">
        <v>0</v>
      </c>
      <c r="D44" s="209">
        <v>0</v>
      </c>
      <c r="E44" s="209">
        <v>0</v>
      </c>
      <c r="F44" s="209">
        <v>0</v>
      </c>
      <c r="G44" s="209">
        <v>0</v>
      </c>
      <c r="H44" s="209">
        <v>0</v>
      </c>
      <c r="I44" s="223">
        <v>0</v>
      </c>
      <c r="J44" s="223">
        <v>0</v>
      </c>
      <c r="K44" s="223">
        <v>0</v>
      </c>
      <c r="L44" s="223">
        <v>0</v>
      </c>
      <c r="M44" s="223">
        <v>0</v>
      </c>
      <c r="N44" s="223">
        <v>0</v>
      </c>
      <c r="O44" s="223">
        <v>0</v>
      </c>
      <c r="P44" s="223">
        <v>0</v>
      </c>
      <c r="Q44" s="223">
        <v>0</v>
      </c>
      <c r="R44" s="223">
        <v>0</v>
      </c>
      <c r="S44" s="223">
        <v>0</v>
      </c>
      <c r="T44" s="223">
        <v>0</v>
      </c>
      <c r="U44" s="223">
        <v>0</v>
      </c>
      <c r="V44" s="223">
        <v>0</v>
      </c>
      <c r="W44" s="223">
        <v>0</v>
      </c>
      <c r="X44" s="223">
        <v>0</v>
      </c>
      <c r="Y44" s="223">
        <v>0</v>
      </c>
      <c r="Z44" s="223">
        <v>0</v>
      </c>
      <c r="AA44" s="223">
        <v>0</v>
      </c>
      <c r="AB44" s="223">
        <v>0</v>
      </c>
      <c r="AC44" s="223">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312"/>
      <c r="AX44" s="210">
        <v>0</v>
      </c>
      <c r="AY44" s="210">
        <v>0</v>
      </c>
      <c r="AZ44" s="210">
        <v>0</v>
      </c>
      <c r="BA44" s="210">
        <v>0</v>
      </c>
      <c r="BB44" s="210">
        <v>0</v>
      </c>
      <c r="BC44" s="210">
        <v>0</v>
      </c>
      <c r="BD44" s="210">
        <v>0</v>
      </c>
      <c r="BE44" s="210">
        <v>0</v>
      </c>
      <c r="BF44" s="210">
        <v>0</v>
      </c>
      <c r="BG44" s="210">
        <v>0</v>
      </c>
      <c r="BH44" s="210">
        <v>0</v>
      </c>
      <c r="BI44" s="210">
        <v>0</v>
      </c>
      <c r="BJ44" s="210">
        <v>0</v>
      </c>
      <c r="BK44" s="210">
        <v>0</v>
      </c>
      <c r="BL44" s="210">
        <v>0</v>
      </c>
      <c r="BM44" s="210">
        <v>0</v>
      </c>
      <c r="BN44" s="210">
        <v>0</v>
      </c>
      <c r="BO44" s="210">
        <v>0</v>
      </c>
      <c r="BP44" s="210">
        <v>0</v>
      </c>
      <c r="BQ44" s="211">
        <v>0</v>
      </c>
      <c r="BR44" s="211">
        <v>0</v>
      </c>
      <c r="BS44" s="211">
        <v>0</v>
      </c>
      <c r="BT44" s="212">
        <v>0</v>
      </c>
      <c r="BU44" s="212">
        <v>0</v>
      </c>
      <c r="BV44" s="212">
        <v>0</v>
      </c>
      <c r="BW44" s="212" t="e">
        <v>#N/A</v>
      </c>
      <c r="BX44" s="212">
        <v>0</v>
      </c>
      <c r="BY44" s="212">
        <v>0</v>
      </c>
      <c r="BZ44" s="212">
        <v>0</v>
      </c>
      <c r="CA44" s="212">
        <v>0</v>
      </c>
      <c r="CB44" s="212">
        <v>0</v>
      </c>
      <c r="CC44" s="224">
        <v>0</v>
      </c>
      <c r="CD44" s="213"/>
      <c r="CE44" s="211"/>
      <c r="CF44" s="211"/>
      <c r="CG44" s="211"/>
      <c r="CH44" s="211"/>
      <c r="CI44" s="211"/>
      <c r="CJ44" s="211"/>
      <c r="CK44" s="211"/>
      <c r="CL44" s="201"/>
      <c r="CM44" s="201">
        <f t="shared" si="10"/>
        <v>0</v>
      </c>
      <c r="CN44" s="340">
        <f t="shared" si="11"/>
        <v>0</v>
      </c>
      <c r="CO44" s="340">
        <f t="shared" si="12"/>
        <v>0</v>
      </c>
      <c r="CP44" s="340">
        <f t="shared" si="13"/>
        <v>0</v>
      </c>
      <c r="CQ44" s="340">
        <f t="shared" si="14"/>
        <v>0</v>
      </c>
      <c r="CR44" s="340">
        <f t="shared" si="15"/>
        <v>0</v>
      </c>
      <c r="CS44" s="340">
        <f t="shared" si="16"/>
        <v>0</v>
      </c>
      <c r="CT44" s="90">
        <f t="shared" si="8"/>
        <v>0</v>
      </c>
      <c r="CV44" s="90">
        <f t="shared" si="9"/>
        <v>0</v>
      </c>
    </row>
    <row r="45" spans="1:100">
      <c r="A45" s="325">
        <v>567</v>
      </c>
      <c r="B45" s="325" t="s">
        <v>391</v>
      </c>
      <c r="C45" s="209">
        <v>-18097.3</v>
      </c>
      <c r="D45" s="209">
        <v>-1011.24</v>
      </c>
      <c r="E45" s="209">
        <v>0</v>
      </c>
      <c r="F45" s="209">
        <v>0</v>
      </c>
      <c r="G45" s="209">
        <v>0</v>
      </c>
      <c r="H45" s="209">
        <v>-47449.53</v>
      </c>
      <c r="I45" s="223">
        <v>-590999.86</v>
      </c>
      <c r="J45" s="223">
        <v>0</v>
      </c>
      <c r="K45" s="223">
        <v>-39661</v>
      </c>
      <c r="L45" s="223">
        <v>0</v>
      </c>
      <c r="M45" s="223">
        <v>-24360</v>
      </c>
      <c r="N45" s="223">
        <v>-800</v>
      </c>
      <c r="O45" s="223">
        <v>-700</v>
      </c>
      <c r="P45" s="223">
        <v>0</v>
      </c>
      <c r="Q45" s="223">
        <v>-16905.080000000002</v>
      </c>
      <c r="R45" s="223">
        <v>-9361.8900000000012</v>
      </c>
      <c r="S45" s="223">
        <v>0</v>
      </c>
      <c r="T45" s="223">
        <v>0</v>
      </c>
      <c r="U45" s="223">
        <v>-10682.130000000003</v>
      </c>
      <c r="V45" s="223">
        <v>-2311.23</v>
      </c>
      <c r="W45" s="223">
        <v>0</v>
      </c>
      <c r="X45" s="223">
        <v>-48307.13</v>
      </c>
      <c r="Y45" s="223">
        <v>-2096.7299999999996</v>
      </c>
      <c r="Z45" s="223">
        <v>0</v>
      </c>
      <c r="AA45" s="223">
        <v>0</v>
      </c>
      <c r="AB45" s="223">
        <v>-146.88</v>
      </c>
      <c r="AC45" s="223">
        <v>-33733</v>
      </c>
      <c r="AD45" s="210">
        <v>333465.61</v>
      </c>
      <c r="AE45" s="210">
        <v>3021.4500000000003</v>
      </c>
      <c r="AF45" s="210">
        <v>181552.93999999997</v>
      </c>
      <c r="AG45" s="210">
        <v>0</v>
      </c>
      <c r="AH45" s="210">
        <v>30801.53</v>
      </c>
      <c r="AI45" s="210">
        <v>0</v>
      </c>
      <c r="AJ45" s="210">
        <v>20278.86</v>
      </c>
      <c r="AK45" s="210">
        <v>41.38</v>
      </c>
      <c r="AL45" s="210">
        <v>2824.1</v>
      </c>
      <c r="AM45" s="210">
        <v>1456.24</v>
      </c>
      <c r="AN45" s="210">
        <v>306</v>
      </c>
      <c r="AO45" s="210">
        <v>17335.350000000002</v>
      </c>
      <c r="AP45" s="210">
        <v>4520.6200000000008</v>
      </c>
      <c r="AQ45" s="210">
        <v>13629.95</v>
      </c>
      <c r="AR45" s="210">
        <v>1807.35</v>
      </c>
      <c r="AS45" s="210">
        <v>12750.61</v>
      </c>
      <c r="AT45" s="210">
        <v>3274.42</v>
      </c>
      <c r="AU45" s="210">
        <v>1945.0500000000002</v>
      </c>
      <c r="AV45" s="210">
        <v>64104.609999999986</v>
      </c>
      <c r="AW45" s="312">
        <v>189.96</v>
      </c>
      <c r="AX45" s="210">
        <v>158</v>
      </c>
      <c r="AY45" s="210">
        <v>0</v>
      </c>
      <c r="AZ45" s="210">
        <v>0</v>
      </c>
      <c r="BA45" s="210">
        <v>0</v>
      </c>
      <c r="BB45" s="210">
        <v>0</v>
      </c>
      <c r="BC45" s="210">
        <v>0</v>
      </c>
      <c r="BD45" s="210">
        <v>1120</v>
      </c>
      <c r="BE45" s="210">
        <v>0</v>
      </c>
      <c r="BF45" s="210">
        <v>2855.83</v>
      </c>
      <c r="BG45" s="210">
        <v>5239</v>
      </c>
      <c r="BH45" s="210">
        <v>0</v>
      </c>
      <c r="BI45" s="210">
        <v>29079.769999999997</v>
      </c>
      <c r="BJ45" s="210">
        <v>1600.4</v>
      </c>
      <c r="BK45" s="210">
        <v>30132.91</v>
      </c>
      <c r="BL45" s="210">
        <v>27666.13</v>
      </c>
      <c r="BM45" s="210">
        <v>0</v>
      </c>
      <c r="BN45" s="210">
        <v>0</v>
      </c>
      <c r="BO45" s="210">
        <v>55551.1</v>
      </c>
      <c r="BP45" s="210">
        <v>2582.8100000000004</v>
      </c>
      <c r="BQ45" s="211">
        <v>0</v>
      </c>
      <c r="BR45" s="211">
        <v>0</v>
      </c>
      <c r="BS45" s="211">
        <v>0</v>
      </c>
      <c r="BT45" s="212">
        <v>0</v>
      </c>
      <c r="BU45" s="212">
        <v>0</v>
      </c>
      <c r="BV45" s="212">
        <v>0</v>
      </c>
      <c r="BW45" s="212">
        <v>0</v>
      </c>
      <c r="BX45" s="212">
        <v>0</v>
      </c>
      <c r="BY45" s="212">
        <v>0</v>
      </c>
      <c r="BZ45" s="212">
        <v>0</v>
      </c>
      <c r="CA45" s="212">
        <v>0</v>
      </c>
      <c r="CB45" s="212">
        <v>0</v>
      </c>
      <c r="CC45" s="224">
        <v>2668.9800000000641</v>
      </c>
      <c r="CD45" s="213"/>
      <c r="CE45" s="211">
        <v>-29664.979999999927</v>
      </c>
      <c r="CF45" s="211">
        <v>3009.95</v>
      </c>
      <c r="CG45" s="211">
        <v>0</v>
      </c>
      <c r="CH45" s="211">
        <v>0</v>
      </c>
      <c r="CI45" s="211">
        <v>0</v>
      </c>
      <c r="CJ45" s="211">
        <v>23986.050000000003</v>
      </c>
      <c r="CK45" s="211">
        <v>-2668.9799999999232</v>
      </c>
      <c r="CL45" s="201"/>
      <c r="CM45" s="201">
        <f t="shared" si="10"/>
        <v>1.4097167877480388E-10</v>
      </c>
      <c r="CN45" s="340">
        <f t="shared" si="11"/>
        <v>-29664.979999999927</v>
      </c>
      <c r="CO45" s="340">
        <f t="shared" si="12"/>
        <v>3009.95</v>
      </c>
      <c r="CP45" s="340">
        <f t="shared" si="13"/>
        <v>0</v>
      </c>
      <c r="CQ45" s="340">
        <f t="shared" si="14"/>
        <v>0</v>
      </c>
      <c r="CR45" s="340">
        <f t="shared" si="15"/>
        <v>0</v>
      </c>
      <c r="CS45" s="340">
        <f t="shared" si="16"/>
        <v>23986.050000000003</v>
      </c>
      <c r="CT45" s="90">
        <f t="shared" si="8"/>
        <v>-2668.9799999999232</v>
      </c>
      <c r="CV45" s="90">
        <f t="shared" si="9"/>
        <v>0</v>
      </c>
    </row>
    <row r="46" spans="1:100">
      <c r="A46" s="325">
        <v>569</v>
      </c>
      <c r="B46" s="325" t="s">
        <v>217</v>
      </c>
      <c r="C46" s="209">
        <v>-74854.81</v>
      </c>
      <c r="D46" s="209">
        <v>-5756.16</v>
      </c>
      <c r="E46" s="209">
        <v>0</v>
      </c>
      <c r="F46" s="209">
        <v>-23407.31</v>
      </c>
      <c r="G46" s="209">
        <v>0</v>
      </c>
      <c r="H46" s="209">
        <v>0</v>
      </c>
      <c r="I46" s="223">
        <v>-1230778.78</v>
      </c>
      <c r="J46" s="223">
        <v>0</v>
      </c>
      <c r="K46" s="223">
        <v>-39591</v>
      </c>
      <c r="L46" s="223">
        <v>0</v>
      </c>
      <c r="M46" s="223">
        <v>-104950</v>
      </c>
      <c r="N46" s="223">
        <v>-885.64</v>
      </c>
      <c r="O46" s="223">
        <v>-2000</v>
      </c>
      <c r="P46" s="223">
        <v>0</v>
      </c>
      <c r="Q46" s="223">
        <v>-9794.59</v>
      </c>
      <c r="R46" s="223">
        <v>-5163.8399999999992</v>
      </c>
      <c r="S46" s="223">
        <v>-377</v>
      </c>
      <c r="T46" s="223">
        <v>0</v>
      </c>
      <c r="U46" s="223">
        <v>-38870.780000000006</v>
      </c>
      <c r="V46" s="223">
        <v>-1991.42</v>
      </c>
      <c r="W46" s="223">
        <v>0</v>
      </c>
      <c r="X46" s="223">
        <v>0</v>
      </c>
      <c r="Y46" s="223">
        <v>0</v>
      </c>
      <c r="Z46" s="223">
        <v>0</v>
      </c>
      <c r="AA46" s="223">
        <v>0</v>
      </c>
      <c r="AB46" s="223">
        <v>-3597.38</v>
      </c>
      <c r="AC46" s="223">
        <v>-18227</v>
      </c>
      <c r="AD46" s="210">
        <v>695045.18</v>
      </c>
      <c r="AE46" s="210">
        <v>12803.25</v>
      </c>
      <c r="AF46" s="210">
        <v>259113.11999999997</v>
      </c>
      <c r="AG46" s="210">
        <v>5671.6699999999992</v>
      </c>
      <c r="AH46" s="210">
        <v>116113.51000000001</v>
      </c>
      <c r="AI46" s="210">
        <v>0</v>
      </c>
      <c r="AJ46" s="210">
        <v>33612.019999999997</v>
      </c>
      <c r="AK46" s="210">
        <v>4311.49</v>
      </c>
      <c r="AL46" s="210">
        <v>4457.95</v>
      </c>
      <c r="AM46" s="210">
        <v>692.35</v>
      </c>
      <c r="AN46" s="210">
        <v>0</v>
      </c>
      <c r="AO46" s="210">
        <v>10326.06</v>
      </c>
      <c r="AP46" s="210">
        <v>16569.48</v>
      </c>
      <c r="AQ46" s="210">
        <v>28323.32</v>
      </c>
      <c r="AR46" s="210">
        <v>1105.33</v>
      </c>
      <c r="AS46" s="210">
        <v>26859.99</v>
      </c>
      <c r="AT46" s="210">
        <v>0</v>
      </c>
      <c r="AU46" s="210">
        <v>6028.7199999999993</v>
      </c>
      <c r="AV46" s="210">
        <v>68950.260000000009</v>
      </c>
      <c r="AW46" s="312">
        <v>-1.0231815394945443E-12</v>
      </c>
      <c r="AX46" s="210">
        <v>1576.56</v>
      </c>
      <c r="AY46" s="210">
        <v>0</v>
      </c>
      <c r="AZ46" s="210">
        <v>7502.38</v>
      </c>
      <c r="BA46" s="210">
        <v>11948.149999999998</v>
      </c>
      <c r="BB46" s="210">
        <v>948</v>
      </c>
      <c r="BC46" s="210">
        <v>340.67</v>
      </c>
      <c r="BD46" s="210">
        <v>9813.39</v>
      </c>
      <c r="BE46" s="210">
        <v>0</v>
      </c>
      <c r="BF46" s="210">
        <v>8956.1200000000008</v>
      </c>
      <c r="BG46" s="210">
        <v>11892.53</v>
      </c>
      <c r="BH46" s="210">
        <v>0</v>
      </c>
      <c r="BI46" s="210">
        <v>20565.560000000001</v>
      </c>
      <c r="BJ46" s="210">
        <v>1360.22</v>
      </c>
      <c r="BK46" s="210">
        <v>20301.5</v>
      </c>
      <c r="BL46" s="210">
        <v>20575.539999999997</v>
      </c>
      <c r="BM46" s="210">
        <v>0</v>
      </c>
      <c r="BN46" s="210">
        <v>0</v>
      </c>
      <c r="BO46" s="210">
        <v>0</v>
      </c>
      <c r="BP46" s="210">
        <v>0</v>
      </c>
      <c r="BQ46" s="211">
        <v>-6486.25</v>
      </c>
      <c r="BR46" s="211">
        <v>0</v>
      </c>
      <c r="BS46" s="211">
        <v>0</v>
      </c>
      <c r="BT46" s="212">
        <v>0</v>
      </c>
      <c r="BU46" s="212">
        <v>0</v>
      </c>
      <c r="BV46" s="212">
        <v>0</v>
      </c>
      <c r="BW46" s="212">
        <v>0</v>
      </c>
      <c r="BX46" s="212">
        <v>0</v>
      </c>
      <c r="BY46" s="212">
        <v>2932</v>
      </c>
      <c r="BZ46" s="212">
        <v>0</v>
      </c>
      <c r="CA46" s="212">
        <v>6905</v>
      </c>
      <c r="CB46" s="212">
        <v>0</v>
      </c>
      <c r="CC46" s="224">
        <v>-151130.63999999987</v>
      </c>
      <c r="CD46" s="213"/>
      <c r="CE46" s="211">
        <v>123381.74000000034</v>
      </c>
      <c r="CF46" s="211">
        <v>7692.34</v>
      </c>
      <c r="CG46" s="211">
        <v>0</v>
      </c>
      <c r="CH46" s="211">
        <v>20056.560000000001</v>
      </c>
      <c r="CI46" s="211">
        <v>0</v>
      </c>
      <c r="CJ46" s="211">
        <v>0</v>
      </c>
      <c r="CK46" s="211">
        <v>151130.64000000033</v>
      </c>
      <c r="CL46" s="201"/>
      <c r="CM46" s="201">
        <f t="shared" si="10"/>
        <v>4.6566128730773926E-10</v>
      </c>
      <c r="CN46" s="340">
        <f t="shared" si="11"/>
        <v>123381.74000000034</v>
      </c>
      <c r="CO46" s="340">
        <f t="shared" si="12"/>
        <v>7692.34</v>
      </c>
      <c r="CP46" s="340">
        <f t="shared" si="13"/>
        <v>0</v>
      </c>
      <c r="CQ46" s="340">
        <f t="shared" si="14"/>
        <v>20056.560000000001</v>
      </c>
      <c r="CR46" s="340">
        <f t="shared" si="15"/>
        <v>0</v>
      </c>
      <c r="CS46" s="340">
        <f t="shared" si="16"/>
        <v>0</v>
      </c>
      <c r="CT46" s="90">
        <f t="shared" si="8"/>
        <v>151130.64000000033</v>
      </c>
      <c r="CV46" s="90">
        <f t="shared" si="9"/>
        <v>0</v>
      </c>
    </row>
    <row r="47" spans="1:100">
      <c r="A47" s="325">
        <v>578</v>
      </c>
      <c r="B47" s="325" t="s">
        <v>258</v>
      </c>
      <c r="C47" s="209">
        <v>-19154.580000000002</v>
      </c>
      <c r="D47" s="209">
        <v>-9010.39</v>
      </c>
      <c r="E47" s="209">
        <v>0</v>
      </c>
      <c r="F47" s="209">
        <v>0</v>
      </c>
      <c r="G47" s="209">
        <v>0</v>
      </c>
      <c r="H47" s="209">
        <v>0</v>
      </c>
      <c r="I47" s="223">
        <v>-935651.53</v>
      </c>
      <c r="J47" s="223">
        <v>0</v>
      </c>
      <c r="K47" s="223">
        <v>-32896</v>
      </c>
      <c r="L47" s="223">
        <v>0</v>
      </c>
      <c r="M47" s="223">
        <v>-30840</v>
      </c>
      <c r="N47" s="223">
        <v>-3371.29</v>
      </c>
      <c r="O47" s="223">
        <v>-250</v>
      </c>
      <c r="P47" s="223">
        <v>0</v>
      </c>
      <c r="Q47" s="223">
        <v>-38146.480000000003</v>
      </c>
      <c r="R47" s="223">
        <v>-962.64</v>
      </c>
      <c r="S47" s="223">
        <v>-846.9</v>
      </c>
      <c r="T47" s="223">
        <v>-2917.2000000000003</v>
      </c>
      <c r="U47" s="223">
        <v>-20755.370000000003</v>
      </c>
      <c r="V47" s="223">
        <v>-16099.43</v>
      </c>
      <c r="W47" s="223">
        <v>0</v>
      </c>
      <c r="X47" s="223">
        <v>0</v>
      </c>
      <c r="Y47" s="223">
        <v>0</v>
      </c>
      <c r="Z47" s="223">
        <v>0</v>
      </c>
      <c r="AA47" s="223">
        <v>0</v>
      </c>
      <c r="AB47" s="223">
        <v>92.5</v>
      </c>
      <c r="AC47" s="223">
        <v>-39915</v>
      </c>
      <c r="AD47" s="210">
        <v>578381.01</v>
      </c>
      <c r="AE47" s="210">
        <v>16670.91</v>
      </c>
      <c r="AF47" s="210">
        <v>191855.80999999997</v>
      </c>
      <c r="AG47" s="210">
        <v>20023.159999999996</v>
      </c>
      <c r="AH47" s="210">
        <v>59331.069999999992</v>
      </c>
      <c r="AI47" s="210">
        <v>0</v>
      </c>
      <c r="AJ47" s="210">
        <v>56638.060000000005</v>
      </c>
      <c r="AK47" s="210">
        <v>287.53999999999996</v>
      </c>
      <c r="AL47" s="210">
        <v>2932.16</v>
      </c>
      <c r="AM47" s="210">
        <v>5971.25</v>
      </c>
      <c r="AN47" s="210">
        <v>1496.47</v>
      </c>
      <c r="AO47" s="210">
        <v>10315.890000000001</v>
      </c>
      <c r="AP47" s="210">
        <v>11212.599999999999</v>
      </c>
      <c r="AQ47" s="210">
        <v>3362.9399999999991</v>
      </c>
      <c r="AR47" s="210">
        <v>3333.5800000000008</v>
      </c>
      <c r="AS47" s="210">
        <v>19161.830000000002</v>
      </c>
      <c r="AT47" s="210">
        <v>3856.05</v>
      </c>
      <c r="AU47" s="210">
        <v>4166.7800000000007</v>
      </c>
      <c r="AV47" s="210">
        <v>46125.46</v>
      </c>
      <c r="AW47" s="312">
        <v>0</v>
      </c>
      <c r="AX47" s="210">
        <v>1941.54</v>
      </c>
      <c r="AY47" s="210">
        <v>0</v>
      </c>
      <c r="AZ47" s="210">
        <v>5486.86</v>
      </c>
      <c r="BA47" s="210">
        <v>1708.9</v>
      </c>
      <c r="BB47" s="210">
        <v>0</v>
      </c>
      <c r="BC47" s="210">
        <v>3.05</v>
      </c>
      <c r="BD47" s="210">
        <v>3078.5</v>
      </c>
      <c r="BE47" s="210">
        <v>0</v>
      </c>
      <c r="BF47" s="210">
        <v>3166.61</v>
      </c>
      <c r="BG47" s="210">
        <v>9692.15</v>
      </c>
      <c r="BH47" s="210">
        <v>0</v>
      </c>
      <c r="BI47" s="210">
        <v>27981.31</v>
      </c>
      <c r="BJ47" s="210">
        <v>2293</v>
      </c>
      <c r="BK47" s="210">
        <v>22627.239999999998</v>
      </c>
      <c r="BL47" s="210">
        <v>17748.87</v>
      </c>
      <c r="BM47" s="210">
        <v>0</v>
      </c>
      <c r="BN47" s="210">
        <v>0</v>
      </c>
      <c r="BO47" s="210">
        <v>0</v>
      </c>
      <c r="BP47" s="210">
        <v>0</v>
      </c>
      <c r="BQ47" s="211">
        <v>0</v>
      </c>
      <c r="BR47" s="211">
        <v>0</v>
      </c>
      <c r="BS47" s="211">
        <v>0</v>
      </c>
      <c r="BT47" s="212">
        <v>0</v>
      </c>
      <c r="BU47" s="212">
        <v>0</v>
      </c>
      <c r="BV47" s="212">
        <v>0</v>
      </c>
      <c r="BW47" s="212">
        <v>0</v>
      </c>
      <c r="BX47" s="212">
        <v>0</v>
      </c>
      <c r="BY47" s="212">
        <v>0</v>
      </c>
      <c r="BZ47" s="212">
        <v>0</v>
      </c>
      <c r="CA47" s="212">
        <v>0.51999999999998181</v>
      </c>
      <c r="CB47" s="212">
        <v>0</v>
      </c>
      <c r="CC47" s="224">
        <v>-19873.189999999893</v>
      </c>
      <c r="CD47" s="213"/>
      <c r="CE47" s="211">
        <v>8832.7499999999927</v>
      </c>
      <c r="CF47" s="211">
        <v>11039.96</v>
      </c>
      <c r="CG47" s="211">
        <v>0</v>
      </c>
      <c r="CH47" s="211">
        <v>0.48000000000001819</v>
      </c>
      <c r="CI47" s="211">
        <v>0</v>
      </c>
      <c r="CJ47" s="211">
        <v>0</v>
      </c>
      <c r="CK47" s="211">
        <v>19873.189999999991</v>
      </c>
      <c r="CL47" s="201"/>
      <c r="CM47" s="201">
        <f t="shared" si="10"/>
        <v>9.822542779147625E-11</v>
      </c>
      <c r="CN47" s="340">
        <f t="shared" si="11"/>
        <v>8832.7499999999927</v>
      </c>
      <c r="CO47" s="340">
        <f t="shared" si="12"/>
        <v>11039.96</v>
      </c>
      <c r="CP47" s="340">
        <f t="shared" si="13"/>
        <v>0</v>
      </c>
      <c r="CQ47" s="340">
        <f t="shared" si="14"/>
        <v>0.48000000000001819</v>
      </c>
      <c r="CR47" s="340">
        <f t="shared" si="15"/>
        <v>0</v>
      </c>
      <c r="CS47" s="340">
        <f t="shared" si="16"/>
        <v>0</v>
      </c>
      <c r="CT47" s="90">
        <f t="shared" si="8"/>
        <v>19873.189999999991</v>
      </c>
      <c r="CV47" s="90">
        <f t="shared" si="9"/>
        <v>0</v>
      </c>
    </row>
    <row r="48" spans="1:100">
      <c r="A48" s="325">
        <v>579</v>
      </c>
      <c r="B48" s="325" t="s">
        <v>219</v>
      </c>
      <c r="C48" s="209">
        <v>-192823.26</v>
      </c>
      <c r="D48" s="209">
        <v>-14664.72</v>
      </c>
      <c r="E48" s="209">
        <v>0</v>
      </c>
      <c r="F48" s="209">
        <v>-15156.67</v>
      </c>
      <c r="G48" s="209">
        <v>0</v>
      </c>
      <c r="H48" s="209">
        <v>0</v>
      </c>
      <c r="I48" s="223">
        <v>-1121045.07</v>
      </c>
      <c r="J48" s="223">
        <v>0</v>
      </c>
      <c r="K48" s="223">
        <v>-119212</v>
      </c>
      <c r="L48" s="223">
        <v>0</v>
      </c>
      <c r="M48" s="223">
        <v>-67520</v>
      </c>
      <c r="N48" s="223">
        <v>-485.64</v>
      </c>
      <c r="O48" s="223">
        <v>0</v>
      </c>
      <c r="P48" s="223">
        <v>-11735</v>
      </c>
      <c r="Q48" s="223">
        <v>-27206.089999999997</v>
      </c>
      <c r="R48" s="223">
        <v>-1425.04</v>
      </c>
      <c r="S48" s="223">
        <v>0</v>
      </c>
      <c r="T48" s="223">
        <v>0</v>
      </c>
      <c r="U48" s="223">
        <v>-13790.580000000002</v>
      </c>
      <c r="V48" s="223">
        <v>-11913.409999999998</v>
      </c>
      <c r="W48" s="223">
        <v>0</v>
      </c>
      <c r="X48" s="223">
        <v>0</v>
      </c>
      <c r="Y48" s="223">
        <v>-18</v>
      </c>
      <c r="Z48" s="223">
        <v>0</v>
      </c>
      <c r="AA48" s="223">
        <v>0</v>
      </c>
      <c r="AB48" s="223">
        <v>-1698.13</v>
      </c>
      <c r="AC48" s="223">
        <v>-55516</v>
      </c>
      <c r="AD48" s="210">
        <v>637654.81999999995</v>
      </c>
      <c r="AE48" s="210">
        <v>4324.87</v>
      </c>
      <c r="AF48" s="210">
        <v>271764.46999999997</v>
      </c>
      <c r="AG48" s="210">
        <v>43772.1</v>
      </c>
      <c r="AH48" s="210">
        <v>81016.540000000008</v>
      </c>
      <c r="AI48" s="210">
        <v>0</v>
      </c>
      <c r="AJ48" s="210">
        <v>31789.149999999998</v>
      </c>
      <c r="AK48" s="210">
        <v>4270.63</v>
      </c>
      <c r="AL48" s="210">
        <v>5595.83</v>
      </c>
      <c r="AM48" s="210">
        <v>3060.21</v>
      </c>
      <c r="AN48" s="210">
        <v>71.64</v>
      </c>
      <c r="AO48" s="210">
        <v>10332.669999999998</v>
      </c>
      <c r="AP48" s="210">
        <v>4459.3599999999997</v>
      </c>
      <c r="AQ48" s="210">
        <v>2982.5199999999995</v>
      </c>
      <c r="AR48" s="210">
        <v>3501.31</v>
      </c>
      <c r="AS48" s="210">
        <v>17844.190000000002</v>
      </c>
      <c r="AT48" s="210">
        <v>19819.5</v>
      </c>
      <c r="AU48" s="210">
        <v>5838.5199999999995</v>
      </c>
      <c r="AV48" s="210">
        <v>58332.909999999989</v>
      </c>
      <c r="AW48" s="312">
        <v>0</v>
      </c>
      <c r="AX48" s="210">
        <v>7040.1</v>
      </c>
      <c r="AY48" s="210">
        <v>0</v>
      </c>
      <c r="AZ48" s="210">
        <v>2867.38</v>
      </c>
      <c r="BA48" s="210">
        <v>6136.2</v>
      </c>
      <c r="BB48" s="210">
        <v>3001.21</v>
      </c>
      <c r="BC48" s="210">
        <v>53.75</v>
      </c>
      <c r="BD48" s="210">
        <v>6575.6</v>
      </c>
      <c r="BE48" s="210">
        <v>0</v>
      </c>
      <c r="BF48" s="210">
        <v>2832.64</v>
      </c>
      <c r="BG48" s="210">
        <v>11106.68</v>
      </c>
      <c r="BH48" s="210">
        <v>0</v>
      </c>
      <c r="BI48" s="210">
        <v>53513.7</v>
      </c>
      <c r="BJ48" s="210">
        <v>0</v>
      </c>
      <c r="BK48" s="210">
        <v>37639.729999999996</v>
      </c>
      <c r="BL48" s="210">
        <v>15532.130000000003</v>
      </c>
      <c r="BM48" s="210">
        <v>0</v>
      </c>
      <c r="BN48" s="210">
        <v>0</v>
      </c>
      <c r="BO48" s="210">
        <v>0</v>
      </c>
      <c r="BP48" s="210">
        <v>0</v>
      </c>
      <c r="BQ48" s="211">
        <v>-6351.25</v>
      </c>
      <c r="BR48" s="211">
        <v>0</v>
      </c>
      <c r="BS48" s="211">
        <v>0</v>
      </c>
      <c r="BT48" s="212">
        <v>0</v>
      </c>
      <c r="BU48" s="212">
        <v>27537.35</v>
      </c>
      <c r="BV48" s="212">
        <v>0</v>
      </c>
      <c r="BW48" s="212">
        <v>0</v>
      </c>
      <c r="BX48" s="212">
        <v>0</v>
      </c>
      <c r="BY48" s="212">
        <v>0</v>
      </c>
      <c r="BZ48" s="212">
        <v>0</v>
      </c>
      <c r="CA48" s="212">
        <v>0</v>
      </c>
      <c r="CB48" s="212">
        <v>0</v>
      </c>
      <c r="CC48" s="224">
        <f>SUM(C48:CB48)</f>
        <v>-280293.15000000008</v>
      </c>
      <c r="CD48" s="213"/>
      <c r="CE48" s="211">
        <v>259131.99999999991</v>
      </c>
      <c r="CF48" s="211">
        <v>21125.170000000002</v>
      </c>
      <c r="CG48" s="211">
        <v>0</v>
      </c>
      <c r="CH48" s="211">
        <v>1.8189894035458565E-12</v>
      </c>
      <c r="CI48" s="211">
        <v>0</v>
      </c>
      <c r="CJ48" s="211">
        <v>0</v>
      </c>
      <c r="CK48" s="211">
        <v>280257.16999999993</v>
      </c>
      <c r="CL48" s="201"/>
      <c r="CM48" s="201">
        <f t="shared" si="10"/>
        <v>-35.980000000155997</v>
      </c>
      <c r="CN48" s="340">
        <f t="shared" si="11"/>
        <v>259131.99999999991</v>
      </c>
      <c r="CO48" s="340">
        <f t="shared" si="12"/>
        <v>21125.170000000002</v>
      </c>
      <c r="CP48" s="340">
        <f t="shared" si="13"/>
        <v>0</v>
      </c>
      <c r="CQ48" s="340">
        <f t="shared" si="14"/>
        <v>1.8189894035458565E-12</v>
      </c>
      <c r="CR48" s="340">
        <f t="shared" si="15"/>
        <v>0</v>
      </c>
      <c r="CS48" s="340">
        <f t="shared" si="16"/>
        <v>0</v>
      </c>
      <c r="CT48" s="90">
        <f>SUM(CN48:CS48)</f>
        <v>280257.16999999993</v>
      </c>
      <c r="CV48" s="90">
        <f t="shared" si="9"/>
        <v>0</v>
      </c>
    </row>
    <row r="49" spans="1:100">
      <c r="A49" s="325">
        <v>580</v>
      </c>
      <c r="B49" s="325" t="s">
        <v>245</v>
      </c>
      <c r="C49" s="209">
        <v>-170914.98</v>
      </c>
      <c r="D49" s="209">
        <v>-46936.17</v>
      </c>
      <c r="E49" s="209">
        <v>0</v>
      </c>
      <c r="F49" s="209">
        <v>-28532.34</v>
      </c>
      <c r="G49" s="209">
        <v>0</v>
      </c>
      <c r="H49" s="209">
        <v>0</v>
      </c>
      <c r="I49" s="223">
        <v>-1120567.55</v>
      </c>
      <c r="J49" s="223">
        <v>0</v>
      </c>
      <c r="K49" s="223">
        <v>-142543</v>
      </c>
      <c r="L49" s="223">
        <v>0</v>
      </c>
      <c r="M49" s="223">
        <v>-93140</v>
      </c>
      <c r="N49" s="223">
        <v>-400</v>
      </c>
      <c r="O49" s="223">
        <v>-396.5</v>
      </c>
      <c r="P49" s="223">
        <v>-4587</v>
      </c>
      <c r="Q49" s="223">
        <v>-49693.520000000011</v>
      </c>
      <c r="R49" s="223">
        <v>0</v>
      </c>
      <c r="S49" s="223">
        <v>0</v>
      </c>
      <c r="T49" s="223">
        <v>-5771.53</v>
      </c>
      <c r="U49" s="223">
        <v>-10057.049999999999</v>
      </c>
      <c r="V49" s="223">
        <v>-1553.49</v>
      </c>
      <c r="W49" s="223">
        <v>0</v>
      </c>
      <c r="X49" s="223">
        <v>0</v>
      </c>
      <c r="Y49" s="223">
        <v>0</v>
      </c>
      <c r="Z49" s="223">
        <v>0</v>
      </c>
      <c r="AA49" s="223">
        <v>0</v>
      </c>
      <c r="AB49" s="223">
        <v>-3842.5</v>
      </c>
      <c r="AC49" s="223">
        <v>-43052</v>
      </c>
      <c r="AD49" s="210">
        <v>641460.69999999995</v>
      </c>
      <c r="AE49" s="210">
        <v>34657.050000000003</v>
      </c>
      <c r="AF49" s="210">
        <v>358373.4</v>
      </c>
      <c r="AG49" s="210">
        <v>27383.659999999996</v>
      </c>
      <c r="AH49" s="210">
        <v>60103.579999999987</v>
      </c>
      <c r="AI49" s="210">
        <v>0</v>
      </c>
      <c r="AJ49" s="210">
        <v>84974.280000000013</v>
      </c>
      <c r="AK49" s="210">
        <v>4413.26</v>
      </c>
      <c r="AL49" s="210">
        <v>12723.349999999999</v>
      </c>
      <c r="AM49" s="210">
        <v>16579.559999999998</v>
      </c>
      <c r="AN49" s="210">
        <v>0</v>
      </c>
      <c r="AO49" s="210">
        <v>16714.850000000002</v>
      </c>
      <c r="AP49" s="210">
        <v>5219.42</v>
      </c>
      <c r="AQ49" s="210">
        <v>2292.9499999999998</v>
      </c>
      <c r="AR49" s="210">
        <v>551.53</v>
      </c>
      <c r="AS49" s="210">
        <v>18396.48</v>
      </c>
      <c r="AT49" s="210">
        <v>14865.5</v>
      </c>
      <c r="AU49" s="210">
        <v>5052.6500000000005</v>
      </c>
      <c r="AV49" s="210">
        <v>95602.050000000032</v>
      </c>
      <c r="AW49" s="312">
        <v>0</v>
      </c>
      <c r="AX49" s="210">
        <v>15154.27</v>
      </c>
      <c r="AY49" s="210">
        <v>0</v>
      </c>
      <c r="AZ49" s="210">
        <v>4480.0599999999995</v>
      </c>
      <c r="BA49" s="210">
        <v>4634.88</v>
      </c>
      <c r="BB49" s="210">
        <v>1620</v>
      </c>
      <c r="BC49" s="210">
        <v>0</v>
      </c>
      <c r="BD49" s="210">
        <v>6994</v>
      </c>
      <c r="BE49" s="210">
        <v>0</v>
      </c>
      <c r="BF49" s="210">
        <v>7896.53</v>
      </c>
      <c r="BG49" s="210">
        <v>10949.509999999998</v>
      </c>
      <c r="BH49" s="210">
        <v>0</v>
      </c>
      <c r="BI49" s="210">
        <v>54250.35</v>
      </c>
      <c r="BJ49" s="210">
        <v>8633.24</v>
      </c>
      <c r="BK49" s="210">
        <v>35848.460000000006</v>
      </c>
      <c r="BL49" s="210">
        <v>19473.05</v>
      </c>
      <c r="BM49" s="210">
        <v>0</v>
      </c>
      <c r="BN49" s="210">
        <v>0</v>
      </c>
      <c r="BO49" s="210">
        <v>0</v>
      </c>
      <c r="BP49" s="210">
        <v>0</v>
      </c>
      <c r="BQ49" s="211">
        <v>-6373.75</v>
      </c>
      <c r="BR49" s="211">
        <v>0</v>
      </c>
      <c r="BS49" s="211">
        <v>0</v>
      </c>
      <c r="BT49" s="212">
        <v>0</v>
      </c>
      <c r="BU49" s="212">
        <v>42545.159999999996</v>
      </c>
      <c r="BV49" s="212">
        <v>0</v>
      </c>
      <c r="BW49" s="212">
        <v>0</v>
      </c>
      <c r="BX49" s="212">
        <v>0</v>
      </c>
      <c r="BY49" s="212">
        <v>0</v>
      </c>
      <c r="BZ49" s="212">
        <v>0</v>
      </c>
      <c r="CA49" s="212">
        <v>0</v>
      </c>
      <c r="CB49" s="212">
        <v>0</v>
      </c>
      <c r="CC49" s="224">
        <v>-116517.6</v>
      </c>
      <c r="CD49" s="213"/>
      <c r="CE49" s="211">
        <v>103870.88000000021</v>
      </c>
      <c r="CF49" s="211">
        <v>18646.72</v>
      </c>
      <c r="CG49" s="211">
        <v>0</v>
      </c>
      <c r="CH49" s="211">
        <v>-5999.9999999999964</v>
      </c>
      <c r="CI49" s="211">
        <v>0</v>
      </c>
      <c r="CJ49" s="211">
        <v>0</v>
      </c>
      <c r="CK49" s="211">
        <v>116517.60000000021</v>
      </c>
      <c r="CL49" s="201"/>
      <c r="CM49" s="201">
        <f t="shared" si="10"/>
        <v>2.0372681319713593E-10</v>
      </c>
      <c r="CN49" s="340">
        <f t="shared" si="11"/>
        <v>103870.88000000021</v>
      </c>
      <c r="CO49" s="340">
        <f t="shared" si="12"/>
        <v>18646.72</v>
      </c>
      <c r="CP49" s="340">
        <f t="shared" si="13"/>
        <v>0</v>
      </c>
      <c r="CQ49" s="340">
        <f t="shared" si="14"/>
        <v>-5999.9999999999964</v>
      </c>
      <c r="CR49" s="340">
        <f t="shared" si="15"/>
        <v>0</v>
      </c>
      <c r="CS49" s="340">
        <f t="shared" si="16"/>
        <v>0</v>
      </c>
      <c r="CT49" s="90">
        <f t="shared" ref="CT49:CT112" si="17">SUM(CN49:CS49)</f>
        <v>116517.60000000021</v>
      </c>
      <c r="CV49" s="90">
        <f t="shared" si="9"/>
        <v>0</v>
      </c>
    </row>
    <row r="50" spans="1:100">
      <c r="A50" s="325">
        <v>582</v>
      </c>
      <c r="B50" s="325" t="s">
        <v>234</v>
      </c>
      <c r="C50" s="209">
        <v>-26370.65</v>
      </c>
      <c r="D50" s="209">
        <v>-25552.82</v>
      </c>
      <c r="E50" s="209">
        <v>0</v>
      </c>
      <c r="F50" s="209">
        <v>0</v>
      </c>
      <c r="G50" s="209">
        <v>0</v>
      </c>
      <c r="H50" s="209">
        <v>0</v>
      </c>
      <c r="I50" s="223">
        <v>-1052438.17</v>
      </c>
      <c r="J50" s="223">
        <v>0</v>
      </c>
      <c r="K50" s="223">
        <v>-45095</v>
      </c>
      <c r="L50" s="223">
        <v>0</v>
      </c>
      <c r="M50" s="223">
        <v>-39130</v>
      </c>
      <c r="N50" s="223">
        <v>-1600</v>
      </c>
      <c r="O50" s="223">
        <v>-1600</v>
      </c>
      <c r="P50" s="223">
        <v>0</v>
      </c>
      <c r="Q50" s="223">
        <v>-4017.0599999999981</v>
      </c>
      <c r="R50" s="223">
        <v>0</v>
      </c>
      <c r="S50" s="223">
        <v>0</v>
      </c>
      <c r="T50" s="223">
        <v>0</v>
      </c>
      <c r="U50" s="223">
        <v>-17262.979999999996</v>
      </c>
      <c r="V50" s="223">
        <v>-19688.57</v>
      </c>
      <c r="W50" s="223">
        <v>0</v>
      </c>
      <c r="X50" s="223">
        <v>0</v>
      </c>
      <c r="Y50" s="223">
        <v>0</v>
      </c>
      <c r="Z50" s="223">
        <v>0</v>
      </c>
      <c r="AA50" s="223">
        <v>0</v>
      </c>
      <c r="AB50" s="223">
        <v>-1432.5</v>
      </c>
      <c r="AC50" s="223">
        <v>-49112</v>
      </c>
      <c r="AD50" s="210">
        <v>578219.07000000007</v>
      </c>
      <c r="AE50" s="210">
        <v>7773.4699999999993</v>
      </c>
      <c r="AF50" s="210">
        <v>235798.32000000004</v>
      </c>
      <c r="AG50" s="210">
        <v>40280.660000000003</v>
      </c>
      <c r="AH50" s="210">
        <v>52695.099999999991</v>
      </c>
      <c r="AI50" s="210">
        <v>0</v>
      </c>
      <c r="AJ50" s="210">
        <v>38972.61</v>
      </c>
      <c r="AK50" s="210">
        <v>252.26999999999998</v>
      </c>
      <c r="AL50" s="210">
        <v>3995.5</v>
      </c>
      <c r="AM50" s="210">
        <v>2781.87</v>
      </c>
      <c r="AN50" s="210">
        <v>0</v>
      </c>
      <c r="AO50" s="210">
        <v>40964.55000000001</v>
      </c>
      <c r="AP50" s="210">
        <v>3881.6400000000012</v>
      </c>
      <c r="AQ50" s="210">
        <v>5145.09</v>
      </c>
      <c r="AR50" s="210">
        <v>3402.5499999999997</v>
      </c>
      <c r="AS50" s="210">
        <v>13099.07</v>
      </c>
      <c r="AT50" s="210">
        <v>2366.5500000000002</v>
      </c>
      <c r="AU50" s="210">
        <v>3779.6800000000003</v>
      </c>
      <c r="AV50" s="210">
        <v>62227.990000000005</v>
      </c>
      <c r="AW50" s="312">
        <v>0</v>
      </c>
      <c r="AX50" s="210">
        <v>6499.16</v>
      </c>
      <c r="AY50" s="210">
        <v>6370</v>
      </c>
      <c r="AZ50" s="210">
        <v>15079.19</v>
      </c>
      <c r="BA50" s="210">
        <v>2474.9</v>
      </c>
      <c r="BB50" s="210">
        <v>1802.78</v>
      </c>
      <c r="BC50" s="210">
        <v>434.28000000000003</v>
      </c>
      <c r="BD50" s="210">
        <v>6570</v>
      </c>
      <c r="BE50" s="210">
        <v>0</v>
      </c>
      <c r="BF50" s="210">
        <v>2656.7400000000007</v>
      </c>
      <c r="BG50" s="210">
        <v>10844.73</v>
      </c>
      <c r="BH50" s="210">
        <v>0</v>
      </c>
      <c r="BI50" s="210">
        <v>42251.59</v>
      </c>
      <c r="BJ50" s="210">
        <v>9941</v>
      </c>
      <c r="BK50" s="210">
        <v>2387</v>
      </c>
      <c r="BL50" s="210">
        <v>30769.23</v>
      </c>
      <c r="BM50" s="210">
        <v>0</v>
      </c>
      <c r="BN50" s="210">
        <v>0</v>
      </c>
      <c r="BO50" s="210">
        <v>0</v>
      </c>
      <c r="BP50" s="210">
        <v>0</v>
      </c>
      <c r="BQ50" s="211">
        <v>0</v>
      </c>
      <c r="BR50" s="211">
        <v>0</v>
      </c>
      <c r="BS50" s="211">
        <v>0</v>
      </c>
      <c r="BT50" s="212">
        <v>0</v>
      </c>
      <c r="BU50" s="212">
        <v>0</v>
      </c>
      <c r="BV50" s="212">
        <v>0</v>
      </c>
      <c r="BW50" s="212">
        <v>0</v>
      </c>
      <c r="BX50" s="212">
        <v>0</v>
      </c>
      <c r="BY50" s="212">
        <v>0</v>
      </c>
      <c r="BZ50" s="212">
        <v>0</v>
      </c>
      <c r="CA50" s="212">
        <v>0</v>
      </c>
      <c r="CB50" s="212">
        <v>0</v>
      </c>
      <c r="CC50" s="224">
        <v>-49583.159999999902</v>
      </c>
      <c r="CD50" s="213"/>
      <c r="CE50" s="211">
        <v>29682.689999999711</v>
      </c>
      <c r="CF50" s="211">
        <v>19900.47</v>
      </c>
      <c r="CG50" s="211">
        <v>0</v>
      </c>
      <c r="CH50" s="211">
        <v>0</v>
      </c>
      <c r="CI50" s="211">
        <v>0</v>
      </c>
      <c r="CJ50" s="211">
        <v>0</v>
      </c>
      <c r="CK50" s="211">
        <v>49583.159999999712</v>
      </c>
      <c r="CL50" s="201"/>
      <c r="CM50" s="201">
        <f t="shared" si="10"/>
        <v>-1.8917489796876907E-10</v>
      </c>
      <c r="CN50" s="340">
        <f t="shared" si="11"/>
        <v>29682.689999999711</v>
      </c>
      <c r="CO50" s="340">
        <f t="shared" si="12"/>
        <v>19900.47</v>
      </c>
      <c r="CP50" s="340">
        <f t="shared" si="13"/>
        <v>0</v>
      </c>
      <c r="CQ50" s="340">
        <f t="shared" si="14"/>
        <v>0</v>
      </c>
      <c r="CR50" s="340">
        <f t="shared" si="15"/>
        <v>0</v>
      </c>
      <c r="CS50" s="340">
        <f t="shared" si="16"/>
        <v>0</v>
      </c>
      <c r="CT50" s="90">
        <f t="shared" si="17"/>
        <v>49583.159999999712</v>
      </c>
      <c r="CV50" s="90">
        <f t="shared" si="9"/>
        <v>0</v>
      </c>
    </row>
    <row r="51" spans="1:100">
      <c r="A51" s="325">
        <v>583</v>
      </c>
      <c r="B51" s="325" t="s">
        <v>215</v>
      </c>
      <c r="C51" s="209">
        <v>-32644.080000000002</v>
      </c>
      <c r="D51" s="209">
        <v>-10272.93</v>
      </c>
      <c r="E51" s="209">
        <v>0</v>
      </c>
      <c r="F51" s="209">
        <v>-12128.17</v>
      </c>
      <c r="G51" s="209">
        <v>0</v>
      </c>
      <c r="H51" s="209">
        <v>0</v>
      </c>
      <c r="I51" s="223">
        <v>-823857.18</v>
      </c>
      <c r="J51" s="223">
        <v>0</v>
      </c>
      <c r="K51" s="223">
        <v>-58760</v>
      </c>
      <c r="L51" s="223">
        <v>0</v>
      </c>
      <c r="M51" s="223">
        <v>-41050</v>
      </c>
      <c r="N51" s="223">
        <v>-7828.22</v>
      </c>
      <c r="O51" s="223">
        <v>0</v>
      </c>
      <c r="P51" s="223">
        <v>0</v>
      </c>
      <c r="Q51" s="223">
        <v>-2834.95</v>
      </c>
      <c r="R51" s="223">
        <v>-4445.82</v>
      </c>
      <c r="S51" s="223">
        <v>0</v>
      </c>
      <c r="T51" s="223">
        <v>0</v>
      </c>
      <c r="U51" s="223">
        <v>0</v>
      </c>
      <c r="V51" s="223">
        <v>-23590.48</v>
      </c>
      <c r="W51" s="223">
        <v>0</v>
      </c>
      <c r="X51" s="223">
        <v>0</v>
      </c>
      <c r="Y51" s="223">
        <v>0</v>
      </c>
      <c r="Z51" s="223">
        <v>0</v>
      </c>
      <c r="AA51" s="223">
        <v>0</v>
      </c>
      <c r="AB51" s="223">
        <v>-1710</v>
      </c>
      <c r="AC51" s="223">
        <v>-59732</v>
      </c>
      <c r="AD51" s="210">
        <v>471633.76</v>
      </c>
      <c r="AE51" s="210">
        <v>1195.2199999999998</v>
      </c>
      <c r="AF51" s="210">
        <v>187090.29999999996</v>
      </c>
      <c r="AG51" s="210">
        <v>7853.6899999999987</v>
      </c>
      <c r="AH51" s="210">
        <v>35113.390000000007</v>
      </c>
      <c r="AI51" s="210">
        <v>0</v>
      </c>
      <c r="AJ51" s="210">
        <v>11811.86</v>
      </c>
      <c r="AK51" s="210">
        <v>2650.92</v>
      </c>
      <c r="AL51" s="210">
        <v>3747.5099999999998</v>
      </c>
      <c r="AM51" s="210">
        <v>7140.56</v>
      </c>
      <c r="AN51" s="210">
        <v>0</v>
      </c>
      <c r="AO51" s="210">
        <v>12349.19</v>
      </c>
      <c r="AP51" s="210">
        <v>1807.79</v>
      </c>
      <c r="AQ51" s="210">
        <v>16840.370000000003</v>
      </c>
      <c r="AR51" s="210">
        <v>1814.27</v>
      </c>
      <c r="AS51" s="210">
        <v>9403.6</v>
      </c>
      <c r="AT51" s="210">
        <v>13498.21</v>
      </c>
      <c r="AU51" s="210">
        <v>4064.4300000000003</v>
      </c>
      <c r="AV51" s="210">
        <v>30834.450000000023</v>
      </c>
      <c r="AW51" s="312">
        <v>9.0949470177292824E-13</v>
      </c>
      <c r="AX51" s="210">
        <v>2330.59</v>
      </c>
      <c r="AY51" s="210">
        <v>0</v>
      </c>
      <c r="AZ51" s="210">
        <v>3577.6400000000003</v>
      </c>
      <c r="BA51" s="210">
        <v>7445.91</v>
      </c>
      <c r="BB51" s="210">
        <v>7487.56</v>
      </c>
      <c r="BC51" s="210">
        <v>0</v>
      </c>
      <c r="BD51" s="210">
        <v>3234</v>
      </c>
      <c r="BE51" s="210">
        <v>0</v>
      </c>
      <c r="BF51" s="210">
        <v>2639.3099999999995</v>
      </c>
      <c r="BG51" s="210">
        <v>7701.33</v>
      </c>
      <c r="BH51" s="210">
        <v>0</v>
      </c>
      <c r="BI51" s="210">
        <v>57103.95</v>
      </c>
      <c r="BJ51" s="210">
        <v>33931</v>
      </c>
      <c r="BK51" s="210">
        <v>83134.929999999993</v>
      </c>
      <c r="BL51" s="210">
        <v>15645</v>
      </c>
      <c r="BM51" s="210">
        <v>0</v>
      </c>
      <c r="BN51" s="210">
        <v>0</v>
      </c>
      <c r="BO51" s="210">
        <v>0</v>
      </c>
      <c r="BP51" s="210">
        <v>0</v>
      </c>
      <c r="BQ51" s="211">
        <v>-5597.5</v>
      </c>
      <c r="BR51" s="211">
        <v>0</v>
      </c>
      <c r="BS51" s="211">
        <v>0</v>
      </c>
      <c r="BT51" s="212">
        <v>0</v>
      </c>
      <c r="BU51" s="212">
        <v>5467.11</v>
      </c>
      <c r="BV51" s="212">
        <v>0</v>
      </c>
      <c r="BW51" s="212">
        <v>0</v>
      </c>
      <c r="BX51" s="212">
        <v>820</v>
      </c>
      <c r="BY51" s="212">
        <v>0</v>
      </c>
      <c r="BZ51" s="212">
        <v>0</v>
      </c>
      <c r="CA51" s="212">
        <v>0</v>
      </c>
      <c r="CB51" s="212">
        <v>0</v>
      </c>
      <c r="CC51" s="224">
        <v>-35083.4800000002</v>
      </c>
      <c r="CD51" s="213"/>
      <c r="CE51" s="211">
        <v>14193.050000000034</v>
      </c>
      <c r="CF51" s="211">
        <v>9451.8700000000008</v>
      </c>
      <c r="CG51" s="211">
        <v>0</v>
      </c>
      <c r="CH51" s="211">
        <v>11438.560000000001</v>
      </c>
      <c r="CI51" s="211">
        <v>0</v>
      </c>
      <c r="CJ51" s="211">
        <v>0</v>
      </c>
      <c r="CK51" s="211">
        <v>35083.48000000004</v>
      </c>
      <c r="CL51" s="201"/>
      <c r="CM51" s="201">
        <f t="shared" si="10"/>
        <v>-1.6007106751203537E-10</v>
      </c>
      <c r="CN51" s="340">
        <f t="shared" si="11"/>
        <v>14193.050000000034</v>
      </c>
      <c r="CO51" s="340">
        <f t="shared" si="12"/>
        <v>9451.8700000000008</v>
      </c>
      <c r="CP51" s="340">
        <f t="shared" si="13"/>
        <v>0</v>
      </c>
      <c r="CQ51" s="340">
        <f t="shared" si="14"/>
        <v>11438.560000000001</v>
      </c>
      <c r="CR51" s="340">
        <f t="shared" si="15"/>
        <v>0</v>
      </c>
      <c r="CS51" s="340">
        <f t="shared" si="16"/>
        <v>0</v>
      </c>
      <c r="CT51" s="90">
        <f t="shared" si="17"/>
        <v>35083.48000000004</v>
      </c>
      <c r="CV51" s="90">
        <f t="shared" si="9"/>
        <v>0</v>
      </c>
    </row>
    <row r="52" spans="1:100">
      <c r="A52" s="325">
        <v>585</v>
      </c>
      <c r="B52" s="325" t="s">
        <v>263</v>
      </c>
      <c r="C52" s="209">
        <v>-234884.01</v>
      </c>
      <c r="D52" s="209">
        <v>-16733.48</v>
      </c>
      <c r="E52" s="209">
        <v>0</v>
      </c>
      <c r="F52" s="209">
        <v>-20263.64</v>
      </c>
      <c r="G52" s="209">
        <v>0</v>
      </c>
      <c r="H52" s="209">
        <v>0</v>
      </c>
      <c r="I52" s="223">
        <v>-1130661.22</v>
      </c>
      <c r="J52" s="223">
        <v>0</v>
      </c>
      <c r="K52" s="223">
        <v>-175317</v>
      </c>
      <c r="L52" s="223">
        <v>0</v>
      </c>
      <c r="M52" s="223">
        <v>-94280</v>
      </c>
      <c r="N52" s="223">
        <v>-200</v>
      </c>
      <c r="O52" s="223">
        <v>-2200</v>
      </c>
      <c r="P52" s="223">
        <v>-12828</v>
      </c>
      <c r="Q52" s="223">
        <v>-58000.69</v>
      </c>
      <c r="R52" s="223">
        <v>-2867.4</v>
      </c>
      <c r="S52" s="223">
        <v>-4106.8999999999996</v>
      </c>
      <c r="T52" s="223">
        <v>0</v>
      </c>
      <c r="U52" s="223">
        <v>-16988.630000000008</v>
      </c>
      <c r="V52" s="223">
        <v>-1185</v>
      </c>
      <c r="W52" s="223">
        <v>0</v>
      </c>
      <c r="X52" s="223">
        <v>0</v>
      </c>
      <c r="Y52" s="223">
        <v>0</v>
      </c>
      <c r="Z52" s="223">
        <v>0</v>
      </c>
      <c r="AA52" s="223">
        <v>0</v>
      </c>
      <c r="AB52" s="223">
        <v>75.619999999999891</v>
      </c>
      <c r="AC52" s="223">
        <v>-31471</v>
      </c>
      <c r="AD52" s="210">
        <v>686380.51</v>
      </c>
      <c r="AE52" s="210">
        <v>31798.089999999997</v>
      </c>
      <c r="AF52" s="210">
        <v>270287.64</v>
      </c>
      <c r="AG52" s="210">
        <v>39495.040000000001</v>
      </c>
      <c r="AH52" s="210">
        <v>74730.26999999999</v>
      </c>
      <c r="AI52" s="210">
        <v>0</v>
      </c>
      <c r="AJ52" s="210">
        <v>34126.32</v>
      </c>
      <c r="AK52" s="210">
        <v>4387.83</v>
      </c>
      <c r="AL52" s="210">
        <v>6176.65</v>
      </c>
      <c r="AM52" s="210">
        <v>5984.98</v>
      </c>
      <c r="AN52" s="210">
        <v>0</v>
      </c>
      <c r="AO52" s="210">
        <v>12351.569999999998</v>
      </c>
      <c r="AP52" s="210">
        <v>4867.22</v>
      </c>
      <c r="AQ52" s="210">
        <v>4130.5200000000004</v>
      </c>
      <c r="AR52" s="210">
        <v>6099.1199999999981</v>
      </c>
      <c r="AS52" s="210">
        <v>24931.739999999998</v>
      </c>
      <c r="AT52" s="210">
        <v>21157.84</v>
      </c>
      <c r="AU52" s="210">
        <v>6171.27</v>
      </c>
      <c r="AV52" s="210">
        <v>95278.25</v>
      </c>
      <c r="AW52" s="312">
        <v>11364</v>
      </c>
      <c r="AX52" s="210">
        <v>2895</v>
      </c>
      <c r="AY52" s="210">
        <v>0</v>
      </c>
      <c r="AZ52" s="210">
        <v>7576.97</v>
      </c>
      <c r="BA52" s="210">
        <v>77</v>
      </c>
      <c r="BB52" s="210">
        <v>0</v>
      </c>
      <c r="BC52" s="210">
        <v>0</v>
      </c>
      <c r="BD52" s="210">
        <v>2040</v>
      </c>
      <c r="BE52" s="210">
        <v>0</v>
      </c>
      <c r="BF52" s="210">
        <v>3486.1500000000005</v>
      </c>
      <c r="BG52" s="210">
        <v>9655.9599999999991</v>
      </c>
      <c r="BH52" s="210">
        <v>24704.079999999998</v>
      </c>
      <c r="BI52" s="210">
        <v>37151.07</v>
      </c>
      <c r="BJ52" s="210">
        <v>0</v>
      </c>
      <c r="BK52" s="210">
        <v>24186.600000000002</v>
      </c>
      <c r="BL52" s="210">
        <v>14714.44</v>
      </c>
      <c r="BM52" s="210">
        <v>0</v>
      </c>
      <c r="BN52" s="210">
        <v>0</v>
      </c>
      <c r="BO52" s="210">
        <v>0</v>
      </c>
      <c r="BP52" s="210">
        <v>3250.2</v>
      </c>
      <c r="BQ52" s="211">
        <v>-6193.75</v>
      </c>
      <c r="BR52" s="211">
        <v>0</v>
      </c>
      <c r="BS52" s="211">
        <v>0</v>
      </c>
      <c r="BT52" s="212">
        <v>0</v>
      </c>
      <c r="BU52" s="212">
        <v>54137.34</v>
      </c>
      <c r="BV52" s="212">
        <v>0</v>
      </c>
      <c r="BW52" s="212">
        <v>0</v>
      </c>
      <c r="BX52" s="212">
        <v>0</v>
      </c>
      <c r="BY52" s="212">
        <v>0</v>
      </c>
      <c r="BZ52" s="212">
        <v>0</v>
      </c>
      <c r="CA52" s="212">
        <v>0</v>
      </c>
      <c r="CB52" s="212">
        <v>7662</v>
      </c>
      <c r="CC52" s="224">
        <v>-276849.42999999982</v>
      </c>
      <c r="CD52" s="213"/>
      <c r="CE52" s="211">
        <v>259195.72000000003</v>
      </c>
      <c r="CF52" s="211">
        <v>17653</v>
      </c>
      <c r="CG52" s="211">
        <v>0</v>
      </c>
      <c r="CH52" s="211">
        <v>0</v>
      </c>
      <c r="CI52" s="211">
        <v>0</v>
      </c>
      <c r="CJ52" s="211">
        <v>8.0000000000183036E-2</v>
      </c>
      <c r="CK52" s="211">
        <v>276848.80000000005</v>
      </c>
      <c r="CL52" s="201"/>
      <c r="CM52" s="201">
        <f t="shared" si="10"/>
        <v>-0.62999999977182597</v>
      </c>
      <c r="CN52" s="340">
        <f t="shared" si="11"/>
        <v>259195.72000000003</v>
      </c>
      <c r="CO52" s="340">
        <f t="shared" si="12"/>
        <v>17653</v>
      </c>
      <c r="CP52" s="340">
        <f t="shared" si="13"/>
        <v>0</v>
      </c>
      <c r="CQ52" s="340">
        <f t="shared" si="14"/>
        <v>0</v>
      </c>
      <c r="CR52" s="340">
        <f t="shared" si="15"/>
        <v>0</v>
      </c>
      <c r="CS52" s="340">
        <f t="shared" si="16"/>
        <v>8.0000000000183036E-2</v>
      </c>
      <c r="CT52" s="90">
        <f t="shared" si="17"/>
        <v>276848.80000000005</v>
      </c>
      <c r="CV52" s="90">
        <f t="shared" si="9"/>
        <v>0</v>
      </c>
    </row>
    <row r="53" spans="1:100">
      <c r="A53" s="325">
        <v>586</v>
      </c>
      <c r="B53" s="325" t="s">
        <v>226</v>
      </c>
      <c r="C53" s="209">
        <v>24766.82</v>
      </c>
      <c r="D53" s="209">
        <v>-10233.42</v>
      </c>
      <c r="E53" s="209">
        <v>0</v>
      </c>
      <c r="F53" s="209">
        <v>0.47</v>
      </c>
      <c r="G53" s="209">
        <v>0</v>
      </c>
      <c r="H53" s="209">
        <v>0</v>
      </c>
      <c r="I53" s="223">
        <v>-986054.68</v>
      </c>
      <c r="J53" s="223">
        <v>0</v>
      </c>
      <c r="K53" s="223">
        <v>-33241</v>
      </c>
      <c r="L53" s="223">
        <v>0</v>
      </c>
      <c r="M53" s="223">
        <v>-34300</v>
      </c>
      <c r="N53" s="223">
        <v>-400</v>
      </c>
      <c r="O53" s="223">
        <v>-2700</v>
      </c>
      <c r="P53" s="223">
        <v>0</v>
      </c>
      <c r="Q53" s="223">
        <v>-14881.630000000001</v>
      </c>
      <c r="R53" s="223">
        <v>-4293.54</v>
      </c>
      <c r="S53" s="223">
        <v>-875</v>
      </c>
      <c r="T53" s="223">
        <v>0</v>
      </c>
      <c r="U53" s="223">
        <v>-1064.1099999999999</v>
      </c>
      <c r="V53" s="223">
        <v>-4735.8099999999995</v>
      </c>
      <c r="W53" s="223">
        <v>0</v>
      </c>
      <c r="X53" s="223">
        <v>0</v>
      </c>
      <c r="Y53" s="223">
        <v>0</v>
      </c>
      <c r="Z53" s="223">
        <v>0</v>
      </c>
      <c r="AA53" s="223">
        <v>0</v>
      </c>
      <c r="AB53" s="223">
        <v>-1202.6300000000001</v>
      </c>
      <c r="AC53" s="223">
        <v>-54165</v>
      </c>
      <c r="AD53" s="210">
        <v>600869.87</v>
      </c>
      <c r="AE53" s="210">
        <v>24299.45</v>
      </c>
      <c r="AF53" s="210">
        <v>220822.63</v>
      </c>
      <c r="AG53" s="210">
        <v>9856.69</v>
      </c>
      <c r="AH53" s="210">
        <v>63189.62</v>
      </c>
      <c r="AI53" s="210">
        <v>0</v>
      </c>
      <c r="AJ53" s="210">
        <v>17611.949999999997</v>
      </c>
      <c r="AK53" s="210">
        <v>3646.12</v>
      </c>
      <c r="AL53" s="210">
        <v>3496.31</v>
      </c>
      <c r="AM53" s="210">
        <v>4293.4000000000005</v>
      </c>
      <c r="AN53" s="210">
        <v>921.6</v>
      </c>
      <c r="AO53" s="210">
        <v>10512.759999999998</v>
      </c>
      <c r="AP53" s="210">
        <v>2364.4700000000003</v>
      </c>
      <c r="AQ53" s="210">
        <v>24146.280000000002</v>
      </c>
      <c r="AR53" s="210">
        <v>2496.1099999999997</v>
      </c>
      <c r="AS53" s="210">
        <v>22407.940000000002</v>
      </c>
      <c r="AT53" s="210">
        <v>5719.94</v>
      </c>
      <c r="AU53" s="210">
        <v>9358.75</v>
      </c>
      <c r="AV53" s="210">
        <v>25627.470000000008</v>
      </c>
      <c r="AW53" s="312">
        <v>0</v>
      </c>
      <c r="AX53" s="210">
        <v>5336.92</v>
      </c>
      <c r="AY53" s="210">
        <v>0</v>
      </c>
      <c r="AZ53" s="210">
        <v>0</v>
      </c>
      <c r="BA53" s="210">
        <v>2550.25</v>
      </c>
      <c r="BB53" s="210">
        <v>0</v>
      </c>
      <c r="BC53" s="210">
        <v>88.429999999999993</v>
      </c>
      <c r="BD53" s="210">
        <v>1990</v>
      </c>
      <c r="BE53" s="210">
        <v>70</v>
      </c>
      <c r="BF53" s="210">
        <v>4083.1</v>
      </c>
      <c r="BG53" s="210">
        <v>9064.630000000001</v>
      </c>
      <c r="BH53" s="210">
        <v>0</v>
      </c>
      <c r="BI53" s="210">
        <v>45054.78</v>
      </c>
      <c r="BJ53" s="210">
        <v>1437</v>
      </c>
      <c r="BK53" s="210">
        <v>36224.839999999997</v>
      </c>
      <c r="BL53" s="210">
        <v>13104.630000000001</v>
      </c>
      <c r="BM53" s="210">
        <v>0</v>
      </c>
      <c r="BN53" s="210">
        <v>0</v>
      </c>
      <c r="BO53" s="210">
        <v>0</v>
      </c>
      <c r="BP53" s="210">
        <v>0</v>
      </c>
      <c r="BQ53" s="211">
        <v>-6227.5</v>
      </c>
      <c r="BR53" s="211">
        <v>0</v>
      </c>
      <c r="BS53" s="211">
        <v>0</v>
      </c>
      <c r="BT53" s="212">
        <v>0</v>
      </c>
      <c r="BU53" s="212">
        <v>0</v>
      </c>
      <c r="BV53" s="212">
        <v>0</v>
      </c>
      <c r="BW53" s="212">
        <v>0</v>
      </c>
      <c r="BX53" s="212">
        <v>0</v>
      </c>
      <c r="BY53" s="212">
        <v>2607.56</v>
      </c>
      <c r="BZ53" s="212">
        <v>0</v>
      </c>
      <c r="CA53" s="212">
        <v>0</v>
      </c>
      <c r="CB53" s="212">
        <v>2379.6</v>
      </c>
      <c r="CC53" s="224">
        <v>46026.069999999985</v>
      </c>
      <c r="CD53" s="213"/>
      <c r="CE53" s="211">
        <v>-59136.909999999807</v>
      </c>
      <c r="CF53" s="211">
        <v>11870.97</v>
      </c>
      <c r="CG53" s="211">
        <v>0</v>
      </c>
      <c r="CH53" s="211">
        <v>1239.8700000000001</v>
      </c>
      <c r="CI53" s="211">
        <v>0</v>
      </c>
      <c r="CJ53" s="211">
        <v>0</v>
      </c>
      <c r="CK53" s="211">
        <v>-46026.069999999803</v>
      </c>
      <c r="CL53" s="201"/>
      <c r="CM53" s="201">
        <f t="shared" si="10"/>
        <v>1.8189894035458565E-10</v>
      </c>
      <c r="CN53" s="340">
        <f t="shared" si="11"/>
        <v>-59136.909999999807</v>
      </c>
      <c r="CO53" s="340">
        <f t="shared" si="12"/>
        <v>11870.97</v>
      </c>
      <c r="CP53" s="340">
        <f t="shared" si="13"/>
        <v>0</v>
      </c>
      <c r="CQ53" s="340">
        <f t="shared" si="14"/>
        <v>1239.8700000000001</v>
      </c>
      <c r="CR53" s="340">
        <f t="shared" si="15"/>
        <v>0</v>
      </c>
      <c r="CS53" s="340">
        <f t="shared" si="16"/>
        <v>0</v>
      </c>
      <c r="CT53" s="90">
        <f t="shared" si="17"/>
        <v>-46026.069999999803</v>
      </c>
      <c r="CV53" s="90">
        <f t="shared" si="9"/>
        <v>0</v>
      </c>
    </row>
    <row r="54" spans="1:100">
      <c r="A54" s="325">
        <v>592</v>
      </c>
      <c r="B54" s="325" t="s">
        <v>997</v>
      </c>
      <c r="C54" s="209">
        <v>-48524.35</v>
      </c>
      <c r="D54" s="209">
        <v>-5640.86</v>
      </c>
      <c r="E54" s="209">
        <v>0</v>
      </c>
      <c r="F54" s="209">
        <v>0</v>
      </c>
      <c r="G54" s="209">
        <v>0</v>
      </c>
      <c r="H54" s="209">
        <v>4781.33</v>
      </c>
      <c r="I54" s="223">
        <v>-413953.83</v>
      </c>
      <c r="J54" s="223">
        <v>0</v>
      </c>
      <c r="K54" s="223">
        <v>-13122</v>
      </c>
      <c r="L54" s="223">
        <v>0</v>
      </c>
      <c r="M54" s="223">
        <v>-4440</v>
      </c>
      <c r="N54" s="223">
        <v>-6456.93</v>
      </c>
      <c r="O54" s="223">
        <v>0</v>
      </c>
      <c r="P54" s="223">
        <v>0</v>
      </c>
      <c r="Q54" s="223">
        <v>-22279.71</v>
      </c>
      <c r="R54" s="223">
        <v>-532.17000000000007</v>
      </c>
      <c r="S54" s="223">
        <v>0</v>
      </c>
      <c r="T54" s="223">
        <v>0</v>
      </c>
      <c r="U54" s="223">
        <v>-4474.84</v>
      </c>
      <c r="V54" s="223">
        <v>-5711.39</v>
      </c>
      <c r="W54" s="223">
        <v>0</v>
      </c>
      <c r="X54" s="223">
        <v>-20073.039999999997</v>
      </c>
      <c r="Y54" s="223">
        <v>-9306.7700000000023</v>
      </c>
      <c r="Z54" s="223">
        <v>0</v>
      </c>
      <c r="AA54" s="223">
        <v>0</v>
      </c>
      <c r="AB54" s="223">
        <v>-185</v>
      </c>
      <c r="AC54" s="223">
        <v>-27497</v>
      </c>
      <c r="AD54" s="210">
        <v>290230</v>
      </c>
      <c r="AE54" s="210">
        <v>4660.01</v>
      </c>
      <c r="AF54" s="210">
        <v>75155.099999999991</v>
      </c>
      <c r="AG54" s="210">
        <v>0</v>
      </c>
      <c r="AH54" s="210">
        <v>7857.02</v>
      </c>
      <c r="AI54" s="210">
        <v>0</v>
      </c>
      <c r="AJ54" s="210">
        <v>15220.790000000003</v>
      </c>
      <c r="AK54" s="210">
        <v>0</v>
      </c>
      <c r="AL54" s="210">
        <v>5054.7300000000005</v>
      </c>
      <c r="AM54" s="210">
        <v>158.6</v>
      </c>
      <c r="AN54" s="210">
        <v>0</v>
      </c>
      <c r="AO54" s="210">
        <v>7745.5700000000006</v>
      </c>
      <c r="AP54" s="210">
        <v>3317.64</v>
      </c>
      <c r="AQ54" s="210">
        <v>17111.210000000003</v>
      </c>
      <c r="AR54" s="210">
        <v>1175.96</v>
      </c>
      <c r="AS54" s="210">
        <v>12183.429999999998</v>
      </c>
      <c r="AT54" s="210">
        <v>1980.78</v>
      </c>
      <c r="AU54" s="210">
        <v>1678.08</v>
      </c>
      <c r="AV54" s="210">
        <v>23587.55</v>
      </c>
      <c r="AW54" s="312">
        <v>1246.05</v>
      </c>
      <c r="AX54" s="210">
        <v>266.14999999999998</v>
      </c>
      <c r="AY54" s="210">
        <v>0</v>
      </c>
      <c r="AZ54" s="210">
        <v>162</v>
      </c>
      <c r="BA54" s="210">
        <v>3539.44</v>
      </c>
      <c r="BB54" s="210">
        <v>0</v>
      </c>
      <c r="BC54" s="210">
        <v>0</v>
      </c>
      <c r="BD54" s="210">
        <v>1814.75</v>
      </c>
      <c r="BE54" s="210">
        <v>0</v>
      </c>
      <c r="BF54" s="210">
        <v>470.44</v>
      </c>
      <c r="BG54" s="210">
        <v>2724.2799999999997</v>
      </c>
      <c r="BH54" s="210">
        <v>0</v>
      </c>
      <c r="BI54" s="210">
        <v>14196.34</v>
      </c>
      <c r="BJ54" s="210">
        <v>4962</v>
      </c>
      <c r="BK54" s="210">
        <v>8500.11</v>
      </c>
      <c r="BL54" s="210">
        <v>26801.109999999997</v>
      </c>
      <c r="BM54" s="210">
        <v>0</v>
      </c>
      <c r="BN54" s="210">
        <v>0</v>
      </c>
      <c r="BO54" s="210">
        <v>139.19</v>
      </c>
      <c r="BP54" s="210">
        <v>-150.00000000000006</v>
      </c>
      <c r="BQ54" s="211">
        <v>0</v>
      </c>
      <c r="BR54" s="211">
        <v>0</v>
      </c>
      <c r="BS54" s="211">
        <v>0</v>
      </c>
      <c r="BT54" s="212">
        <v>0</v>
      </c>
      <c r="BU54" s="212">
        <v>0</v>
      </c>
      <c r="BV54" s="212">
        <v>0</v>
      </c>
      <c r="BW54" s="212">
        <v>0</v>
      </c>
      <c r="BX54" s="212">
        <v>0</v>
      </c>
      <c r="BY54" s="212">
        <v>0</v>
      </c>
      <c r="BZ54" s="212">
        <v>0</v>
      </c>
      <c r="CA54" s="212">
        <v>0</v>
      </c>
      <c r="CB54" s="212">
        <v>0</v>
      </c>
      <c r="CC54" s="224">
        <v>-45628.230000000069</v>
      </c>
      <c r="CD54" s="213"/>
      <c r="CE54" s="211"/>
      <c r="CF54" s="211"/>
      <c r="CG54" s="211"/>
      <c r="CH54" s="211"/>
      <c r="CI54" s="211"/>
      <c r="CJ54" s="211"/>
      <c r="CK54" s="211"/>
      <c r="CL54" s="201"/>
      <c r="CM54" s="201">
        <f t="shared" si="10"/>
        <v>-45628.230000000069</v>
      </c>
      <c r="CN54" s="340">
        <f t="shared" si="11"/>
        <v>0</v>
      </c>
      <c r="CO54" s="340">
        <f t="shared" si="12"/>
        <v>0</v>
      </c>
      <c r="CP54" s="340">
        <f t="shared" si="13"/>
        <v>0</v>
      </c>
      <c r="CQ54" s="340">
        <f t="shared" si="14"/>
        <v>0</v>
      </c>
      <c r="CR54" s="340">
        <f t="shared" si="15"/>
        <v>0</v>
      </c>
      <c r="CS54" s="340">
        <f t="shared" si="16"/>
        <v>0</v>
      </c>
      <c r="CT54" s="90">
        <f t="shared" si="17"/>
        <v>0</v>
      </c>
      <c r="CV54" s="90">
        <f t="shared" si="9"/>
        <v>0</v>
      </c>
    </row>
    <row r="55" spans="1:100">
      <c r="A55" s="325">
        <v>593</v>
      </c>
      <c r="B55" s="325" t="s">
        <v>200</v>
      </c>
      <c r="C55" s="209">
        <v>-16289.82</v>
      </c>
      <c r="D55" s="209">
        <v>-2892.97</v>
      </c>
      <c r="E55" s="209">
        <v>0</v>
      </c>
      <c r="F55" s="209">
        <v>0.36</v>
      </c>
      <c r="G55" s="209">
        <v>0</v>
      </c>
      <c r="H55" s="209">
        <v>0</v>
      </c>
      <c r="I55" s="223">
        <v>-1061158.9100000001</v>
      </c>
      <c r="J55" s="223">
        <v>0</v>
      </c>
      <c r="K55" s="223">
        <v>-203129.74</v>
      </c>
      <c r="L55" s="223">
        <v>0</v>
      </c>
      <c r="M55" s="223">
        <v>-58877</v>
      </c>
      <c r="N55" s="223">
        <v>-32789.019999999997</v>
      </c>
      <c r="O55" s="223">
        <v>-1145</v>
      </c>
      <c r="P55" s="223">
        <v>-7746.1</v>
      </c>
      <c r="Q55" s="223">
        <v>-2034.62</v>
      </c>
      <c r="R55" s="223">
        <v>-38833.23000000001</v>
      </c>
      <c r="S55" s="223">
        <v>-2318.75</v>
      </c>
      <c r="T55" s="223">
        <v>0</v>
      </c>
      <c r="U55" s="223">
        <v>-31079.549999999985</v>
      </c>
      <c r="V55" s="223">
        <v>-22939.4</v>
      </c>
      <c r="W55" s="223">
        <v>0</v>
      </c>
      <c r="X55" s="223">
        <v>0</v>
      </c>
      <c r="Y55" s="223">
        <v>0</v>
      </c>
      <c r="Z55" s="223">
        <v>0</v>
      </c>
      <c r="AA55" s="223">
        <v>0</v>
      </c>
      <c r="AB55" s="223">
        <v>87.5</v>
      </c>
      <c r="AC55" s="223">
        <v>-57523</v>
      </c>
      <c r="AD55" s="210">
        <v>702429.93</v>
      </c>
      <c r="AE55" s="210">
        <v>17893.400000000001</v>
      </c>
      <c r="AF55" s="210">
        <v>365488.33000000007</v>
      </c>
      <c r="AG55" s="210">
        <v>15974.09</v>
      </c>
      <c r="AH55" s="210">
        <v>50786.570000000007</v>
      </c>
      <c r="AI55" s="210">
        <v>61301.479999999996</v>
      </c>
      <c r="AJ55" s="210">
        <v>43806.990000000005</v>
      </c>
      <c r="AK55" s="210">
        <v>5482.72</v>
      </c>
      <c r="AL55" s="210">
        <v>2049.1</v>
      </c>
      <c r="AM55" s="210">
        <v>6080.87</v>
      </c>
      <c r="AN55" s="210">
        <v>1361.5</v>
      </c>
      <c r="AO55" s="210">
        <v>14422.07</v>
      </c>
      <c r="AP55" s="210">
        <v>7037.6800000000021</v>
      </c>
      <c r="AQ55" s="210">
        <v>24196.920000000002</v>
      </c>
      <c r="AR55" s="210">
        <v>1939.9599999999998</v>
      </c>
      <c r="AS55" s="210">
        <v>21373.56</v>
      </c>
      <c r="AT55" s="210">
        <v>14238.75</v>
      </c>
      <c r="AU55" s="210">
        <v>4150.8600000000006</v>
      </c>
      <c r="AV55" s="210">
        <v>79968.450000000026</v>
      </c>
      <c r="AW55" s="312">
        <v>682.5</v>
      </c>
      <c r="AX55" s="210">
        <v>2352</v>
      </c>
      <c r="AY55" s="210">
        <v>0</v>
      </c>
      <c r="AZ55" s="210">
        <v>6250.89</v>
      </c>
      <c r="BA55" s="210">
        <v>0</v>
      </c>
      <c r="BB55" s="210">
        <v>315.88</v>
      </c>
      <c r="BC55" s="210">
        <v>2095.3200000000002</v>
      </c>
      <c r="BD55" s="210">
        <v>8030</v>
      </c>
      <c r="BE55" s="210">
        <v>0</v>
      </c>
      <c r="BF55" s="210">
        <v>3105.38</v>
      </c>
      <c r="BG55" s="210">
        <v>10949.509999999998</v>
      </c>
      <c r="BH55" s="210">
        <v>0</v>
      </c>
      <c r="BI55" s="210">
        <v>39061.919999999984</v>
      </c>
      <c r="BJ55" s="210">
        <v>135</v>
      </c>
      <c r="BK55" s="210">
        <v>21145.26</v>
      </c>
      <c r="BL55" s="210">
        <v>21070.170000000002</v>
      </c>
      <c r="BM55" s="210">
        <v>0</v>
      </c>
      <c r="BN55" s="210">
        <v>0</v>
      </c>
      <c r="BO55" s="210">
        <v>0</v>
      </c>
      <c r="BP55" s="210">
        <v>0</v>
      </c>
      <c r="BQ55" s="211">
        <v>-6328.75</v>
      </c>
      <c r="BR55" s="211">
        <v>0</v>
      </c>
      <c r="BS55" s="211">
        <v>0</v>
      </c>
      <c r="BT55" s="212">
        <v>0</v>
      </c>
      <c r="BU55" s="212">
        <v>14682</v>
      </c>
      <c r="BV55" s="212">
        <v>0</v>
      </c>
      <c r="BW55" s="212">
        <v>0</v>
      </c>
      <c r="BX55" s="212">
        <v>0</v>
      </c>
      <c r="BY55" s="212">
        <v>0</v>
      </c>
      <c r="BZ55" s="212">
        <v>0</v>
      </c>
      <c r="CA55" s="212">
        <v>2179.9899999999998</v>
      </c>
      <c r="CB55" s="212">
        <v>0</v>
      </c>
      <c r="CC55" s="224">
        <v>27041.049999999872</v>
      </c>
      <c r="CD55" s="213"/>
      <c r="CE55" s="211">
        <v>-21643.859999999979</v>
      </c>
      <c r="CF55" s="211">
        <v>2956.42</v>
      </c>
      <c r="CG55" s="211">
        <v>0</v>
      </c>
      <c r="CH55" s="211">
        <v>-8353.6099999999988</v>
      </c>
      <c r="CI55" s="211">
        <v>0</v>
      </c>
      <c r="CJ55" s="211">
        <v>0</v>
      </c>
      <c r="CK55" s="211">
        <v>-27041.049999999981</v>
      </c>
      <c r="CL55" s="201"/>
      <c r="CM55" s="201">
        <f t="shared" si="10"/>
        <v>-1.0913936421275139E-10</v>
      </c>
      <c r="CN55" s="340">
        <f t="shared" si="11"/>
        <v>-21643.859999999979</v>
      </c>
      <c r="CO55" s="340">
        <f t="shared" si="12"/>
        <v>2956.42</v>
      </c>
      <c r="CP55" s="340">
        <f t="shared" si="13"/>
        <v>0</v>
      </c>
      <c r="CQ55" s="340">
        <f t="shared" si="14"/>
        <v>-8353.6099999999988</v>
      </c>
      <c r="CR55" s="340">
        <f t="shared" si="15"/>
        <v>0</v>
      </c>
      <c r="CS55" s="340">
        <f t="shared" si="16"/>
        <v>0</v>
      </c>
      <c r="CT55" s="90">
        <f t="shared" si="17"/>
        <v>-27041.049999999981</v>
      </c>
      <c r="CV55" s="90">
        <f t="shared" si="9"/>
        <v>0</v>
      </c>
    </row>
    <row r="56" spans="1:100">
      <c r="A56" s="325">
        <v>596</v>
      </c>
      <c r="B56" s="325" t="s">
        <v>392</v>
      </c>
      <c r="C56" s="209">
        <v>-20932.93</v>
      </c>
      <c r="D56" s="209">
        <v>0</v>
      </c>
      <c r="E56" s="209">
        <v>0</v>
      </c>
      <c r="F56" s="209">
        <v>0</v>
      </c>
      <c r="G56" s="209">
        <v>0</v>
      </c>
      <c r="H56" s="209">
        <v>0</v>
      </c>
      <c r="I56" s="223">
        <v>0</v>
      </c>
      <c r="J56" s="223">
        <v>0</v>
      </c>
      <c r="K56" s="223">
        <v>0</v>
      </c>
      <c r="L56" s="223">
        <v>0</v>
      </c>
      <c r="M56" s="223">
        <v>0</v>
      </c>
      <c r="N56" s="223">
        <v>0</v>
      </c>
      <c r="O56" s="223">
        <v>0</v>
      </c>
      <c r="P56" s="223">
        <v>0</v>
      </c>
      <c r="Q56" s="223">
        <v>0</v>
      </c>
      <c r="R56" s="223">
        <v>448.38</v>
      </c>
      <c r="S56" s="223">
        <v>0</v>
      </c>
      <c r="T56" s="223">
        <v>0</v>
      </c>
      <c r="U56" s="223">
        <v>0</v>
      </c>
      <c r="V56" s="223">
        <v>0</v>
      </c>
      <c r="W56" s="223">
        <v>0</v>
      </c>
      <c r="X56" s="223">
        <v>0</v>
      </c>
      <c r="Y56" s="223">
        <v>0</v>
      </c>
      <c r="Z56" s="223">
        <v>0</v>
      </c>
      <c r="AA56" s="223">
        <v>0</v>
      </c>
      <c r="AB56" s="223">
        <v>0</v>
      </c>
      <c r="AC56" s="223">
        <v>0</v>
      </c>
      <c r="AD56" s="210">
        <v>0</v>
      </c>
      <c r="AE56" s="210">
        <v>0</v>
      </c>
      <c r="AF56" s="210">
        <v>0</v>
      </c>
      <c r="AG56" s="210">
        <v>0</v>
      </c>
      <c r="AH56" s="210">
        <v>0</v>
      </c>
      <c r="AI56" s="210">
        <v>0</v>
      </c>
      <c r="AJ56" s="210">
        <v>0</v>
      </c>
      <c r="AK56" s="210">
        <v>0</v>
      </c>
      <c r="AL56" s="210">
        <v>0</v>
      </c>
      <c r="AM56" s="210">
        <v>0</v>
      </c>
      <c r="AN56" s="210">
        <v>0</v>
      </c>
      <c r="AO56" s="210">
        <v>3</v>
      </c>
      <c r="AP56" s="210">
        <v>0</v>
      </c>
      <c r="AQ56" s="210">
        <v>0</v>
      </c>
      <c r="AR56" s="210">
        <v>0</v>
      </c>
      <c r="AS56" s="210">
        <v>0</v>
      </c>
      <c r="AT56" s="210">
        <v>0</v>
      </c>
      <c r="AU56" s="210">
        <v>0</v>
      </c>
      <c r="AV56" s="210">
        <v>19481.55</v>
      </c>
      <c r="AW56" s="312">
        <v>0</v>
      </c>
      <c r="AX56" s="210">
        <v>0</v>
      </c>
      <c r="AY56" s="210">
        <v>0</v>
      </c>
      <c r="AZ56" s="210">
        <v>0</v>
      </c>
      <c r="BA56" s="210">
        <v>0</v>
      </c>
      <c r="BB56" s="210">
        <v>0</v>
      </c>
      <c r="BC56" s="210">
        <v>0</v>
      </c>
      <c r="BD56" s="210">
        <v>0</v>
      </c>
      <c r="BE56" s="210">
        <v>0</v>
      </c>
      <c r="BF56" s="210">
        <v>0</v>
      </c>
      <c r="BG56" s="210">
        <v>0</v>
      </c>
      <c r="BH56" s="210">
        <v>0</v>
      </c>
      <c r="BI56" s="210">
        <v>0</v>
      </c>
      <c r="BJ56" s="210">
        <v>0</v>
      </c>
      <c r="BK56" s="210">
        <v>1000</v>
      </c>
      <c r="BL56" s="210">
        <v>0</v>
      </c>
      <c r="BM56" s="210">
        <v>0</v>
      </c>
      <c r="BN56" s="210">
        <v>0</v>
      </c>
      <c r="BO56" s="210">
        <v>0</v>
      </c>
      <c r="BP56" s="210">
        <v>0</v>
      </c>
      <c r="BQ56" s="211">
        <v>0</v>
      </c>
      <c r="BR56" s="211">
        <v>0</v>
      </c>
      <c r="BS56" s="211">
        <v>0</v>
      </c>
      <c r="BT56" s="212">
        <v>0</v>
      </c>
      <c r="BU56" s="212">
        <v>0</v>
      </c>
      <c r="BV56" s="212">
        <v>0</v>
      </c>
      <c r="BW56" s="212">
        <v>0</v>
      </c>
      <c r="BX56" s="212">
        <v>0</v>
      </c>
      <c r="BY56" s="212">
        <v>0</v>
      </c>
      <c r="BZ56" s="212">
        <v>0</v>
      </c>
      <c r="CA56" s="212">
        <v>0</v>
      </c>
      <c r="CB56" s="212">
        <v>0</v>
      </c>
      <c r="CC56" s="224">
        <v>0</v>
      </c>
      <c r="CD56" s="213"/>
      <c r="CE56" s="211"/>
      <c r="CF56" s="211"/>
      <c r="CG56" s="211"/>
      <c r="CH56" s="211"/>
      <c r="CI56" s="211"/>
      <c r="CJ56" s="211"/>
      <c r="CK56" s="211"/>
      <c r="CL56" s="201"/>
      <c r="CM56" s="201">
        <f t="shared" si="10"/>
        <v>0</v>
      </c>
      <c r="CN56" s="340">
        <f t="shared" si="11"/>
        <v>0</v>
      </c>
      <c r="CO56" s="340">
        <f t="shared" si="12"/>
        <v>0</v>
      </c>
      <c r="CP56" s="340">
        <f t="shared" si="13"/>
        <v>0</v>
      </c>
      <c r="CQ56" s="340">
        <f t="shared" si="14"/>
        <v>0</v>
      </c>
      <c r="CR56" s="340">
        <f t="shared" si="15"/>
        <v>0</v>
      </c>
      <c r="CS56" s="340">
        <f t="shared" si="16"/>
        <v>0</v>
      </c>
      <c r="CT56" s="90">
        <f t="shared" si="17"/>
        <v>0</v>
      </c>
      <c r="CV56" s="90">
        <f t="shared" si="9"/>
        <v>0</v>
      </c>
    </row>
    <row r="57" spans="1:100">
      <c r="A57" s="325">
        <v>598</v>
      </c>
      <c r="B57" s="325" t="s">
        <v>227</v>
      </c>
      <c r="C57" s="209">
        <v>-250389.55</v>
      </c>
      <c r="D57" s="209">
        <v>-15317.39</v>
      </c>
      <c r="E57" s="209">
        <v>0</v>
      </c>
      <c r="F57" s="209">
        <v>-14664.31</v>
      </c>
      <c r="G57" s="209">
        <v>0</v>
      </c>
      <c r="H57" s="209">
        <v>0</v>
      </c>
      <c r="I57" s="223">
        <v>-450997.3</v>
      </c>
      <c r="J57" s="223">
        <v>0</v>
      </c>
      <c r="K57" s="223">
        <v>-19941</v>
      </c>
      <c r="L57" s="223">
        <v>0</v>
      </c>
      <c r="M57" s="223">
        <v>-22899.800000000003</v>
      </c>
      <c r="N57" s="223">
        <v>0</v>
      </c>
      <c r="O57" s="223">
        <v>-583.33000000000004</v>
      </c>
      <c r="P57" s="223">
        <v>0</v>
      </c>
      <c r="Q57" s="223">
        <v>-15711.95</v>
      </c>
      <c r="R57" s="223">
        <v>0</v>
      </c>
      <c r="S57" s="223">
        <v>0</v>
      </c>
      <c r="T57" s="223">
        <v>0</v>
      </c>
      <c r="U57" s="223">
        <v>-5693.6699999999992</v>
      </c>
      <c r="V57" s="223">
        <v>-670</v>
      </c>
      <c r="W57" s="223">
        <v>0</v>
      </c>
      <c r="X57" s="223">
        <v>0</v>
      </c>
      <c r="Y57" s="223">
        <v>0</v>
      </c>
      <c r="Z57" s="223">
        <v>0</v>
      </c>
      <c r="AA57" s="223">
        <v>0</v>
      </c>
      <c r="AB57" s="223">
        <v>-27.5</v>
      </c>
      <c r="AC57" s="223">
        <v>-23621</v>
      </c>
      <c r="AD57" s="210">
        <v>198109.57999999996</v>
      </c>
      <c r="AE57" s="210">
        <v>14001.270000000002</v>
      </c>
      <c r="AF57" s="210">
        <v>66766.48</v>
      </c>
      <c r="AG57" s="210">
        <v>0</v>
      </c>
      <c r="AH57" s="210">
        <v>33353.72</v>
      </c>
      <c r="AI57" s="210">
        <v>0</v>
      </c>
      <c r="AJ57" s="210">
        <v>6901.7700000000013</v>
      </c>
      <c r="AK57" s="210">
        <v>1859.67</v>
      </c>
      <c r="AL57" s="210">
        <v>3329.88</v>
      </c>
      <c r="AM57" s="210">
        <v>2853.64</v>
      </c>
      <c r="AN57" s="210">
        <v>675.29</v>
      </c>
      <c r="AO57" s="210">
        <v>10170.18</v>
      </c>
      <c r="AP57" s="210">
        <v>3050</v>
      </c>
      <c r="AQ57" s="210">
        <v>13962.849999999999</v>
      </c>
      <c r="AR57" s="210">
        <v>1136.05</v>
      </c>
      <c r="AS57" s="210">
        <v>11216.29</v>
      </c>
      <c r="AT57" s="210">
        <v>3401.91</v>
      </c>
      <c r="AU57" s="210">
        <v>11763.45</v>
      </c>
      <c r="AV57" s="210">
        <v>22264.859999999997</v>
      </c>
      <c r="AW57" s="312">
        <v>0</v>
      </c>
      <c r="AX57" s="210">
        <v>2860.33</v>
      </c>
      <c r="AY57" s="210">
        <v>0</v>
      </c>
      <c r="AZ57" s="210">
        <v>0</v>
      </c>
      <c r="BA57" s="210">
        <v>390.1</v>
      </c>
      <c r="BB57" s="210">
        <v>0</v>
      </c>
      <c r="BC57" s="210">
        <v>0</v>
      </c>
      <c r="BD57" s="210">
        <v>3145</v>
      </c>
      <c r="BE57" s="210">
        <v>0</v>
      </c>
      <c r="BF57" s="210">
        <v>3475.4599999999996</v>
      </c>
      <c r="BG57" s="210">
        <v>2619.5</v>
      </c>
      <c r="BH57" s="210">
        <v>0</v>
      </c>
      <c r="BI57" s="210">
        <v>13378.07</v>
      </c>
      <c r="BJ57" s="210">
        <v>14742.2</v>
      </c>
      <c r="BK57" s="210">
        <v>13127</v>
      </c>
      <c r="BL57" s="210">
        <v>10769.1</v>
      </c>
      <c r="BM57" s="210">
        <v>0</v>
      </c>
      <c r="BN57" s="210">
        <v>0</v>
      </c>
      <c r="BO57" s="210">
        <v>0</v>
      </c>
      <c r="BP57" s="210">
        <v>0</v>
      </c>
      <c r="BQ57" s="211">
        <v>-4562.5</v>
      </c>
      <c r="BR57" s="211">
        <v>0</v>
      </c>
      <c r="BS57" s="211">
        <v>0</v>
      </c>
      <c r="BT57" s="212">
        <v>0</v>
      </c>
      <c r="BU57" s="212">
        <v>11373.98</v>
      </c>
      <c r="BV57" s="212">
        <v>0</v>
      </c>
      <c r="BW57" s="212">
        <v>0</v>
      </c>
      <c r="BX57" s="212">
        <v>0</v>
      </c>
      <c r="BY57" s="212">
        <v>0</v>
      </c>
      <c r="BZ57" s="212">
        <v>0</v>
      </c>
      <c r="CA57" s="212">
        <v>2254</v>
      </c>
      <c r="CB57" s="212">
        <v>0</v>
      </c>
      <c r="CC57" s="224">
        <v>-342127.67000000022</v>
      </c>
      <c r="CD57" s="213"/>
      <c r="CE57" s="211">
        <v>317554.07000000007</v>
      </c>
      <c r="CF57" s="211">
        <v>18974.77</v>
      </c>
      <c r="CG57" s="211">
        <v>0</v>
      </c>
      <c r="CH57" s="211">
        <v>5598.83</v>
      </c>
      <c r="CI57" s="211">
        <v>0</v>
      </c>
      <c r="CJ57" s="211">
        <v>0</v>
      </c>
      <c r="CK57" s="211">
        <v>342127.6700000001</v>
      </c>
      <c r="CL57" s="201"/>
      <c r="CM57" s="201">
        <f t="shared" si="10"/>
        <v>0</v>
      </c>
      <c r="CN57" s="340">
        <f t="shared" si="11"/>
        <v>317554.07000000007</v>
      </c>
      <c r="CO57" s="340">
        <f t="shared" si="12"/>
        <v>18974.77</v>
      </c>
      <c r="CP57" s="340">
        <f t="shared" si="13"/>
        <v>0</v>
      </c>
      <c r="CQ57" s="340">
        <f t="shared" si="14"/>
        <v>5598.83</v>
      </c>
      <c r="CR57" s="340">
        <f t="shared" si="15"/>
        <v>0</v>
      </c>
      <c r="CS57" s="340">
        <f t="shared" si="16"/>
        <v>0</v>
      </c>
      <c r="CT57" s="90">
        <f t="shared" si="17"/>
        <v>342127.6700000001</v>
      </c>
      <c r="CV57" s="90">
        <f t="shared" si="9"/>
        <v>0</v>
      </c>
    </row>
    <row r="58" spans="1:100">
      <c r="A58" s="325">
        <v>603</v>
      </c>
      <c r="B58" s="325" t="s">
        <v>204</v>
      </c>
      <c r="C58" s="209">
        <v>-218904.16</v>
      </c>
      <c r="D58" s="209">
        <v>-21736.03</v>
      </c>
      <c r="E58" s="209">
        <v>0</v>
      </c>
      <c r="F58" s="209">
        <v>-2236.58</v>
      </c>
      <c r="G58" s="209">
        <v>0</v>
      </c>
      <c r="H58" s="209">
        <v>0</v>
      </c>
      <c r="I58" s="223">
        <v>-1687381.61</v>
      </c>
      <c r="J58" s="223">
        <v>0</v>
      </c>
      <c r="K58" s="223">
        <v>-104390</v>
      </c>
      <c r="L58" s="223">
        <v>0</v>
      </c>
      <c r="M58" s="223">
        <v>-139450</v>
      </c>
      <c r="N58" s="223">
        <v>-1656.9299999999998</v>
      </c>
      <c r="O58" s="223">
        <v>-10319.35</v>
      </c>
      <c r="P58" s="223">
        <v>-9593.5</v>
      </c>
      <c r="Q58" s="223">
        <v>-23799.510000000002</v>
      </c>
      <c r="R58" s="223">
        <v>-1514.52</v>
      </c>
      <c r="S58" s="223">
        <v>0</v>
      </c>
      <c r="T58" s="223">
        <v>-6788</v>
      </c>
      <c r="U58" s="223">
        <v>-19697.920000000002</v>
      </c>
      <c r="V58" s="223">
        <v>-23918.850000000002</v>
      </c>
      <c r="W58" s="223">
        <v>0</v>
      </c>
      <c r="X58" s="223">
        <v>-156388.62</v>
      </c>
      <c r="Y58" s="223">
        <v>-39828.229999999989</v>
      </c>
      <c r="Z58" s="223">
        <v>0</v>
      </c>
      <c r="AA58" s="223">
        <v>0</v>
      </c>
      <c r="AB58" s="223">
        <v>-181.88000000000011</v>
      </c>
      <c r="AC58" s="223">
        <v>-57366</v>
      </c>
      <c r="AD58" s="210">
        <v>1038058.8500000001</v>
      </c>
      <c r="AE58" s="210">
        <v>47903.61</v>
      </c>
      <c r="AF58" s="210">
        <v>367240.75000000006</v>
      </c>
      <c r="AG58" s="210">
        <v>4920.4299999999994</v>
      </c>
      <c r="AH58" s="210">
        <v>112071.87000000001</v>
      </c>
      <c r="AI58" s="210">
        <v>0</v>
      </c>
      <c r="AJ58" s="210">
        <v>39275.32</v>
      </c>
      <c r="AK58" s="210">
        <v>6606.8</v>
      </c>
      <c r="AL58" s="210">
        <v>4476.3900000000003</v>
      </c>
      <c r="AM58" s="210">
        <v>976</v>
      </c>
      <c r="AN58" s="210">
        <v>7903.76</v>
      </c>
      <c r="AO58" s="210">
        <v>15543.350000000004</v>
      </c>
      <c r="AP58" s="210">
        <v>8304.9800000000014</v>
      </c>
      <c r="AQ58" s="210">
        <v>3129.8500000000004</v>
      </c>
      <c r="AR58" s="210">
        <v>5845.83</v>
      </c>
      <c r="AS58" s="210">
        <v>37018.980000000003</v>
      </c>
      <c r="AT58" s="210">
        <v>37226.980000000003</v>
      </c>
      <c r="AU58" s="210">
        <v>11104.390000000001</v>
      </c>
      <c r="AV58" s="210">
        <v>91738.470000000016</v>
      </c>
      <c r="AW58" s="312">
        <v>0</v>
      </c>
      <c r="AX58" s="210">
        <v>0</v>
      </c>
      <c r="AY58" s="210">
        <v>154.15</v>
      </c>
      <c r="AZ58" s="210">
        <v>8109.16</v>
      </c>
      <c r="BA58" s="210">
        <v>0</v>
      </c>
      <c r="BB58" s="210">
        <v>2428.12</v>
      </c>
      <c r="BC58" s="210">
        <v>1960.94</v>
      </c>
      <c r="BD58" s="210">
        <v>2905</v>
      </c>
      <c r="BE58" s="210">
        <v>0</v>
      </c>
      <c r="BF58" s="210">
        <v>3120.54</v>
      </c>
      <c r="BG58" s="210">
        <v>16764.8</v>
      </c>
      <c r="BH58" s="210">
        <v>0</v>
      </c>
      <c r="BI58" s="210">
        <v>79994.31</v>
      </c>
      <c r="BJ58" s="210">
        <v>24678</v>
      </c>
      <c r="BK58" s="210">
        <v>7475.5</v>
      </c>
      <c r="BL58" s="210">
        <v>128091.43000000002</v>
      </c>
      <c r="BM58" s="210">
        <v>0</v>
      </c>
      <c r="BN58" s="210">
        <v>0</v>
      </c>
      <c r="BO58" s="210">
        <v>105829.30000000002</v>
      </c>
      <c r="BP58" s="210">
        <v>5036.92</v>
      </c>
      <c r="BQ58" s="211">
        <v>-7442.5</v>
      </c>
      <c r="BR58" s="211">
        <v>0</v>
      </c>
      <c r="BS58" s="211">
        <v>0</v>
      </c>
      <c r="BT58" s="212">
        <v>0</v>
      </c>
      <c r="BU58" s="212">
        <v>987.5</v>
      </c>
      <c r="BV58" s="212">
        <v>0</v>
      </c>
      <c r="BW58" s="212">
        <v>0</v>
      </c>
      <c r="BX58" s="212">
        <v>0</v>
      </c>
      <c r="BY58" s="212">
        <v>10715</v>
      </c>
      <c r="BZ58" s="212">
        <v>0</v>
      </c>
      <c r="CA58" s="212">
        <v>0</v>
      </c>
      <c r="CB58" s="212">
        <v>0</v>
      </c>
      <c r="CC58" s="224">
        <v>-294996.90999999974</v>
      </c>
      <c r="CD58" s="213"/>
      <c r="CE58" s="211">
        <v>276000.9099999998</v>
      </c>
      <c r="CF58" s="211">
        <v>3401</v>
      </c>
      <c r="CG58" s="211">
        <v>0</v>
      </c>
      <c r="CH58" s="211">
        <v>-1.8189894035458565E-12</v>
      </c>
      <c r="CI58" s="211">
        <v>0</v>
      </c>
      <c r="CJ58" s="211">
        <v>15594.999999999971</v>
      </c>
      <c r="CK58" s="211">
        <v>294996.9099999998</v>
      </c>
      <c r="CL58" s="201"/>
      <c r="CM58" s="201">
        <f t="shared" si="10"/>
        <v>0</v>
      </c>
      <c r="CN58" s="340">
        <f t="shared" si="11"/>
        <v>276000.9099999998</v>
      </c>
      <c r="CO58" s="340">
        <f t="shared" si="12"/>
        <v>3401</v>
      </c>
      <c r="CP58" s="340">
        <f t="shared" si="13"/>
        <v>0</v>
      </c>
      <c r="CQ58" s="340">
        <f t="shared" si="14"/>
        <v>-1.8189894035458565E-12</v>
      </c>
      <c r="CR58" s="340">
        <f t="shared" si="15"/>
        <v>0</v>
      </c>
      <c r="CS58" s="340">
        <f t="shared" si="16"/>
        <v>15594.999999999971</v>
      </c>
      <c r="CT58" s="90">
        <f t="shared" si="17"/>
        <v>294996.9099999998</v>
      </c>
      <c r="CV58" s="90">
        <f t="shared" si="9"/>
        <v>0</v>
      </c>
    </row>
    <row r="59" spans="1:100">
      <c r="A59" s="325">
        <v>605</v>
      </c>
      <c r="B59" s="325" t="s">
        <v>252</v>
      </c>
      <c r="C59" s="209">
        <v>-28923.34</v>
      </c>
      <c r="D59" s="209">
        <v>-8664.49</v>
      </c>
      <c r="E59" s="209">
        <v>0</v>
      </c>
      <c r="F59" s="209">
        <v>-5778.37</v>
      </c>
      <c r="G59" s="209">
        <v>0</v>
      </c>
      <c r="H59" s="209">
        <v>0</v>
      </c>
      <c r="I59" s="223">
        <v>-406804.05</v>
      </c>
      <c r="J59" s="223">
        <v>0</v>
      </c>
      <c r="K59" s="223">
        <v>-22765</v>
      </c>
      <c r="L59" s="223">
        <v>0</v>
      </c>
      <c r="M59" s="223">
        <v>-26610</v>
      </c>
      <c r="N59" s="223">
        <v>-1200</v>
      </c>
      <c r="O59" s="223">
        <v>0</v>
      </c>
      <c r="P59" s="223">
        <v>0</v>
      </c>
      <c r="Q59" s="223">
        <v>-5114.1699999999992</v>
      </c>
      <c r="R59" s="223">
        <v>0</v>
      </c>
      <c r="S59" s="223">
        <v>0</v>
      </c>
      <c r="T59" s="223">
        <v>-8266</v>
      </c>
      <c r="U59" s="223">
        <v>-602.88000000000011</v>
      </c>
      <c r="V59" s="223">
        <v>-308.61</v>
      </c>
      <c r="W59" s="223">
        <v>0</v>
      </c>
      <c r="X59" s="223">
        <v>0</v>
      </c>
      <c r="Y59" s="223">
        <v>0</v>
      </c>
      <c r="Z59" s="223">
        <v>0</v>
      </c>
      <c r="AA59" s="223">
        <v>0</v>
      </c>
      <c r="AB59" s="223">
        <v>-68.13</v>
      </c>
      <c r="AC59" s="223">
        <v>-23490</v>
      </c>
      <c r="AD59" s="210">
        <v>233866.29000000004</v>
      </c>
      <c r="AE59" s="210">
        <v>2371.56</v>
      </c>
      <c r="AF59" s="210">
        <v>87324.23000000001</v>
      </c>
      <c r="AG59" s="210">
        <v>13810.27</v>
      </c>
      <c r="AH59" s="210">
        <v>32055.449999999993</v>
      </c>
      <c r="AI59" s="210">
        <v>0</v>
      </c>
      <c r="AJ59" s="210">
        <v>16861.690000000002</v>
      </c>
      <c r="AK59" s="210">
        <v>1416</v>
      </c>
      <c r="AL59" s="210">
        <v>2656.99</v>
      </c>
      <c r="AM59" s="210">
        <v>1983.16</v>
      </c>
      <c r="AN59" s="210">
        <v>0</v>
      </c>
      <c r="AO59" s="210">
        <v>16836.330000000002</v>
      </c>
      <c r="AP59" s="210">
        <v>31.5</v>
      </c>
      <c r="AQ59" s="210">
        <v>1303.3399999999999</v>
      </c>
      <c r="AR59" s="210">
        <v>1142.3399999999999</v>
      </c>
      <c r="AS59" s="210">
        <v>10303.040000000001</v>
      </c>
      <c r="AT59" s="210">
        <v>4535.87</v>
      </c>
      <c r="AU59" s="210">
        <v>4051.19</v>
      </c>
      <c r="AV59" s="210">
        <v>7151.0299999999988</v>
      </c>
      <c r="AW59" s="312">
        <v>0</v>
      </c>
      <c r="AX59" s="210">
        <v>4561.7299999999996</v>
      </c>
      <c r="AY59" s="210">
        <v>0</v>
      </c>
      <c r="AZ59" s="210">
        <v>1830.2499999999998</v>
      </c>
      <c r="BA59" s="210">
        <v>3793.2500000000009</v>
      </c>
      <c r="BB59" s="210">
        <v>0</v>
      </c>
      <c r="BC59" s="210">
        <v>0</v>
      </c>
      <c r="BD59" s="210">
        <v>4600</v>
      </c>
      <c r="BE59" s="210">
        <v>0</v>
      </c>
      <c r="BF59" s="210">
        <v>1070.08</v>
      </c>
      <c r="BG59" s="210">
        <v>2619.5</v>
      </c>
      <c r="BH59" s="210">
        <v>0</v>
      </c>
      <c r="BI59" s="210">
        <v>11726.87</v>
      </c>
      <c r="BJ59" s="210">
        <v>1261.02</v>
      </c>
      <c r="BK59" s="210">
        <v>19255.509999999998</v>
      </c>
      <c r="BL59" s="210">
        <v>11178.650000000003</v>
      </c>
      <c r="BM59" s="210">
        <v>0</v>
      </c>
      <c r="BN59" s="210">
        <v>0</v>
      </c>
      <c r="BO59" s="210">
        <v>0</v>
      </c>
      <c r="BP59" s="210">
        <v>0</v>
      </c>
      <c r="BQ59" s="211">
        <v>-4630</v>
      </c>
      <c r="BR59" s="211">
        <v>0</v>
      </c>
      <c r="BS59" s="211">
        <v>0</v>
      </c>
      <c r="BT59" s="212">
        <v>0</v>
      </c>
      <c r="BU59" s="212">
        <v>6929.32</v>
      </c>
      <c r="BV59" s="212">
        <v>0</v>
      </c>
      <c r="BW59" s="212">
        <v>0</v>
      </c>
      <c r="BX59" s="212">
        <v>0</v>
      </c>
      <c r="BY59" s="212">
        <v>0</v>
      </c>
      <c r="BZ59" s="212">
        <v>0</v>
      </c>
      <c r="CA59" s="212">
        <v>0</v>
      </c>
      <c r="CB59" s="212">
        <v>0</v>
      </c>
      <c r="CC59" s="224">
        <v>-36698.580000000045</v>
      </c>
      <c r="CD59" s="213"/>
      <c r="CE59" s="211">
        <v>26866.279999999955</v>
      </c>
      <c r="CF59" s="211">
        <v>6353.25</v>
      </c>
      <c r="CG59" s="211">
        <v>0</v>
      </c>
      <c r="CH59" s="211">
        <v>3479.05</v>
      </c>
      <c r="CI59" s="211">
        <v>0</v>
      </c>
      <c r="CJ59" s="211">
        <v>0</v>
      </c>
      <c r="CK59" s="211">
        <v>36698.579999999958</v>
      </c>
      <c r="CL59" s="201"/>
      <c r="CM59" s="201">
        <f t="shared" si="10"/>
        <v>-8.7311491370201111E-11</v>
      </c>
      <c r="CN59" s="340">
        <f t="shared" si="11"/>
        <v>26866.279999999955</v>
      </c>
      <c r="CO59" s="340">
        <f t="shared" si="12"/>
        <v>6353.25</v>
      </c>
      <c r="CP59" s="340">
        <f t="shared" si="13"/>
        <v>0</v>
      </c>
      <c r="CQ59" s="340">
        <f t="shared" si="14"/>
        <v>3479.05</v>
      </c>
      <c r="CR59" s="340">
        <f t="shared" si="15"/>
        <v>0</v>
      </c>
      <c r="CS59" s="340">
        <f t="shared" si="16"/>
        <v>0</v>
      </c>
      <c r="CT59" s="90">
        <f t="shared" si="17"/>
        <v>36698.579999999958</v>
      </c>
      <c r="CV59" s="90">
        <f t="shared" si="9"/>
        <v>0</v>
      </c>
    </row>
    <row r="60" spans="1:100">
      <c r="A60" s="325">
        <v>609</v>
      </c>
      <c r="B60" s="325" t="s">
        <v>265</v>
      </c>
      <c r="C60" s="209">
        <v>-120573.81</v>
      </c>
      <c r="D60" s="209">
        <v>-10391.84</v>
      </c>
      <c r="E60" s="209">
        <v>0</v>
      </c>
      <c r="F60" s="209">
        <v>-24567.279999999999</v>
      </c>
      <c r="G60" s="209">
        <v>0</v>
      </c>
      <c r="H60" s="209">
        <v>0</v>
      </c>
      <c r="I60" s="223">
        <v>-502558.35</v>
      </c>
      <c r="J60" s="223">
        <v>0</v>
      </c>
      <c r="K60" s="223">
        <v>-11960</v>
      </c>
      <c r="L60" s="223">
        <v>0</v>
      </c>
      <c r="M60" s="223">
        <v>0</v>
      </c>
      <c r="N60" s="223">
        <v>-2000</v>
      </c>
      <c r="O60" s="223">
        <v>-1575</v>
      </c>
      <c r="P60" s="223">
        <v>0</v>
      </c>
      <c r="Q60" s="223">
        <v>-18868.39</v>
      </c>
      <c r="R60" s="223">
        <v>0</v>
      </c>
      <c r="S60" s="223">
        <v>0</v>
      </c>
      <c r="T60" s="223">
        <v>0</v>
      </c>
      <c r="U60" s="223">
        <v>-9346.07</v>
      </c>
      <c r="V60" s="223">
        <v>-20000</v>
      </c>
      <c r="W60" s="223">
        <v>0</v>
      </c>
      <c r="X60" s="223">
        <v>0</v>
      </c>
      <c r="Y60" s="223">
        <v>-232</v>
      </c>
      <c r="Z60" s="223">
        <v>0</v>
      </c>
      <c r="AA60" s="223">
        <v>0</v>
      </c>
      <c r="AB60" s="223">
        <v>-421.25</v>
      </c>
      <c r="AC60" s="223">
        <v>-28375</v>
      </c>
      <c r="AD60" s="210">
        <v>271862.03000000003</v>
      </c>
      <c r="AE60" s="210">
        <v>2532.4900000000002</v>
      </c>
      <c r="AF60" s="210">
        <v>93844.449999999983</v>
      </c>
      <c r="AG60" s="210">
        <v>0</v>
      </c>
      <c r="AH60" s="210">
        <v>58759.62000000001</v>
      </c>
      <c r="AI60" s="210">
        <v>0</v>
      </c>
      <c r="AJ60" s="210">
        <v>4370.79</v>
      </c>
      <c r="AK60" s="210">
        <v>1678.07</v>
      </c>
      <c r="AL60" s="210">
        <v>4401</v>
      </c>
      <c r="AM60" s="210">
        <v>2680.5</v>
      </c>
      <c r="AN60" s="210">
        <v>0</v>
      </c>
      <c r="AO60" s="210">
        <v>9596.2999999999993</v>
      </c>
      <c r="AP60" s="210">
        <v>575.25</v>
      </c>
      <c r="AQ60" s="210">
        <v>19591.39</v>
      </c>
      <c r="AR60" s="210">
        <v>2235.1</v>
      </c>
      <c r="AS60" s="210">
        <v>19233.66</v>
      </c>
      <c r="AT60" s="210">
        <v>4787.87</v>
      </c>
      <c r="AU60" s="210">
        <v>15479.48</v>
      </c>
      <c r="AV60" s="210">
        <v>41672.519999999997</v>
      </c>
      <c r="AW60" s="312">
        <v>583.46</v>
      </c>
      <c r="AX60" s="210">
        <v>1440.44</v>
      </c>
      <c r="AY60" s="210">
        <v>0</v>
      </c>
      <c r="AZ60" s="210">
        <v>0</v>
      </c>
      <c r="BA60" s="210">
        <v>0</v>
      </c>
      <c r="BB60" s="210">
        <v>0</v>
      </c>
      <c r="BC60" s="210">
        <v>0</v>
      </c>
      <c r="BD60" s="210">
        <v>3460</v>
      </c>
      <c r="BE60" s="210">
        <v>0</v>
      </c>
      <c r="BF60" s="210">
        <v>5902.7</v>
      </c>
      <c r="BG60" s="210">
        <v>3667.3</v>
      </c>
      <c r="BH60" s="210">
        <v>0</v>
      </c>
      <c r="BI60" s="210">
        <v>12611.05</v>
      </c>
      <c r="BJ60" s="210">
        <v>0</v>
      </c>
      <c r="BK60" s="210">
        <v>10985.16</v>
      </c>
      <c r="BL60" s="210">
        <v>22999.03</v>
      </c>
      <c r="BM60" s="210">
        <v>0</v>
      </c>
      <c r="BN60" s="210">
        <v>0</v>
      </c>
      <c r="BO60" s="210">
        <v>0</v>
      </c>
      <c r="BP60" s="210">
        <v>0</v>
      </c>
      <c r="BQ60" s="211">
        <v>-4720</v>
      </c>
      <c r="BR60" s="211">
        <v>0</v>
      </c>
      <c r="BS60" s="211">
        <v>0</v>
      </c>
      <c r="BT60" s="212">
        <v>0</v>
      </c>
      <c r="BU60" s="212">
        <v>42854.3</v>
      </c>
      <c r="BV60" s="212">
        <v>0</v>
      </c>
      <c r="BW60" s="212">
        <v>0</v>
      </c>
      <c r="BX60" s="212">
        <v>0</v>
      </c>
      <c r="BY60" s="212">
        <v>0</v>
      </c>
      <c r="BZ60" s="212">
        <v>0</v>
      </c>
      <c r="CA60" s="212">
        <v>9090.3000000000011</v>
      </c>
      <c r="CB60" s="212">
        <v>0</v>
      </c>
      <c r="CC60" s="224">
        <v>-88694.730000000069</v>
      </c>
      <c r="CD60" s="213"/>
      <c r="CE60" s="211">
        <v>83478.649999999951</v>
      </c>
      <c r="CF60" s="211">
        <v>5216.08</v>
      </c>
      <c r="CG60" s="211">
        <v>0</v>
      </c>
      <c r="CH60" s="211">
        <v>-7.2759576141834259E-12</v>
      </c>
      <c r="CI60" s="211">
        <v>0</v>
      </c>
      <c r="CJ60" s="211">
        <v>0</v>
      </c>
      <c r="CK60" s="211">
        <v>88694.729999999952</v>
      </c>
      <c r="CL60" s="201"/>
      <c r="CM60" s="201">
        <f t="shared" si="10"/>
        <v>-1.1641532182693481E-10</v>
      </c>
      <c r="CN60" s="340">
        <f t="shared" si="11"/>
        <v>83478.649999999951</v>
      </c>
      <c r="CO60" s="340">
        <f t="shared" si="12"/>
        <v>5216.08</v>
      </c>
      <c r="CP60" s="340">
        <f t="shared" si="13"/>
        <v>0</v>
      </c>
      <c r="CQ60" s="340">
        <f t="shared" si="14"/>
        <v>-7.2759576141834259E-12</v>
      </c>
      <c r="CR60" s="340">
        <f t="shared" si="15"/>
        <v>0</v>
      </c>
      <c r="CS60" s="340">
        <f t="shared" si="16"/>
        <v>0</v>
      </c>
      <c r="CT60" s="90">
        <f t="shared" si="17"/>
        <v>88694.729999999952</v>
      </c>
      <c r="CV60" s="90">
        <f t="shared" si="9"/>
        <v>0</v>
      </c>
    </row>
    <row r="61" spans="1:100">
      <c r="A61" s="325">
        <v>610</v>
      </c>
      <c r="B61" s="325" t="s">
        <v>262</v>
      </c>
      <c r="C61" s="209">
        <v>69983.33</v>
      </c>
      <c r="D61" s="209">
        <v>0</v>
      </c>
      <c r="E61" s="209">
        <v>0</v>
      </c>
      <c r="F61" s="209">
        <v>-1106.8499999999999</v>
      </c>
      <c r="G61" s="209">
        <v>0</v>
      </c>
      <c r="H61" s="209">
        <v>53403.3</v>
      </c>
      <c r="I61" s="223">
        <v>-2036486.8800000001</v>
      </c>
      <c r="J61" s="223">
        <v>0</v>
      </c>
      <c r="K61" s="223">
        <v>-305492</v>
      </c>
      <c r="L61" s="223">
        <v>0</v>
      </c>
      <c r="M61" s="223">
        <v>-151801.5</v>
      </c>
      <c r="N61" s="223">
        <v>-600</v>
      </c>
      <c r="O61" s="223">
        <v>0</v>
      </c>
      <c r="P61" s="223">
        <v>0</v>
      </c>
      <c r="Q61" s="223">
        <v>-61673.74</v>
      </c>
      <c r="R61" s="223">
        <v>-25110.699999999997</v>
      </c>
      <c r="S61" s="223">
        <v>0</v>
      </c>
      <c r="T61" s="223">
        <v>0</v>
      </c>
      <c r="U61" s="223">
        <v>-23295.399999999998</v>
      </c>
      <c r="V61" s="223">
        <v>-4074.7900000000004</v>
      </c>
      <c r="W61" s="223">
        <v>0</v>
      </c>
      <c r="X61" s="223">
        <v>-135012.06999999998</v>
      </c>
      <c r="Y61" s="223">
        <v>-12906.1</v>
      </c>
      <c r="Z61" s="223">
        <v>0</v>
      </c>
      <c r="AA61" s="223">
        <v>0</v>
      </c>
      <c r="AB61" s="223">
        <v>-5013.76</v>
      </c>
      <c r="AC61" s="223">
        <v>-90594</v>
      </c>
      <c r="AD61" s="210">
        <v>1176486.32</v>
      </c>
      <c r="AE61" s="210">
        <v>5120.6900000000005</v>
      </c>
      <c r="AF61" s="210">
        <v>710022.46999999986</v>
      </c>
      <c r="AG61" s="210">
        <v>47183.4</v>
      </c>
      <c r="AH61" s="210">
        <v>160657.93</v>
      </c>
      <c r="AI61" s="210">
        <v>0</v>
      </c>
      <c r="AJ61" s="210">
        <v>91196.62999999999</v>
      </c>
      <c r="AK61" s="210">
        <v>16742.329999999998</v>
      </c>
      <c r="AL61" s="210">
        <v>2551</v>
      </c>
      <c r="AM61" s="210">
        <v>1159</v>
      </c>
      <c r="AN61" s="210">
        <v>0</v>
      </c>
      <c r="AO61" s="210">
        <v>23309.069999999996</v>
      </c>
      <c r="AP61" s="210">
        <v>9007.2799999999988</v>
      </c>
      <c r="AQ61" s="210">
        <v>65332.509999999995</v>
      </c>
      <c r="AR61" s="210">
        <v>6412.31</v>
      </c>
      <c r="AS61" s="210">
        <v>47181.86</v>
      </c>
      <c r="AT61" s="210">
        <v>17052.75</v>
      </c>
      <c r="AU61" s="210">
        <v>6279.24</v>
      </c>
      <c r="AV61" s="210">
        <v>100590.22</v>
      </c>
      <c r="AW61" s="312">
        <v>0</v>
      </c>
      <c r="AX61" s="210">
        <v>4462.6100000000006</v>
      </c>
      <c r="AY61" s="210">
        <v>0</v>
      </c>
      <c r="AZ61" s="210">
        <v>0</v>
      </c>
      <c r="BA61" s="210">
        <v>0</v>
      </c>
      <c r="BB61" s="210">
        <v>1396.75</v>
      </c>
      <c r="BC61" s="210">
        <v>0</v>
      </c>
      <c r="BD61" s="210">
        <v>8476.4</v>
      </c>
      <c r="BE61" s="210">
        <v>0</v>
      </c>
      <c r="BF61" s="210">
        <v>10052.169999999998</v>
      </c>
      <c r="BG61" s="210">
        <v>19908.2</v>
      </c>
      <c r="BH61" s="210">
        <v>0</v>
      </c>
      <c r="BI61" s="210">
        <v>108355.36</v>
      </c>
      <c r="BJ61" s="210">
        <v>47798.009999999995</v>
      </c>
      <c r="BK61" s="210">
        <v>85172.4</v>
      </c>
      <c r="BL61" s="210">
        <v>33933.509999999995</v>
      </c>
      <c r="BM61" s="210">
        <v>0</v>
      </c>
      <c r="BN61" s="210">
        <v>0</v>
      </c>
      <c r="BO61" s="210">
        <v>106102.68000000002</v>
      </c>
      <c r="BP61" s="210">
        <v>12715.37</v>
      </c>
      <c r="BQ61" s="211">
        <v>-12196.25</v>
      </c>
      <c r="BR61" s="211">
        <v>0</v>
      </c>
      <c r="BS61" s="211">
        <v>0</v>
      </c>
      <c r="BT61" s="212">
        <v>0</v>
      </c>
      <c r="BU61" s="212">
        <v>1180.3800000000001</v>
      </c>
      <c r="BV61" s="212">
        <v>0</v>
      </c>
      <c r="BW61" s="212">
        <v>0</v>
      </c>
      <c r="BX61" s="212">
        <v>0</v>
      </c>
      <c r="BY61" s="212">
        <v>0</v>
      </c>
      <c r="BZ61" s="212">
        <v>0</v>
      </c>
      <c r="CA61" s="212">
        <v>9216.75</v>
      </c>
      <c r="CB61" s="212">
        <v>576</v>
      </c>
      <c r="CC61" s="224">
        <v>193654.18999999977</v>
      </c>
      <c r="CD61" s="213"/>
      <c r="CE61" s="211">
        <v>-171680.97999999975</v>
      </c>
      <c r="CF61" s="211">
        <v>0</v>
      </c>
      <c r="CG61" s="211">
        <v>0</v>
      </c>
      <c r="CH61" s="211">
        <v>2329.9699999999989</v>
      </c>
      <c r="CI61" s="211">
        <v>0</v>
      </c>
      <c r="CJ61" s="211">
        <v>-24303.180000000037</v>
      </c>
      <c r="CK61" s="211">
        <v>-193654.18999999977</v>
      </c>
      <c r="CL61" s="201"/>
      <c r="CM61" s="201">
        <f t="shared" si="10"/>
        <v>0</v>
      </c>
      <c r="CN61" s="340">
        <f t="shared" si="11"/>
        <v>-171680.97999999975</v>
      </c>
      <c r="CO61" s="340">
        <f t="shared" si="12"/>
        <v>0</v>
      </c>
      <c r="CP61" s="340">
        <f t="shared" si="13"/>
        <v>0</v>
      </c>
      <c r="CQ61" s="340">
        <f t="shared" si="14"/>
        <v>2329.9699999999989</v>
      </c>
      <c r="CR61" s="340">
        <f t="shared" si="15"/>
        <v>0</v>
      </c>
      <c r="CS61" s="340">
        <f t="shared" si="16"/>
        <v>-24303.180000000037</v>
      </c>
      <c r="CT61" s="90">
        <f t="shared" si="17"/>
        <v>-193654.18999999977</v>
      </c>
      <c r="CV61" s="90">
        <f t="shared" si="9"/>
        <v>0</v>
      </c>
    </row>
    <row r="62" spans="1:100">
      <c r="A62" s="325">
        <v>616</v>
      </c>
      <c r="B62" s="325" t="s">
        <v>257</v>
      </c>
      <c r="C62" s="209">
        <v>-47720.89</v>
      </c>
      <c r="D62" s="209">
        <v>-5699.47</v>
      </c>
      <c r="E62" s="209">
        <v>0</v>
      </c>
      <c r="F62" s="209">
        <v>0</v>
      </c>
      <c r="G62" s="209">
        <v>0</v>
      </c>
      <c r="H62" s="209">
        <v>0</v>
      </c>
      <c r="I62" s="223">
        <v>-439648.62</v>
      </c>
      <c r="J62" s="223">
        <v>0</v>
      </c>
      <c r="K62" s="223">
        <v>-24028</v>
      </c>
      <c r="L62" s="223">
        <v>0</v>
      </c>
      <c r="M62" s="223">
        <v>-1820</v>
      </c>
      <c r="N62" s="223">
        <v>-47862.99</v>
      </c>
      <c r="O62" s="223">
        <v>0</v>
      </c>
      <c r="P62" s="223">
        <v>0</v>
      </c>
      <c r="Q62" s="223">
        <v>-13882.020000000002</v>
      </c>
      <c r="R62" s="223">
        <v>-3323.099999999999</v>
      </c>
      <c r="S62" s="223">
        <v>0</v>
      </c>
      <c r="T62" s="223">
        <v>0</v>
      </c>
      <c r="U62" s="223">
        <v>-8110.8399999999974</v>
      </c>
      <c r="V62" s="223">
        <v>-10913.140000000001</v>
      </c>
      <c r="W62" s="223">
        <v>0</v>
      </c>
      <c r="X62" s="223">
        <v>0</v>
      </c>
      <c r="Y62" s="223">
        <v>0</v>
      </c>
      <c r="Z62" s="223">
        <v>0</v>
      </c>
      <c r="AA62" s="223">
        <v>0</v>
      </c>
      <c r="AB62" s="223">
        <v>-421.25</v>
      </c>
      <c r="AC62" s="223">
        <v>-26599</v>
      </c>
      <c r="AD62" s="210">
        <v>232476.52999999997</v>
      </c>
      <c r="AE62" s="210">
        <v>1488.8599999999997</v>
      </c>
      <c r="AF62" s="210">
        <v>106925.64</v>
      </c>
      <c r="AG62" s="210">
        <v>0</v>
      </c>
      <c r="AH62" s="210">
        <v>31278.750000000004</v>
      </c>
      <c r="AI62" s="210">
        <v>0</v>
      </c>
      <c r="AJ62" s="210">
        <v>28714.55</v>
      </c>
      <c r="AK62" s="210">
        <v>392.83</v>
      </c>
      <c r="AL62" s="210">
        <v>1903.46</v>
      </c>
      <c r="AM62" s="210">
        <v>2792.71</v>
      </c>
      <c r="AN62" s="210">
        <v>0</v>
      </c>
      <c r="AO62" s="210">
        <v>12714.349999999997</v>
      </c>
      <c r="AP62" s="210">
        <v>0</v>
      </c>
      <c r="AQ62" s="210">
        <v>11080.109999999997</v>
      </c>
      <c r="AR62" s="210">
        <v>1463.87</v>
      </c>
      <c r="AS62" s="210">
        <v>7198.369999999999</v>
      </c>
      <c r="AT62" s="210">
        <v>843.16</v>
      </c>
      <c r="AU62" s="210">
        <v>1222.29</v>
      </c>
      <c r="AV62" s="210">
        <v>28053.449999999997</v>
      </c>
      <c r="AW62" s="312">
        <v>0</v>
      </c>
      <c r="AX62" s="210">
        <v>2199</v>
      </c>
      <c r="AY62" s="210">
        <v>0</v>
      </c>
      <c r="AZ62" s="210">
        <v>0</v>
      </c>
      <c r="BA62" s="210">
        <v>736.59999999999991</v>
      </c>
      <c r="BB62" s="210">
        <v>9117</v>
      </c>
      <c r="BC62" s="210">
        <v>0</v>
      </c>
      <c r="BD62" s="210">
        <v>4065</v>
      </c>
      <c r="BE62" s="210">
        <v>0</v>
      </c>
      <c r="BF62" s="210">
        <v>2741.2599999999993</v>
      </c>
      <c r="BG62" s="210">
        <v>3038.62</v>
      </c>
      <c r="BH62" s="210">
        <v>0</v>
      </c>
      <c r="BI62" s="210">
        <v>13287.269999999999</v>
      </c>
      <c r="BJ62" s="210">
        <v>369.27</v>
      </c>
      <c r="BK62" s="210">
        <v>6649.4</v>
      </c>
      <c r="BL62" s="210">
        <v>15406.15</v>
      </c>
      <c r="BM62" s="210">
        <v>0</v>
      </c>
      <c r="BN62" s="210">
        <v>0</v>
      </c>
      <c r="BO62" s="210">
        <v>0</v>
      </c>
      <c r="BP62" s="210">
        <v>0</v>
      </c>
      <c r="BQ62" s="211">
        <v>-11281.7</v>
      </c>
      <c r="BR62" s="211">
        <v>0</v>
      </c>
      <c r="BS62" s="211">
        <v>0</v>
      </c>
      <c r="BT62" s="212">
        <v>0</v>
      </c>
      <c r="BU62" s="212">
        <v>0</v>
      </c>
      <c r="BV62" s="212">
        <v>0</v>
      </c>
      <c r="BW62" s="212">
        <v>0</v>
      </c>
      <c r="BX62" s="212">
        <v>0</v>
      </c>
      <c r="BY62" s="212">
        <v>0</v>
      </c>
      <c r="BZ62" s="212">
        <v>0</v>
      </c>
      <c r="CA62" s="212">
        <v>0</v>
      </c>
      <c r="CB62" s="212">
        <v>0</v>
      </c>
      <c r="CC62" s="224">
        <v>-115152.52</v>
      </c>
      <c r="CD62" s="213"/>
      <c r="CE62" s="211">
        <v>80744.260000000009</v>
      </c>
      <c r="CF62" s="211">
        <v>32122.120000000003</v>
      </c>
      <c r="CG62" s="211">
        <v>0</v>
      </c>
      <c r="CH62" s="211">
        <v>2286.1400000000012</v>
      </c>
      <c r="CI62" s="211">
        <v>0</v>
      </c>
      <c r="CJ62" s="211">
        <v>0</v>
      </c>
      <c r="CK62" s="211">
        <v>115152.52</v>
      </c>
      <c r="CL62" s="201"/>
      <c r="CM62" s="201">
        <f t="shared" si="10"/>
        <v>0</v>
      </c>
      <c r="CN62" s="340">
        <f t="shared" si="11"/>
        <v>80744.260000000009</v>
      </c>
      <c r="CO62" s="340">
        <f t="shared" si="12"/>
        <v>32122.120000000003</v>
      </c>
      <c r="CP62" s="340">
        <f t="shared" si="13"/>
        <v>0</v>
      </c>
      <c r="CQ62" s="340">
        <f t="shared" si="14"/>
        <v>2286.1400000000012</v>
      </c>
      <c r="CR62" s="340">
        <f t="shared" si="15"/>
        <v>0</v>
      </c>
      <c r="CS62" s="340">
        <f t="shared" si="16"/>
        <v>0</v>
      </c>
      <c r="CT62" s="90">
        <f t="shared" si="17"/>
        <v>115152.52</v>
      </c>
      <c r="CV62" s="90">
        <f t="shared" si="9"/>
        <v>0</v>
      </c>
    </row>
    <row r="63" spans="1:100">
      <c r="A63" s="325">
        <v>619</v>
      </c>
      <c r="B63" s="325" t="s">
        <v>239</v>
      </c>
      <c r="C63" s="209">
        <v>-69273.039999999994</v>
      </c>
      <c r="D63" s="209">
        <v>-17433.54</v>
      </c>
      <c r="E63" s="209">
        <v>0</v>
      </c>
      <c r="F63" s="209">
        <v>-8578.7800000000007</v>
      </c>
      <c r="G63" s="209">
        <v>0</v>
      </c>
      <c r="H63" s="209">
        <v>-23439.88</v>
      </c>
      <c r="I63" s="223">
        <v>-517795.67</v>
      </c>
      <c r="J63" s="223">
        <v>0</v>
      </c>
      <c r="K63" s="223">
        <v>-25384</v>
      </c>
      <c r="L63" s="223">
        <v>0</v>
      </c>
      <c r="M63" s="223">
        <v>-5460</v>
      </c>
      <c r="N63" s="223">
        <v>-800</v>
      </c>
      <c r="O63" s="223">
        <v>0</v>
      </c>
      <c r="P63" s="223">
        <v>0</v>
      </c>
      <c r="Q63" s="223">
        <v>-20321.940000000002</v>
      </c>
      <c r="R63" s="223">
        <v>-7012.57</v>
      </c>
      <c r="S63" s="223">
        <v>0</v>
      </c>
      <c r="T63" s="223">
        <v>0</v>
      </c>
      <c r="U63" s="223">
        <v>-3943.2700000000004</v>
      </c>
      <c r="V63" s="223">
        <v>-8607.41</v>
      </c>
      <c r="W63" s="223">
        <v>0</v>
      </c>
      <c r="X63" s="223">
        <v>-31927.670000000002</v>
      </c>
      <c r="Y63" s="223">
        <v>-5211.6900000000005</v>
      </c>
      <c r="Z63" s="223">
        <v>0</v>
      </c>
      <c r="AA63" s="223">
        <v>0</v>
      </c>
      <c r="AB63" s="223">
        <v>-612.5</v>
      </c>
      <c r="AC63" s="223">
        <v>-31120</v>
      </c>
      <c r="AD63" s="210">
        <v>365021.83999999997</v>
      </c>
      <c r="AE63" s="210">
        <v>0</v>
      </c>
      <c r="AF63" s="210">
        <v>58538.319999999992</v>
      </c>
      <c r="AG63" s="210">
        <v>0</v>
      </c>
      <c r="AH63" s="210">
        <v>27912.29</v>
      </c>
      <c r="AI63" s="210">
        <v>0</v>
      </c>
      <c r="AJ63" s="210">
        <v>13199.579999999998</v>
      </c>
      <c r="AK63" s="210">
        <v>1805</v>
      </c>
      <c r="AL63" s="210">
        <v>850.5</v>
      </c>
      <c r="AM63" s="210">
        <v>231.8</v>
      </c>
      <c r="AN63" s="210">
        <v>0</v>
      </c>
      <c r="AO63" s="210">
        <v>5187.1400000000003</v>
      </c>
      <c r="AP63" s="210">
        <v>4034.8599999999992</v>
      </c>
      <c r="AQ63" s="210">
        <v>15438.390000000001</v>
      </c>
      <c r="AR63" s="210">
        <v>921.33000000000015</v>
      </c>
      <c r="AS63" s="210">
        <v>10695.59</v>
      </c>
      <c r="AT63" s="210">
        <v>6891.9</v>
      </c>
      <c r="AU63" s="210">
        <v>2017.61</v>
      </c>
      <c r="AV63" s="210">
        <v>27806.469999999994</v>
      </c>
      <c r="AW63" s="312">
        <v>3070.21</v>
      </c>
      <c r="AX63" s="210">
        <v>0</v>
      </c>
      <c r="AY63" s="210">
        <v>0</v>
      </c>
      <c r="AZ63" s="210">
        <v>0</v>
      </c>
      <c r="BA63" s="210">
        <v>0</v>
      </c>
      <c r="BB63" s="210">
        <v>499.99</v>
      </c>
      <c r="BC63" s="210">
        <v>0</v>
      </c>
      <c r="BD63" s="210">
        <v>3920</v>
      </c>
      <c r="BE63" s="210">
        <v>0</v>
      </c>
      <c r="BF63" s="210">
        <v>667.47</v>
      </c>
      <c r="BG63" s="210">
        <v>3981.6400000000003</v>
      </c>
      <c r="BH63" s="210">
        <v>0</v>
      </c>
      <c r="BI63" s="210">
        <v>24608.420000000002</v>
      </c>
      <c r="BJ63" s="210">
        <v>0</v>
      </c>
      <c r="BK63" s="210">
        <v>12832.98</v>
      </c>
      <c r="BL63" s="210">
        <v>19418.63</v>
      </c>
      <c r="BM63" s="210">
        <v>0</v>
      </c>
      <c r="BN63" s="210">
        <v>0</v>
      </c>
      <c r="BO63" s="210">
        <v>30278.470000000005</v>
      </c>
      <c r="BP63" s="210">
        <v>7940.74</v>
      </c>
      <c r="BQ63" s="211">
        <v>-4810</v>
      </c>
      <c r="BR63" s="211">
        <v>0</v>
      </c>
      <c r="BS63" s="211">
        <v>0</v>
      </c>
      <c r="BT63" s="212">
        <v>0</v>
      </c>
      <c r="BU63" s="212">
        <v>0</v>
      </c>
      <c r="BV63" s="212">
        <v>0</v>
      </c>
      <c r="BW63" s="212">
        <v>0</v>
      </c>
      <c r="BX63" s="212">
        <v>0</v>
      </c>
      <c r="BY63" s="212">
        <v>0</v>
      </c>
      <c r="BZ63" s="212">
        <v>0</v>
      </c>
      <c r="CA63" s="212">
        <v>0</v>
      </c>
      <c r="CB63" s="212">
        <v>0</v>
      </c>
      <c r="CC63" s="224">
        <v>-133960.7899999998</v>
      </c>
      <c r="CD63" s="213"/>
      <c r="CE63" s="211">
        <v>86162.680000000037</v>
      </c>
      <c r="CF63" s="211">
        <v>12591.3</v>
      </c>
      <c r="CG63" s="211">
        <v>0</v>
      </c>
      <c r="CH63" s="211">
        <v>13388.78</v>
      </c>
      <c r="CI63" s="211">
        <v>0</v>
      </c>
      <c r="CJ63" s="211">
        <v>21818.03</v>
      </c>
      <c r="CK63" s="211">
        <v>133960.79000000004</v>
      </c>
      <c r="CL63" s="201"/>
      <c r="CM63" s="201">
        <f t="shared" si="10"/>
        <v>2.3283064365386963E-10</v>
      </c>
      <c r="CN63" s="340">
        <f t="shared" si="11"/>
        <v>86162.680000000037</v>
      </c>
      <c r="CO63" s="340">
        <f t="shared" si="12"/>
        <v>12591.3</v>
      </c>
      <c r="CP63" s="340">
        <f t="shared" si="13"/>
        <v>0</v>
      </c>
      <c r="CQ63" s="340">
        <f t="shared" si="14"/>
        <v>13388.78</v>
      </c>
      <c r="CR63" s="340">
        <f t="shared" si="15"/>
        <v>0</v>
      </c>
      <c r="CS63" s="340">
        <f t="shared" si="16"/>
        <v>21818.03</v>
      </c>
      <c r="CT63" s="90">
        <f t="shared" si="17"/>
        <v>133960.79000000004</v>
      </c>
      <c r="CV63" s="90">
        <f t="shared" si="9"/>
        <v>0</v>
      </c>
    </row>
    <row r="64" spans="1:100">
      <c r="A64" s="325">
        <v>620</v>
      </c>
      <c r="B64" s="325" t="s">
        <v>249</v>
      </c>
      <c r="C64" s="209">
        <v>-77949.2</v>
      </c>
      <c r="D64" s="209">
        <v>-17995.14</v>
      </c>
      <c r="E64" s="209">
        <v>0</v>
      </c>
      <c r="F64" s="209">
        <v>-9313.51</v>
      </c>
      <c r="G64" s="209">
        <v>0</v>
      </c>
      <c r="H64" s="209">
        <v>0</v>
      </c>
      <c r="I64" s="223">
        <v>-719232.42</v>
      </c>
      <c r="J64" s="223">
        <v>0</v>
      </c>
      <c r="K64" s="223">
        <v>-52351</v>
      </c>
      <c r="L64" s="223">
        <v>0</v>
      </c>
      <c r="M64" s="223">
        <v>-45960</v>
      </c>
      <c r="N64" s="223">
        <v>-1000</v>
      </c>
      <c r="O64" s="223">
        <v>-5208</v>
      </c>
      <c r="P64" s="223">
        <v>0</v>
      </c>
      <c r="Q64" s="223">
        <v>-11477.56</v>
      </c>
      <c r="R64" s="223">
        <v>0</v>
      </c>
      <c r="S64" s="223">
        <v>-12671.1</v>
      </c>
      <c r="T64" s="223">
        <v>-6242.5</v>
      </c>
      <c r="U64" s="223">
        <v>-544.91</v>
      </c>
      <c r="V64" s="223">
        <v>0</v>
      </c>
      <c r="W64" s="223">
        <v>0</v>
      </c>
      <c r="X64" s="223">
        <v>0</v>
      </c>
      <c r="Y64" s="223">
        <v>0</v>
      </c>
      <c r="Z64" s="223">
        <v>0</v>
      </c>
      <c r="AA64" s="223">
        <v>0</v>
      </c>
      <c r="AB64" s="223">
        <v>356.86999999999989</v>
      </c>
      <c r="AC64" s="223">
        <v>-44375</v>
      </c>
      <c r="AD64" s="210">
        <v>416350.74</v>
      </c>
      <c r="AE64" s="210">
        <v>44996.589999999989</v>
      </c>
      <c r="AF64" s="210">
        <v>200459.80000000002</v>
      </c>
      <c r="AG64" s="210">
        <v>1067.76</v>
      </c>
      <c r="AH64" s="210">
        <v>51894.989999999991</v>
      </c>
      <c r="AI64" s="210">
        <v>0</v>
      </c>
      <c r="AJ64" s="210">
        <v>17100.699999999997</v>
      </c>
      <c r="AK64" s="210">
        <v>2818.71</v>
      </c>
      <c r="AL64" s="210">
        <v>2756.96</v>
      </c>
      <c r="AM64" s="210">
        <v>12634.45</v>
      </c>
      <c r="AN64" s="210">
        <v>0</v>
      </c>
      <c r="AO64" s="210">
        <v>11958.06</v>
      </c>
      <c r="AP64" s="210">
        <v>2014.5500000000002</v>
      </c>
      <c r="AQ64" s="210">
        <v>23416.789999999997</v>
      </c>
      <c r="AR64" s="210">
        <v>4324.92</v>
      </c>
      <c r="AS64" s="210">
        <v>17311.940000000002</v>
      </c>
      <c r="AT64" s="210">
        <v>23641.99</v>
      </c>
      <c r="AU64" s="210">
        <v>1659.85</v>
      </c>
      <c r="AV64" s="210">
        <v>35679.020000000004</v>
      </c>
      <c r="AW64" s="312">
        <v>363.99999999999989</v>
      </c>
      <c r="AX64" s="210">
        <v>0</v>
      </c>
      <c r="AY64" s="210">
        <v>599</v>
      </c>
      <c r="AZ64" s="210">
        <v>876.57</v>
      </c>
      <c r="BA64" s="210">
        <v>370</v>
      </c>
      <c r="BB64" s="210">
        <v>0</v>
      </c>
      <c r="BC64" s="210">
        <v>24.8</v>
      </c>
      <c r="BD64" s="210">
        <v>1150</v>
      </c>
      <c r="BE64" s="210">
        <v>0</v>
      </c>
      <c r="BF64" s="210">
        <v>6331.9200000000019</v>
      </c>
      <c r="BG64" s="210">
        <v>6024.85</v>
      </c>
      <c r="BH64" s="210">
        <v>0</v>
      </c>
      <c r="BI64" s="210">
        <v>39639.29</v>
      </c>
      <c r="BJ64" s="210">
        <v>48358.94</v>
      </c>
      <c r="BK64" s="210">
        <v>9993.0400000000009</v>
      </c>
      <c r="BL64" s="210">
        <v>17554.150000000001</v>
      </c>
      <c r="BM64" s="210">
        <v>0</v>
      </c>
      <c r="BN64" s="210">
        <v>0</v>
      </c>
      <c r="BO64" s="210">
        <v>0</v>
      </c>
      <c r="BP64" s="210">
        <v>0</v>
      </c>
      <c r="BQ64" s="211">
        <v>-5608.75</v>
      </c>
      <c r="BR64" s="211">
        <v>0</v>
      </c>
      <c r="BS64" s="211">
        <v>0</v>
      </c>
      <c r="BT64" s="212">
        <v>0</v>
      </c>
      <c r="BU64" s="212">
        <v>0</v>
      </c>
      <c r="BV64" s="212">
        <v>0</v>
      </c>
      <c r="BW64" s="212">
        <v>0</v>
      </c>
      <c r="BX64" s="212">
        <v>0</v>
      </c>
      <c r="BY64" s="212">
        <v>0</v>
      </c>
      <c r="BZ64" s="212">
        <v>0</v>
      </c>
      <c r="CA64" s="212">
        <v>0</v>
      </c>
      <c r="CB64" s="212">
        <v>0</v>
      </c>
      <c r="CC64" s="224">
        <v>-8197.8400000000256</v>
      </c>
      <c r="CD64" s="213"/>
      <c r="CE64" s="211">
        <v>-18991.819999999781</v>
      </c>
      <c r="CF64" s="211">
        <v>12267.400000000001</v>
      </c>
      <c r="CG64" s="211">
        <v>0</v>
      </c>
      <c r="CH64" s="211">
        <v>14922.26</v>
      </c>
      <c r="CI64" s="211">
        <v>0</v>
      </c>
      <c r="CJ64" s="211">
        <v>0</v>
      </c>
      <c r="CK64" s="211">
        <v>8197.8400000002202</v>
      </c>
      <c r="CL64" s="201"/>
      <c r="CM64" s="201">
        <f t="shared" si="10"/>
        <v>1.9463186617940664E-10</v>
      </c>
      <c r="CN64" s="340">
        <f t="shared" si="11"/>
        <v>-18991.819999999781</v>
      </c>
      <c r="CO64" s="340">
        <f t="shared" si="12"/>
        <v>12267.400000000001</v>
      </c>
      <c r="CP64" s="340">
        <f t="shared" si="13"/>
        <v>0</v>
      </c>
      <c r="CQ64" s="340">
        <f t="shared" si="14"/>
        <v>14922.26</v>
      </c>
      <c r="CR64" s="340">
        <f t="shared" si="15"/>
        <v>0</v>
      </c>
      <c r="CS64" s="340">
        <f t="shared" si="16"/>
        <v>0</v>
      </c>
      <c r="CT64" s="90">
        <f t="shared" si="17"/>
        <v>8197.8400000002202</v>
      </c>
      <c r="CV64" s="90">
        <f t="shared" si="9"/>
        <v>0</v>
      </c>
    </row>
    <row r="65" spans="1:100">
      <c r="A65" s="325">
        <v>622</v>
      </c>
      <c r="B65" s="325" t="s">
        <v>996</v>
      </c>
      <c r="C65" s="209">
        <v>-26672.18</v>
      </c>
      <c r="D65" s="209">
        <v>-5705.3</v>
      </c>
      <c r="E65" s="209">
        <v>0</v>
      </c>
      <c r="F65" s="209">
        <v>-1543.17</v>
      </c>
      <c r="G65" s="209">
        <v>0</v>
      </c>
      <c r="H65" s="209">
        <v>0</v>
      </c>
      <c r="I65" s="223">
        <v>-319049.63</v>
      </c>
      <c r="J65" s="223">
        <v>0</v>
      </c>
      <c r="K65" s="223">
        <v>-23043</v>
      </c>
      <c r="L65" s="223">
        <v>0</v>
      </c>
      <c r="M65" s="223">
        <v>-8190</v>
      </c>
      <c r="N65" s="223">
        <v>-856.93</v>
      </c>
      <c r="O65" s="223">
        <v>0</v>
      </c>
      <c r="P65" s="223">
        <v>0</v>
      </c>
      <c r="Q65" s="223">
        <v>-9144.1899999999987</v>
      </c>
      <c r="R65" s="223">
        <v>0</v>
      </c>
      <c r="S65" s="223">
        <v>0</v>
      </c>
      <c r="T65" s="223">
        <v>0</v>
      </c>
      <c r="U65" s="223">
        <v>-4424.17</v>
      </c>
      <c r="V65" s="223">
        <v>-2953.75</v>
      </c>
      <c r="W65" s="223">
        <v>0</v>
      </c>
      <c r="X65" s="223">
        <v>0</v>
      </c>
      <c r="Y65" s="223">
        <v>0</v>
      </c>
      <c r="Z65" s="223">
        <v>0</v>
      </c>
      <c r="AA65" s="223">
        <v>0</v>
      </c>
      <c r="AB65" s="223">
        <v>-696.88</v>
      </c>
      <c r="AC65" s="223">
        <v>-25787</v>
      </c>
      <c r="AD65" s="210">
        <v>194161.66000000003</v>
      </c>
      <c r="AE65" s="210">
        <v>10844.46</v>
      </c>
      <c r="AF65" s="210">
        <v>66592.08</v>
      </c>
      <c r="AG65" s="210">
        <v>0</v>
      </c>
      <c r="AH65" s="210">
        <v>35520.44</v>
      </c>
      <c r="AI65" s="210">
        <v>0</v>
      </c>
      <c r="AJ65" s="210">
        <v>0</v>
      </c>
      <c r="AK65" s="210">
        <v>1491.25</v>
      </c>
      <c r="AL65" s="210">
        <v>2260.41</v>
      </c>
      <c r="AM65" s="210">
        <v>2603.33</v>
      </c>
      <c r="AN65" s="210">
        <v>615</v>
      </c>
      <c r="AO65" s="210">
        <v>2144.4499999999998</v>
      </c>
      <c r="AP65" s="210">
        <v>1362.1799999999998</v>
      </c>
      <c r="AQ65" s="210">
        <v>7644.65</v>
      </c>
      <c r="AR65" s="210">
        <v>627.33999999999992</v>
      </c>
      <c r="AS65" s="210">
        <v>9376.260000000002</v>
      </c>
      <c r="AT65" s="210">
        <v>2708.58</v>
      </c>
      <c r="AU65" s="210">
        <v>1363.45</v>
      </c>
      <c r="AV65" s="210">
        <v>20514.840000000004</v>
      </c>
      <c r="AW65" s="312">
        <v>0</v>
      </c>
      <c r="AX65" s="210">
        <v>2274</v>
      </c>
      <c r="AY65" s="210">
        <v>0</v>
      </c>
      <c r="AZ65" s="210">
        <v>2.6400000000000006</v>
      </c>
      <c r="BA65" s="210">
        <v>629.28</v>
      </c>
      <c r="BB65" s="210">
        <v>2984.12</v>
      </c>
      <c r="BC65" s="210">
        <v>0</v>
      </c>
      <c r="BD65" s="210">
        <v>2274.98</v>
      </c>
      <c r="BE65" s="210">
        <v>0</v>
      </c>
      <c r="BF65" s="210">
        <v>941.54</v>
      </c>
      <c r="BG65" s="210">
        <v>2088.6799999999998</v>
      </c>
      <c r="BH65" s="210">
        <v>0</v>
      </c>
      <c r="BI65" s="210">
        <v>9649.18</v>
      </c>
      <c r="BJ65" s="210">
        <v>0</v>
      </c>
      <c r="BK65" s="210">
        <v>2224.08</v>
      </c>
      <c r="BL65" s="210">
        <v>8284.2999999999993</v>
      </c>
      <c r="BM65" s="210">
        <v>0</v>
      </c>
      <c r="BN65" s="210">
        <v>0</v>
      </c>
      <c r="BO65" s="210">
        <v>0</v>
      </c>
      <c r="BP65" s="210">
        <v>0</v>
      </c>
      <c r="BQ65" s="211">
        <v>-4461.25</v>
      </c>
      <c r="BR65" s="211">
        <v>0</v>
      </c>
      <c r="BS65" s="211">
        <v>0</v>
      </c>
      <c r="BT65" s="212">
        <v>0</v>
      </c>
      <c r="BU65" s="212">
        <v>2610</v>
      </c>
      <c r="BV65" s="212">
        <v>0</v>
      </c>
      <c r="BW65" s="212">
        <v>0</v>
      </c>
      <c r="BX65" s="212">
        <v>0</v>
      </c>
      <c r="BY65" s="212">
        <v>0</v>
      </c>
      <c r="BZ65" s="212">
        <v>0</v>
      </c>
      <c r="CA65" s="212">
        <v>0</v>
      </c>
      <c r="CB65" s="212">
        <v>0</v>
      </c>
      <c r="CC65" s="224">
        <v>-38734.270000000004</v>
      </c>
      <c r="CD65" s="213"/>
      <c r="CE65" s="211"/>
      <c r="CF65" s="211"/>
      <c r="CG65" s="211"/>
      <c r="CH65" s="211"/>
      <c r="CI65" s="211"/>
      <c r="CJ65" s="211"/>
      <c r="CK65" s="211"/>
      <c r="CL65" s="201"/>
      <c r="CM65" s="201">
        <f t="shared" si="10"/>
        <v>-38734.270000000004</v>
      </c>
      <c r="CN65" s="340">
        <f t="shared" si="11"/>
        <v>0</v>
      </c>
      <c r="CO65" s="340">
        <f t="shared" si="12"/>
        <v>0</v>
      </c>
      <c r="CP65" s="340">
        <f t="shared" si="13"/>
        <v>0</v>
      </c>
      <c r="CQ65" s="340">
        <f t="shared" si="14"/>
        <v>0</v>
      </c>
      <c r="CR65" s="340">
        <f t="shared" si="15"/>
        <v>0</v>
      </c>
      <c r="CS65" s="340">
        <f t="shared" si="16"/>
        <v>0</v>
      </c>
      <c r="CT65" s="90">
        <f t="shared" si="17"/>
        <v>0</v>
      </c>
      <c r="CV65" s="90">
        <f t="shared" si="9"/>
        <v>0</v>
      </c>
    </row>
    <row r="66" spans="1:100">
      <c r="A66" s="325">
        <v>632</v>
      </c>
      <c r="B66" s="325" t="s">
        <v>439</v>
      </c>
      <c r="C66" s="209">
        <v>0</v>
      </c>
      <c r="D66" s="209">
        <v>0</v>
      </c>
      <c r="E66" s="209">
        <v>0</v>
      </c>
      <c r="F66" s="209">
        <v>0</v>
      </c>
      <c r="G66" s="209">
        <v>0</v>
      </c>
      <c r="H66" s="209">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3">
        <v>0</v>
      </c>
      <c r="AA66" s="223">
        <v>0</v>
      </c>
      <c r="AB66" s="223">
        <v>0</v>
      </c>
      <c r="AC66" s="223">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312"/>
      <c r="AX66" s="210">
        <v>0</v>
      </c>
      <c r="AY66" s="210">
        <v>0</v>
      </c>
      <c r="AZ66" s="210">
        <v>0</v>
      </c>
      <c r="BA66" s="210">
        <v>0</v>
      </c>
      <c r="BB66" s="210">
        <v>0</v>
      </c>
      <c r="BC66" s="210">
        <v>0</v>
      </c>
      <c r="BD66" s="210">
        <v>0</v>
      </c>
      <c r="BE66" s="210">
        <v>0</v>
      </c>
      <c r="BF66" s="210">
        <v>0</v>
      </c>
      <c r="BG66" s="210">
        <v>0</v>
      </c>
      <c r="BH66" s="210">
        <v>0</v>
      </c>
      <c r="BI66" s="210">
        <v>0</v>
      </c>
      <c r="BJ66" s="210">
        <v>0</v>
      </c>
      <c r="BK66" s="210">
        <v>0</v>
      </c>
      <c r="BL66" s="210">
        <v>0</v>
      </c>
      <c r="BM66" s="210">
        <v>0</v>
      </c>
      <c r="BN66" s="210">
        <v>0</v>
      </c>
      <c r="BO66" s="210">
        <v>0</v>
      </c>
      <c r="BP66" s="210">
        <v>0</v>
      </c>
      <c r="BQ66" s="211">
        <v>0</v>
      </c>
      <c r="BR66" s="211">
        <v>0</v>
      </c>
      <c r="BS66" s="211">
        <v>0</v>
      </c>
      <c r="BT66" s="212">
        <v>0</v>
      </c>
      <c r="BU66" s="212">
        <v>0</v>
      </c>
      <c r="BV66" s="212">
        <v>0</v>
      </c>
      <c r="BW66" s="212"/>
      <c r="BX66" s="212">
        <v>0</v>
      </c>
      <c r="BY66" s="212">
        <v>0</v>
      </c>
      <c r="BZ66" s="212">
        <v>0</v>
      </c>
      <c r="CA66" s="212">
        <v>0</v>
      </c>
      <c r="CB66" s="212">
        <v>0</v>
      </c>
      <c r="CC66" s="224"/>
      <c r="CD66" s="213"/>
      <c r="CE66" s="211"/>
      <c r="CF66" s="211"/>
      <c r="CG66" s="211"/>
      <c r="CH66" s="211"/>
      <c r="CI66" s="211"/>
      <c r="CJ66" s="211"/>
      <c r="CK66" s="211"/>
      <c r="CL66" s="201"/>
      <c r="CM66" s="201">
        <f t="shared" si="10"/>
        <v>0</v>
      </c>
      <c r="CN66" s="340">
        <f t="shared" si="11"/>
        <v>0</v>
      </c>
      <c r="CO66" s="340">
        <f t="shared" si="12"/>
        <v>0</v>
      </c>
      <c r="CP66" s="340">
        <f t="shared" si="13"/>
        <v>0</v>
      </c>
      <c r="CQ66" s="340">
        <f t="shared" si="14"/>
        <v>0</v>
      </c>
      <c r="CR66" s="340">
        <f t="shared" si="15"/>
        <v>0</v>
      </c>
      <c r="CS66" s="340">
        <f t="shared" si="16"/>
        <v>0</v>
      </c>
      <c r="CT66" s="90">
        <f t="shared" si="17"/>
        <v>0</v>
      </c>
      <c r="CV66" s="90">
        <f t="shared" si="9"/>
        <v>0</v>
      </c>
    </row>
    <row r="67" spans="1:100">
      <c r="A67" s="325">
        <v>633</v>
      </c>
      <c r="B67" s="325" t="s">
        <v>191</v>
      </c>
      <c r="C67" s="209">
        <v>-132825.82999999999</v>
      </c>
      <c r="D67" s="209">
        <v>-20510.64</v>
      </c>
      <c r="E67" s="209">
        <v>0</v>
      </c>
      <c r="F67" s="209">
        <v>-19615.71</v>
      </c>
      <c r="G67" s="209">
        <v>0</v>
      </c>
      <c r="H67" s="209">
        <v>0</v>
      </c>
      <c r="I67" s="223">
        <v>-378811.6</v>
      </c>
      <c r="J67" s="223">
        <v>0</v>
      </c>
      <c r="K67" s="223">
        <v>-4985</v>
      </c>
      <c r="L67" s="223">
        <v>0</v>
      </c>
      <c r="M67" s="223">
        <v>-7400</v>
      </c>
      <c r="N67" s="223">
        <v>-27800</v>
      </c>
      <c r="O67" s="223">
        <v>0</v>
      </c>
      <c r="P67" s="223">
        <v>0</v>
      </c>
      <c r="Q67" s="223">
        <v>-13839.93</v>
      </c>
      <c r="R67" s="223">
        <v>0</v>
      </c>
      <c r="S67" s="223">
        <v>0</v>
      </c>
      <c r="T67" s="223">
        <v>0</v>
      </c>
      <c r="U67" s="223">
        <v>-6905.6199999999972</v>
      </c>
      <c r="V67" s="223">
        <v>-5668.19</v>
      </c>
      <c r="W67" s="223">
        <v>0</v>
      </c>
      <c r="X67" s="223">
        <v>0</v>
      </c>
      <c r="Y67" s="223">
        <v>0</v>
      </c>
      <c r="Z67" s="223">
        <v>0</v>
      </c>
      <c r="AA67" s="223">
        <v>0</v>
      </c>
      <c r="AB67" s="223">
        <v>-185</v>
      </c>
      <c r="AC67" s="223">
        <v>-19908</v>
      </c>
      <c r="AD67" s="210">
        <v>272852.14999999991</v>
      </c>
      <c r="AE67" s="210">
        <v>1445.1999999999998</v>
      </c>
      <c r="AF67" s="210">
        <v>61474.679999999986</v>
      </c>
      <c r="AG67" s="210">
        <v>0</v>
      </c>
      <c r="AH67" s="210">
        <v>28399.270000000004</v>
      </c>
      <c r="AI67" s="210">
        <v>0</v>
      </c>
      <c r="AJ67" s="210">
        <v>23537.629999999997</v>
      </c>
      <c r="AK67" s="210">
        <v>1501.8</v>
      </c>
      <c r="AL67" s="210">
        <v>39.96</v>
      </c>
      <c r="AM67" s="210">
        <v>149.44999999999999</v>
      </c>
      <c r="AN67" s="210">
        <v>2504.34</v>
      </c>
      <c r="AO67" s="210">
        <v>2388.6</v>
      </c>
      <c r="AP67" s="210">
        <v>0</v>
      </c>
      <c r="AQ67" s="210">
        <v>7291.0999999999976</v>
      </c>
      <c r="AR67" s="210">
        <v>661.32000000000016</v>
      </c>
      <c r="AS67" s="210">
        <v>5469.9400000000005</v>
      </c>
      <c r="AT67" s="210">
        <v>3842.9</v>
      </c>
      <c r="AU67" s="210">
        <v>2564.5700000000002</v>
      </c>
      <c r="AV67" s="210">
        <v>17443.159999999996</v>
      </c>
      <c r="AW67" s="312">
        <v>0</v>
      </c>
      <c r="AX67" s="210">
        <v>1436.89</v>
      </c>
      <c r="AY67" s="210">
        <v>0</v>
      </c>
      <c r="AZ67" s="210">
        <v>0</v>
      </c>
      <c r="BA67" s="210">
        <v>0</v>
      </c>
      <c r="BB67" s="210">
        <v>0</v>
      </c>
      <c r="BC67" s="210">
        <v>2392.5100000000002</v>
      </c>
      <c r="BD67" s="210">
        <v>715</v>
      </c>
      <c r="BE67" s="210">
        <v>0</v>
      </c>
      <c r="BF67" s="210">
        <v>1123.5700000000002</v>
      </c>
      <c r="BG67" s="210">
        <v>2567.11</v>
      </c>
      <c r="BH67" s="210">
        <v>0</v>
      </c>
      <c r="BI67" s="210">
        <v>6439.59</v>
      </c>
      <c r="BJ67" s="210">
        <v>537</v>
      </c>
      <c r="BK67" s="210">
        <v>1980.4500000000003</v>
      </c>
      <c r="BL67" s="210">
        <v>11058.550000000003</v>
      </c>
      <c r="BM67" s="210">
        <v>0</v>
      </c>
      <c r="BN67" s="210">
        <v>0</v>
      </c>
      <c r="BO67" s="210">
        <v>0</v>
      </c>
      <c r="BP67" s="210">
        <v>0</v>
      </c>
      <c r="BQ67" s="211">
        <v>-4675</v>
      </c>
      <c r="BR67" s="211">
        <v>0</v>
      </c>
      <c r="BS67" s="211">
        <v>0</v>
      </c>
      <c r="BT67" s="212">
        <v>0</v>
      </c>
      <c r="BU67" s="212">
        <v>4970</v>
      </c>
      <c r="BV67" s="212">
        <v>0</v>
      </c>
      <c r="BW67" s="212">
        <v>0</v>
      </c>
      <c r="BX67" s="212">
        <v>0</v>
      </c>
      <c r="BY67" s="212">
        <v>0</v>
      </c>
      <c r="BZ67" s="212">
        <v>0</v>
      </c>
      <c r="CA67" s="212">
        <v>0</v>
      </c>
      <c r="CB67" s="212">
        <v>0</v>
      </c>
      <c r="CC67" s="224">
        <v>-178343.77999999991</v>
      </c>
      <c r="CD67" s="213"/>
      <c r="CE67" s="211">
        <v>122424.21000000006</v>
      </c>
      <c r="CF67" s="211">
        <v>38953.86</v>
      </c>
      <c r="CG67" s="211">
        <v>0</v>
      </c>
      <c r="CH67" s="211">
        <v>16965.71</v>
      </c>
      <c r="CI67" s="211">
        <v>0</v>
      </c>
      <c r="CJ67" s="211">
        <v>0</v>
      </c>
      <c r="CK67" s="211">
        <v>178343.78000000006</v>
      </c>
      <c r="CL67" s="201"/>
      <c r="CM67" s="201">
        <f t="shared" si="10"/>
        <v>0</v>
      </c>
      <c r="CN67" s="340">
        <f t="shared" si="11"/>
        <v>122424.21000000006</v>
      </c>
      <c r="CO67" s="340">
        <f t="shared" si="12"/>
        <v>38953.86</v>
      </c>
      <c r="CP67" s="340">
        <f t="shared" si="13"/>
        <v>0</v>
      </c>
      <c r="CQ67" s="340">
        <f t="shared" si="14"/>
        <v>16965.71</v>
      </c>
      <c r="CR67" s="340">
        <f t="shared" si="15"/>
        <v>0</v>
      </c>
      <c r="CS67" s="340">
        <f t="shared" si="16"/>
        <v>0</v>
      </c>
      <c r="CT67" s="90">
        <f t="shared" si="17"/>
        <v>178343.78000000006</v>
      </c>
      <c r="CV67" s="90">
        <f t="shared" si="9"/>
        <v>0</v>
      </c>
    </row>
    <row r="68" spans="1:100">
      <c r="A68" s="325">
        <v>635</v>
      </c>
      <c r="B68" s="325" t="s">
        <v>218</v>
      </c>
      <c r="C68" s="209">
        <v>-48037.41</v>
      </c>
      <c r="D68" s="209">
        <v>-646</v>
      </c>
      <c r="E68" s="209">
        <v>0</v>
      </c>
      <c r="F68" s="209">
        <v>-23244.67</v>
      </c>
      <c r="G68" s="209">
        <v>0</v>
      </c>
      <c r="H68" s="209">
        <v>0</v>
      </c>
      <c r="I68" s="223">
        <v>-775792.54</v>
      </c>
      <c r="J68" s="223">
        <v>0</v>
      </c>
      <c r="K68" s="223">
        <v>-27283</v>
      </c>
      <c r="L68" s="223">
        <v>0</v>
      </c>
      <c r="M68" s="223">
        <v>-12180</v>
      </c>
      <c r="N68" s="223">
        <v>0</v>
      </c>
      <c r="O68" s="223">
        <v>0</v>
      </c>
      <c r="P68" s="223">
        <v>-774.05</v>
      </c>
      <c r="Q68" s="223">
        <v>-3538.03</v>
      </c>
      <c r="R68" s="223">
        <v>0</v>
      </c>
      <c r="S68" s="223">
        <v>0</v>
      </c>
      <c r="T68" s="223">
        <v>-10820</v>
      </c>
      <c r="U68" s="223">
        <v>-12826.829999999998</v>
      </c>
      <c r="V68" s="223">
        <v>-5442.1999999999989</v>
      </c>
      <c r="W68" s="223">
        <v>0</v>
      </c>
      <c r="X68" s="223">
        <v>0</v>
      </c>
      <c r="Y68" s="223">
        <v>0</v>
      </c>
      <c r="Z68" s="223">
        <v>0</v>
      </c>
      <c r="AA68" s="223">
        <v>0</v>
      </c>
      <c r="AB68" s="223">
        <v>-224.38</v>
      </c>
      <c r="AC68" s="223">
        <v>-35712</v>
      </c>
      <c r="AD68" s="210">
        <v>454686.25999999995</v>
      </c>
      <c r="AE68" s="210">
        <v>20643.189999999999</v>
      </c>
      <c r="AF68" s="210">
        <v>94838.9</v>
      </c>
      <c r="AG68" s="210">
        <v>16131.609999999999</v>
      </c>
      <c r="AH68" s="210">
        <v>44739.82</v>
      </c>
      <c r="AI68" s="210">
        <v>0</v>
      </c>
      <c r="AJ68" s="210">
        <v>13521.66</v>
      </c>
      <c r="AK68" s="210">
        <v>2289</v>
      </c>
      <c r="AL68" s="210">
        <v>1704.7499999999998</v>
      </c>
      <c r="AM68" s="210">
        <v>433.1</v>
      </c>
      <c r="AN68" s="210">
        <v>14891</v>
      </c>
      <c r="AO68" s="210">
        <v>7556.4100000000017</v>
      </c>
      <c r="AP68" s="210">
        <v>2510.5800000000004</v>
      </c>
      <c r="AQ68" s="210">
        <v>1660.7100000000003</v>
      </c>
      <c r="AR68" s="210">
        <v>3644.0899999999992</v>
      </c>
      <c r="AS68" s="210">
        <v>16596.650000000001</v>
      </c>
      <c r="AT68" s="210">
        <v>16687.98</v>
      </c>
      <c r="AU68" s="210">
        <v>16916.18</v>
      </c>
      <c r="AV68" s="210">
        <v>35788.129999999997</v>
      </c>
      <c r="AW68" s="312">
        <v>5853.39</v>
      </c>
      <c r="AX68" s="210">
        <v>0</v>
      </c>
      <c r="AY68" s="210">
        <v>0</v>
      </c>
      <c r="AZ68" s="210">
        <v>289.39999999999998</v>
      </c>
      <c r="BA68" s="210">
        <v>0</v>
      </c>
      <c r="BB68" s="210">
        <v>0</v>
      </c>
      <c r="BC68" s="210">
        <v>319</v>
      </c>
      <c r="BD68" s="210">
        <v>3529</v>
      </c>
      <c r="BE68" s="210">
        <v>0</v>
      </c>
      <c r="BF68" s="210">
        <v>4288.6899999999996</v>
      </c>
      <c r="BG68" s="210">
        <v>7644.28</v>
      </c>
      <c r="BH68" s="210">
        <v>0</v>
      </c>
      <c r="BI68" s="210">
        <v>22092.85</v>
      </c>
      <c r="BJ68" s="210">
        <v>5261.75</v>
      </c>
      <c r="BK68" s="210">
        <v>17867.650000000001</v>
      </c>
      <c r="BL68" s="210">
        <v>13325.23</v>
      </c>
      <c r="BM68" s="210">
        <v>0</v>
      </c>
      <c r="BN68" s="210">
        <v>0</v>
      </c>
      <c r="BO68" s="210">
        <v>0</v>
      </c>
      <c r="BP68" s="210">
        <v>0</v>
      </c>
      <c r="BQ68" s="211">
        <v>-5563.75</v>
      </c>
      <c r="BR68" s="211">
        <v>0</v>
      </c>
      <c r="BS68" s="211">
        <v>0</v>
      </c>
      <c r="BT68" s="212">
        <v>0</v>
      </c>
      <c r="BU68" s="212">
        <v>21384.23</v>
      </c>
      <c r="BV68" s="212">
        <v>0</v>
      </c>
      <c r="BW68" s="212">
        <v>0</v>
      </c>
      <c r="BX68" s="212">
        <v>0</v>
      </c>
      <c r="BY68" s="212">
        <v>0</v>
      </c>
      <c r="BZ68" s="212">
        <v>0</v>
      </c>
      <c r="CA68" s="212">
        <v>3318</v>
      </c>
      <c r="CB68" s="212">
        <v>0</v>
      </c>
      <c r="CC68" s="224">
        <v>-91671.370000000024</v>
      </c>
      <c r="CD68" s="213"/>
      <c r="CE68" s="211">
        <v>83793.530000000028</v>
      </c>
      <c r="CF68" s="211">
        <v>4264.6499999999996</v>
      </c>
      <c r="CG68" s="211">
        <v>0</v>
      </c>
      <c r="CH68" s="211">
        <v>3613.1899999999987</v>
      </c>
      <c r="CI68" s="211">
        <v>0</v>
      </c>
      <c r="CJ68" s="211">
        <v>0</v>
      </c>
      <c r="CK68" s="211">
        <v>91671.370000000024</v>
      </c>
      <c r="CL68" s="201"/>
      <c r="CM68" s="201">
        <f t="shared" si="10"/>
        <v>0</v>
      </c>
      <c r="CN68" s="340">
        <f t="shared" ref="CN68:CN99" si="18">CE68-(CL68)</f>
        <v>83793.530000000028</v>
      </c>
      <c r="CO68" s="340">
        <f t="shared" ref="CO68:CO99" si="19">CF68</f>
        <v>4264.6499999999996</v>
      </c>
      <c r="CP68" s="340">
        <f t="shared" ref="CP68:CP99" si="20">CG68</f>
        <v>0</v>
      </c>
      <c r="CQ68" s="340">
        <f t="shared" ref="CQ68:CQ99" si="21">CH68</f>
        <v>3613.1899999999987</v>
      </c>
      <c r="CR68" s="340">
        <f t="shared" ref="CR68:CR99" si="22">CI68</f>
        <v>0</v>
      </c>
      <c r="CS68" s="340">
        <f t="shared" ref="CS68:CS99" si="23">CJ68</f>
        <v>0</v>
      </c>
      <c r="CT68" s="90">
        <f t="shared" si="17"/>
        <v>91671.370000000024</v>
      </c>
      <c r="CV68" s="90">
        <f t="shared" ref="CV68:CV122" si="24">CK68-CT68</f>
        <v>0</v>
      </c>
    </row>
    <row r="69" spans="1:100">
      <c r="A69" s="325">
        <v>640</v>
      </c>
      <c r="B69" s="325" t="s">
        <v>187</v>
      </c>
      <c r="C69" s="209">
        <v>-101100.19</v>
      </c>
      <c r="D69" s="209">
        <v>-12073.87</v>
      </c>
      <c r="E69" s="209">
        <v>0</v>
      </c>
      <c r="F69" s="209">
        <v>-12079.4</v>
      </c>
      <c r="G69" s="209">
        <v>0</v>
      </c>
      <c r="H69" s="209">
        <v>0</v>
      </c>
      <c r="I69" s="223">
        <v>-770676.18</v>
      </c>
      <c r="J69" s="223">
        <v>0</v>
      </c>
      <c r="K69" s="223">
        <v>-13571</v>
      </c>
      <c r="L69" s="223">
        <v>0</v>
      </c>
      <c r="M69" s="223">
        <v>-44710</v>
      </c>
      <c r="N69" s="223">
        <v>-4056.93</v>
      </c>
      <c r="O69" s="223">
        <v>-1000</v>
      </c>
      <c r="P69" s="223">
        <v>0</v>
      </c>
      <c r="Q69" s="223">
        <v>-12646.599999999999</v>
      </c>
      <c r="R69" s="223">
        <v>0</v>
      </c>
      <c r="S69" s="223">
        <v>0</v>
      </c>
      <c r="T69" s="223">
        <v>0</v>
      </c>
      <c r="U69" s="223">
        <v>-16479.440000000006</v>
      </c>
      <c r="V69" s="223">
        <v>-5804.83</v>
      </c>
      <c r="W69" s="223">
        <v>0</v>
      </c>
      <c r="X69" s="223">
        <v>0</v>
      </c>
      <c r="Y69" s="223">
        <v>0</v>
      </c>
      <c r="Z69" s="223">
        <v>0</v>
      </c>
      <c r="AA69" s="223">
        <v>0</v>
      </c>
      <c r="AB69" s="223">
        <v>-1830.63</v>
      </c>
      <c r="AC69" s="223">
        <v>-37049</v>
      </c>
      <c r="AD69" s="210">
        <v>462873.51</v>
      </c>
      <c r="AE69" s="210">
        <v>3684.1900000000005</v>
      </c>
      <c r="AF69" s="210">
        <v>148809.66</v>
      </c>
      <c r="AG69" s="210">
        <v>21756.04</v>
      </c>
      <c r="AH69" s="210">
        <v>42112.83</v>
      </c>
      <c r="AI69" s="210">
        <v>0</v>
      </c>
      <c r="AJ69" s="210">
        <v>17868.79</v>
      </c>
      <c r="AK69" s="210">
        <v>3048.29</v>
      </c>
      <c r="AL69" s="210">
        <v>5931</v>
      </c>
      <c r="AM69" s="210">
        <v>411.75</v>
      </c>
      <c r="AN69" s="210">
        <v>0</v>
      </c>
      <c r="AO69" s="210">
        <v>13264.250000000002</v>
      </c>
      <c r="AP69" s="210">
        <v>5744.83</v>
      </c>
      <c r="AQ69" s="210">
        <v>2709.92</v>
      </c>
      <c r="AR69" s="210">
        <v>581.72</v>
      </c>
      <c r="AS69" s="210">
        <v>11051.34</v>
      </c>
      <c r="AT69" s="210">
        <v>15572.78</v>
      </c>
      <c r="AU69" s="210">
        <v>4182.8700000000008</v>
      </c>
      <c r="AV69" s="210">
        <v>51836.600000000006</v>
      </c>
      <c r="AW69" s="312">
        <v>284.8</v>
      </c>
      <c r="AX69" s="210">
        <v>3055.52</v>
      </c>
      <c r="AY69" s="210">
        <v>0</v>
      </c>
      <c r="AZ69" s="210">
        <v>3137.01</v>
      </c>
      <c r="BA69" s="210">
        <v>1267.5</v>
      </c>
      <c r="BB69" s="210">
        <v>275</v>
      </c>
      <c r="BC69" s="210">
        <v>383.38</v>
      </c>
      <c r="BD69" s="210">
        <v>3840</v>
      </c>
      <c r="BE69" s="210">
        <v>0</v>
      </c>
      <c r="BF69" s="210">
        <v>13494.46</v>
      </c>
      <c r="BG69" s="210">
        <v>7072.65</v>
      </c>
      <c r="BH69" s="210">
        <v>0</v>
      </c>
      <c r="BI69" s="210">
        <v>29866.97</v>
      </c>
      <c r="BJ69" s="210">
        <v>0</v>
      </c>
      <c r="BK69" s="210">
        <v>9727.1</v>
      </c>
      <c r="BL69" s="210">
        <v>16709.02</v>
      </c>
      <c r="BM69" s="210">
        <v>0</v>
      </c>
      <c r="BN69" s="210">
        <v>0</v>
      </c>
      <c r="BO69" s="210">
        <v>0</v>
      </c>
      <c r="BP69" s="210">
        <v>0</v>
      </c>
      <c r="BQ69" s="211">
        <v>-5552.5</v>
      </c>
      <c r="BR69" s="211">
        <v>0</v>
      </c>
      <c r="BS69" s="211">
        <v>0</v>
      </c>
      <c r="BT69" s="212">
        <v>0</v>
      </c>
      <c r="BU69" s="212">
        <v>15772.650000000001</v>
      </c>
      <c r="BV69" s="212">
        <v>0</v>
      </c>
      <c r="BW69" s="212">
        <v>0</v>
      </c>
      <c r="BX69" s="212">
        <v>0</v>
      </c>
      <c r="BY69" s="212">
        <v>0</v>
      </c>
      <c r="BZ69" s="212">
        <v>0</v>
      </c>
      <c r="CA69" s="212">
        <v>0</v>
      </c>
      <c r="CB69" s="212">
        <v>0</v>
      </c>
      <c r="CC69" s="224">
        <v>-122304.14000000013</v>
      </c>
      <c r="CD69" s="213"/>
      <c r="CE69" s="211">
        <v>115357.34000000007</v>
      </c>
      <c r="CF69" s="211">
        <v>5087.55</v>
      </c>
      <c r="CG69" s="211">
        <v>0</v>
      </c>
      <c r="CH69" s="211">
        <v>1859.2499999999982</v>
      </c>
      <c r="CI69" s="211">
        <v>0</v>
      </c>
      <c r="CJ69" s="211">
        <v>0</v>
      </c>
      <c r="CK69" s="211">
        <v>122304.14000000007</v>
      </c>
      <c r="CL69" s="201"/>
      <c r="CM69" s="201">
        <f t="shared" ref="CM69:CM132" si="25">CC69+CK69</f>
        <v>0</v>
      </c>
      <c r="CN69" s="340">
        <f t="shared" si="18"/>
        <v>115357.34000000007</v>
      </c>
      <c r="CO69" s="340">
        <f t="shared" si="19"/>
        <v>5087.55</v>
      </c>
      <c r="CP69" s="340">
        <f t="shared" si="20"/>
        <v>0</v>
      </c>
      <c r="CQ69" s="340">
        <f t="shared" si="21"/>
        <v>1859.2499999999982</v>
      </c>
      <c r="CR69" s="340">
        <f t="shared" si="22"/>
        <v>0</v>
      </c>
      <c r="CS69" s="340">
        <f t="shared" si="23"/>
        <v>0</v>
      </c>
      <c r="CT69" s="90">
        <f t="shared" si="17"/>
        <v>122304.14000000007</v>
      </c>
      <c r="CV69" s="90">
        <f t="shared" si="24"/>
        <v>0</v>
      </c>
    </row>
    <row r="70" spans="1:100">
      <c r="A70" s="325">
        <v>656</v>
      </c>
      <c r="B70" s="325" t="s">
        <v>393</v>
      </c>
      <c r="C70" s="209">
        <v>-100557.25</v>
      </c>
      <c r="D70" s="209">
        <v>-33311.410000000003</v>
      </c>
      <c r="E70" s="209">
        <v>0</v>
      </c>
      <c r="F70" s="209">
        <v>-34148.25</v>
      </c>
      <c r="G70" s="209">
        <v>0</v>
      </c>
      <c r="H70" s="209">
        <v>0</v>
      </c>
      <c r="I70" s="223">
        <v>-2105592.44</v>
      </c>
      <c r="J70" s="223">
        <v>0</v>
      </c>
      <c r="K70" s="223">
        <v>-86098</v>
      </c>
      <c r="L70" s="223">
        <v>0</v>
      </c>
      <c r="M70" s="223">
        <v>-102240</v>
      </c>
      <c r="N70" s="223">
        <v>-3456.93</v>
      </c>
      <c r="O70" s="223">
        <v>0</v>
      </c>
      <c r="P70" s="223">
        <v>-1113.75</v>
      </c>
      <c r="Q70" s="223">
        <v>-28307.07</v>
      </c>
      <c r="R70" s="223">
        <v>0</v>
      </c>
      <c r="S70" s="223">
        <v>-1386</v>
      </c>
      <c r="T70" s="223">
        <v>-5956.2</v>
      </c>
      <c r="U70" s="223">
        <v>-28094.019999999979</v>
      </c>
      <c r="V70" s="223">
        <v>-3253.1099999999983</v>
      </c>
      <c r="W70" s="223">
        <v>0</v>
      </c>
      <c r="X70" s="223">
        <v>0</v>
      </c>
      <c r="Y70" s="223">
        <v>0</v>
      </c>
      <c r="Z70" s="223">
        <v>0</v>
      </c>
      <c r="AA70" s="223">
        <v>0</v>
      </c>
      <c r="AB70" s="223">
        <v>363.75</v>
      </c>
      <c r="AC70" s="223">
        <v>-73435</v>
      </c>
      <c r="AD70" s="210">
        <v>1244345.2899999998</v>
      </c>
      <c r="AE70" s="210">
        <v>33151.82</v>
      </c>
      <c r="AF70" s="210">
        <v>450666.81</v>
      </c>
      <c r="AG70" s="210">
        <v>62083.42</v>
      </c>
      <c r="AH70" s="210">
        <v>82571.01999999999</v>
      </c>
      <c r="AI70" s="210">
        <v>0</v>
      </c>
      <c r="AJ70" s="210">
        <v>50528.390000000007</v>
      </c>
      <c r="AK70" s="210">
        <v>7096.61</v>
      </c>
      <c r="AL70" s="210">
        <v>8552.25</v>
      </c>
      <c r="AM70" s="210">
        <v>24791.940000000002</v>
      </c>
      <c r="AN70" s="210">
        <v>5429</v>
      </c>
      <c r="AO70" s="210">
        <v>23406.93</v>
      </c>
      <c r="AP70" s="210">
        <v>7129.7900000000009</v>
      </c>
      <c r="AQ70" s="210">
        <v>6880.9700000000012</v>
      </c>
      <c r="AR70" s="210">
        <v>5892.1600000000008</v>
      </c>
      <c r="AS70" s="210">
        <v>36863.579999999994</v>
      </c>
      <c r="AT70" s="210">
        <v>54351.44</v>
      </c>
      <c r="AU70" s="210">
        <v>7529.6500000000005</v>
      </c>
      <c r="AV70" s="210">
        <v>98742.49000000002</v>
      </c>
      <c r="AW70" s="312">
        <v>0</v>
      </c>
      <c r="AX70" s="210">
        <v>8390.93</v>
      </c>
      <c r="AY70" s="210">
        <v>0</v>
      </c>
      <c r="AZ70" s="210">
        <v>0</v>
      </c>
      <c r="BA70" s="210">
        <v>0</v>
      </c>
      <c r="BB70" s="210">
        <v>0</v>
      </c>
      <c r="BC70" s="210">
        <v>0</v>
      </c>
      <c r="BD70" s="210">
        <v>6420</v>
      </c>
      <c r="BE70" s="210">
        <v>0</v>
      </c>
      <c r="BF70" s="210">
        <v>7894.9699999999993</v>
      </c>
      <c r="BG70" s="210">
        <v>22056.19</v>
      </c>
      <c r="BH70" s="210">
        <v>0</v>
      </c>
      <c r="BI70" s="210">
        <v>79312.84</v>
      </c>
      <c r="BJ70" s="210">
        <v>27179</v>
      </c>
      <c r="BK70" s="210">
        <v>23851.85</v>
      </c>
      <c r="BL70" s="210">
        <v>27359.94999999999</v>
      </c>
      <c r="BM70" s="210">
        <v>0</v>
      </c>
      <c r="BN70" s="210">
        <v>0</v>
      </c>
      <c r="BO70" s="210">
        <v>0</v>
      </c>
      <c r="BP70" s="210">
        <v>0</v>
      </c>
      <c r="BQ70" s="211">
        <v>-8612.5</v>
      </c>
      <c r="BR70" s="211">
        <v>0</v>
      </c>
      <c r="BS70" s="211">
        <v>0</v>
      </c>
      <c r="BT70" s="212">
        <v>0</v>
      </c>
      <c r="BU70" s="212">
        <v>43115.92</v>
      </c>
      <c r="BV70" s="212">
        <v>0</v>
      </c>
      <c r="BW70" s="212">
        <v>0</v>
      </c>
      <c r="BX70" s="212">
        <v>1150</v>
      </c>
      <c r="BY70" s="212">
        <v>0</v>
      </c>
      <c r="BZ70" s="212">
        <v>0</v>
      </c>
      <c r="CA70" s="212">
        <v>0</v>
      </c>
      <c r="CB70" s="212">
        <v>0</v>
      </c>
      <c r="CC70" s="224">
        <v>-158452.97000000009</v>
      </c>
      <c r="CD70" s="213"/>
      <c r="CE70" s="211">
        <v>139401.18999999997</v>
      </c>
      <c r="CF70" s="211">
        <v>12288.95</v>
      </c>
      <c r="CG70" s="211">
        <v>0</v>
      </c>
      <c r="CH70" s="211">
        <v>6762.8300000000017</v>
      </c>
      <c r="CI70" s="211">
        <v>0</v>
      </c>
      <c r="CJ70" s="211">
        <v>0</v>
      </c>
      <c r="CK70" s="211">
        <v>158452.96999999997</v>
      </c>
      <c r="CL70" s="201"/>
      <c r="CM70" s="201">
        <f t="shared" si="25"/>
        <v>0</v>
      </c>
      <c r="CN70" s="340">
        <f t="shared" si="18"/>
        <v>139401.18999999997</v>
      </c>
      <c r="CO70" s="340">
        <f t="shared" si="19"/>
        <v>12288.95</v>
      </c>
      <c r="CP70" s="340">
        <f t="shared" si="20"/>
        <v>0</v>
      </c>
      <c r="CQ70" s="340">
        <f t="shared" si="21"/>
        <v>6762.8300000000017</v>
      </c>
      <c r="CR70" s="340">
        <f t="shared" si="22"/>
        <v>0</v>
      </c>
      <c r="CS70" s="340">
        <f t="shared" si="23"/>
        <v>0</v>
      </c>
      <c r="CT70" s="90">
        <f t="shared" si="17"/>
        <v>158452.96999999997</v>
      </c>
      <c r="CV70" s="90">
        <f t="shared" si="24"/>
        <v>0</v>
      </c>
    </row>
    <row r="71" spans="1:100">
      <c r="A71" s="325">
        <v>657</v>
      </c>
      <c r="B71" s="325" t="s">
        <v>394</v>
      </c>
      <c r="C71" s="209">
        <v>-129543.34</v>
      </c>
      <c r="D71" s="209">
        <v>-5920.18</v>
      </c>
      <c r="E71" s="209">
        <v>0</v>
      </c>
      <c r="F71" s="209">
        <v>-1431.93</v>
      </c>
      <c r="G71" s="209">
        <v>0</v>
      </c>
      <c r="H71" s="209">
        <v>-6074.53</v>
      </c>
      <c r="I71" s="223">
        <v>-1355760.86</v>
      </c>
      <c r="J71" s="223">
        <v>0</v>
      </c>
      <c r="K71" s="223">
        <v>-170957</v>
      </c>
      <c r="L71" s="223">
        <v>0</v>
      </c>
      <c r="M71" s="223">
        <v>-53010</v>
      </c>
      <c r="N71" s="223">
        <v>-4285.6399999999994</v>
      </c>
      <c r="O71" s="223">
        <v>-11485.75</v>
      </c>
      <c r="P71" s="223">
        <v>-1580</v>
      </c>
      <c r="Q71" s="223">
        <v>-54343.259999999973</v>
      </c>
      <c r="R71" s="223">
        <v>-1444.9200000000003</v>
      </c>
      <c r="S71" s="223">
        <v>-3500</v>
      </c>
      <c r="T71" s="223">
        <v>-292.5</v>
      </c>
      <c r="U71" s="223">
        <v>-37436.689999999995</v>
      </c>
      <c r="V71" s="223">
        <v>-16128.19</v>
      </c>
      <c r="W71" s="223">
        <v>0</v>
      </c>
      <c r="X71" s="223">
        <v>-97624.869999999981</v>
      </c>
      <c r="Y71" s="223">
        <v>-5806.35</v>
      </c>
      <c r="Z71" s="223">
        <v>0</v>
      </c>
      <c r="AA71" s="223">
        <v>0</v>
      </c>
      <c r="AB71" s="223">
        <v>90.619999999999891</v>
      </c>
      <c r="AC71" s="223">
        <v>-47591</v>
      </c>
      <c r="AD71" s="210">
        <v>828674.85000000009</v>
      </c>
      <c r="AE71" s="210">
        <v>3073.61</v>
      </c>
      <c r="AF71" s="210">
        <v>300988.37</v>
      </c>
      <c r="AG71" s="210">
        <v>8632.8599999999988</v>
      </c>
      <c r="AH71" s="210">
        <v>90996.02</v>
      </c>
      <c r="AI71" s="210">
        <v>-2291.1199999999994</v>
      </c>
      <c r="AJ71" s="210">
        <v>82135.420000000027</v>
      </c>
      <c r="AK71" s="210">
        <v>5186.95</v>
      </c>
      <c r="AL71" s="210">
        <v>9037.5</v>
      </c>
      <c r="AM71" s="210">
        <v>12422.220000000001</v>
      </c>
      <c r="AN71" s="210">
        <v>0</v>
      </c>
      <c r="AO71" s="210">
        <v>21978.139999999996</v>
      </c>
      <c r="AP71" s="210">
        <v>7213.2299999999959</v>
      </c>
      <c r="AQ71" s="210">
        <v>44724.450000000004</v>
      </c>
      <c r="AR71" s="210">
        <v>2282.69</v>
      </c>
      <c r="AS71" s="210">
        <v>32812.32</v>
      </c>
      <c r="AT71" s="210">
        <v>53115.17</v>
      </c>
      <c r="AU71" s="210">
        <v>9573.67</v>
      </c>
      <c r="AV71" s="210">
        <v>87533.57</v>
      </c>
      <c r="AW71" s="312">
        <v>0</v>
      </c>
      <c r="AX71" s="210">
        <v>4974.8900000000003</v>
      </c>
      <c r="AY71" s="210">
        <v>0</v>
      </c>
      <c r="AZ71" s="210">
        <v>13413.879999999996</v>
      </c>
      <c r="BA71" s="210">
        <v>5293.73</v>
      </c>
      <c r="BB71" s="210">
        <v>9231.0400000000009</v>
      </c>
      <c r="BC71" s="210">
        <v>263.71000000000004</v>
      </c>
      <c r="BD71" s="210">
        <v>6100</v>
      </c>
      <c r="BE71" s="210">
        <v>0</v>
      </c>
      <c r="BF71" s="210">
        <v>8369.52</v>
      </c>
      <c r="BG71" s="210">
        <v>13155.119999999999</v>
      </c>
      <c r="BH71" s="210">
        <v>0</v>
      </c>
      <c r="BI71" s="210">
        <v>44290.58</v>
      </c>
      <c r="BJ71" s="210">
        <v>12262.17</v>
      </c>
      <c r="BK71" s="210">
        <v>41464.229999999996</v>
      </c>
      <c r="BL71" s="210">
        <v>24622.359999999993</v>
      </c>
      <c r="BM71" s="210">
        <v>0</v>
      </c>
      <c r="BN71" s="210">
        <v>0</v>
      </c>
      <c r="BO71" s="210">
        <v>78857.320000000007</v>
      </c>
      <c r="BP71" s="210">
        <v>2291.4000000000005</v>
      </c>
      <c r="BQ71" s="211">
        <v>-6778.75</v>
      </c>
      <c r="BR71" s="211">
        <v>0</v>
      </c>
      <c r="BS71" s="211">
        <v>0</v>
      </c>
      <c r="BT71" s="212">
        <v>0</v>
      </c>
      <c r="BU71" s="212">
        <v>889.6099999999999</v>
      </c>
      <c r="BV71" s="212">
        <v>0</v>
      </c>
      <c r="BW71" s="212">
        <v>0</v>
      </c>
      <c r="BX71" s="212">
        <v>0</v>
      </c>
      <c r="BY71" s="212">
        <v>0</v>
      </c>
      <c r="BZ71" s="212">
        <v>0</v>
      </c>
      <c r="CA71" s="212">
        <v>0</v>
      </c>
      <c r="CB71" s="212">
        <v>0</v>
      </c>
      <c r="CC71" s="224">
        <v>-147335.65999999971</v>
      </c>
      <c r="CD71" s="213"/>
      <c r="CE71" s="211">
        <v>109689.46999999981</v>
      </c>
      <c r="CF71" s="211">
        <v>12157.300000000003</v>
      </c>
      <c r="CG71" s="211">
        <v>0</v>
      </c>
      <c r="CH71" s="211">
        <v>7321.0700000000006</v>
      </c>
      <c r="CI71" s="211">
        <v>0</v>
      </c>
      <c r="CJ71" s="211">
        <v>18167.819999999978</v>
      </c>
      <c r="CK71" s="211">
        <v>147335.6599999998</v>
      </c>
      <c r="CL71" s="201"/>
      <c r="CM71" s="201">
        <f t="shared" si="25"/>
        <v>0</v>
      </c>
      <c r="CN71" s="340">
        <f t="shared" si="18"/>
        <v>109689.46999999981</v>
      </c>
      <c r="CO71" s="340">
        <f t="shared" si="19"/>
        <v>12157.300000000003</v>
      </c>
      <c r="CP71" s="340">
        <f t="shared" si="20"/>
        <v>0</v>
      </c>
      <c r="CQ71" s="340">
        <f t="shared" si="21"/>
        <v>7321.0700000000006</v>
      </c>
      <c r="CR71" s="340">
        <f t="shared" si="22"/>
        <v>0</v>
      </c>
      <c r="CS71" s="340">
        <f t="shared" si="23"/>
        <v>18167.819999999978</v>
      </c>
      <c r="CT71" s="90">
        <f t="shared" si="17"/>
        <v>147335.6599999998</v>
      </c>
      <c r="CV71" s="90">
        <f t="shared" si="24"/>
        <v>0</v>
      </c>
    </row>
    <row r="72" spans="1:100">
      <c r="A72" s="325">
        <v>665</v>
      </c>
      <c r="B72" s="325" t="s">
        <v>238</v>
      </c>
      <c r="C72" s="209">
        <v>-216210.85</v>
      </c>
      <c r="D72" s="209">
        <v>-353.76</v>
      </c>
      <c r="E72" s="209">
        <v>0</v>
      </c>
      <c r="F72" s="209">
        <v>-23017.54</v>
      </c>
      <c r="G72" s="209">
        <v>0</v>
      </c>
      <c r="H72" s="209">
        <v>0</v>
      </c>
      <c r="I72" s="223">
        <v>-625272.96</v>
      </c>
      <c r="J72" s="223">
        <v>0</v>
      </c>
      <c r="K72" s="223">
        <v>-17298</v>
      </c>
      <c r="L72" s="223">
        <v>0</v>
      </c>
      <c r="M72" s="223">
        <v>-12540</v>
      </c>
      <c r="N72" s="223">
        <v>-6856.93</v>
      </c>
      <c r="O72" s="223">
        <v>0</v>
      </c>
      <c r="P72" s="223">
        <v>0</v>
      </c>
      <c r="Q72" s="223">
        <v>-17493.370000000003</v>
      </c>
      <c r="R72" s="223">
        <v>0</v>
      </c>
      <c r="S72" s="223">
        <v>0</v>
      </c>
      <c r="T72" s="223">
        <v>0</v>
      </c>
      <c r="U72" s="223">
        <v>-10394.799999999999</v>
      </c>
      <c r="V72" s="223">
        <v>0</v>
      </c>
      <c r="W72" s="223">
        <v>0</v>
      </c>
      <c r="X72" s="223">
        <v>0</v>
      </c>
      <c r="Y72" s="223">
        <v>0</v>
      </c>
      <c r="Z72" s="223">
        <v>0</v>
      </c>
      <c r="AA72" s="223">
        <v>0</v>
      </c>
      <c r="AB72" s="223">
        <v>-145.63</v>
      </c>
      <c r="AC72" s="223">
        <v>-38163</v>
      </c>
      <c r="AD72" s="210">
        <v>306498.84000000003</v>
      </c>
      <c r="AE72" s="210">
        <v>6515.29</v>
      </c>
      <c r="AF72" s="210">
        <v>169164.97999999998</v>
      </c>
      <c r="AG72" s="210">
        <v>0</v>
      </c>
      <c r="AH72" s="210">
        <v>43814.3</v>
      </c>
      <c r="AI72" s="210">
        <v>0</v>
      </c>
      <c r="AJ72" s="210">
        <v>22943.720000000005</v>
      </c>
      <c r="AK72" s="210">
        <v>2016.98</v>
      </c>
      <c r="AL72" s="210">
        <v>9433.65</v>
      </c>
      <c r="AM72" s="210">
        <v>308.05</v>
      </c>
      <c r="AN72" s="210">
        <v>0</v>
      </c>
      <c r="AO72" s="210">
        <v>4922.4100000000008</v>
      </c>
      <c r="AP72" s="210">
        <v>2156.5</v>
      </c>
      <c r="AQ72" s="210">
        <v>14599.37</v>
      </c>
      <c r="AR72" s="210">
        <v>1350.35</v>
      </c>
      <c r="AS72" s="210">
        <v>13317.900000000001</v>
      </c>
      <c r="AT72" s="210">
        <v>3464.91</v>
      </c>
      <c r="AU72" s="210">
        <v>3242.71</v>
      </c>
      <c r="AV72" s="210">
        <v>32424.319999999996</v>
      </c>
      <c r="AW72" s="312">
        <v>-1.4210854715202004E-13</v>
      </c>
      <c r="AX72" s="210">
        <v>5056.91</v>
      </c>
      <c r="AY72" s="210">
        <v>0</v>
      </c>
      <c r="AZ72" s="210">
        <v>1650.5</v>
      </c>
      <c r="BA72" s="210">
        <v>940</v>
      </c>
      <c r="BB72" s="210">
        <v>0</v>
      </c>
      <c r="BC72" s="210">
        <v>0</v>
      </c>
      <c r="BD72" s="210">
        <v>3665</v>
      </c>
      <c r="BE72" s="210">
        <v>0</v>
      </c>
      <c r="BF72" s="210">
        <v>7931.4099999999989</v>
      </c>
      <c r="BG72" s="210">
        <v>5291.39</v>
      </c>
      <c r="BH72" s="210">
        <v>0</v>
      </c>
      <c r="BI72" s="210">
        <v>26720.399999999998</v>
      </c>
      <c r="BJ72" s="210">
        <v>8275.5</v>
      </c>
      <c r="BK72" s="210">
        <v>22762.45</v>
      </c>
      <c r="BL72" s="210">
        <v>15313.27</v>
      </c>
      <c r="BM72" s="210">
        <v>0</v>
      </c>
      <c r="BN72" s="210">
        <v>0</v>
      </c>
      <c r="BO72" s="210">
        <v>0</v>
      </c>
      <c r="BP72" s="210">
        <v>0</v>
      </c>
      <c r="BQ72" s="211">
        <v>-5125</v>
      </c>
      <c r="BR72" s="211">
        <v>0</v>
      </c>
      <c r="BS72" s="211">
        <v>0</v>
      </c>
      <c r="BT72" s="212">
        <v>0</v>
      </c>
      <c r="BU72" s="212">
        <v>4430.9400000000005</v>
      </c>
      <c r="BV72" s="212">
        <v>0</v>
      </c>
      <c r="BW72" s="212">
        <v>0</v>
      </c>
      <c r="BX72" s="212">
        <v>0</v>
      </c>
      <c r="BY72" s="212">
        <v>0</v>
      </c>
      <c r="BZ72" s="212">
        <v>0</v>
      </c>
      <c r="CA72" s="212">
        <v>5739.44</v>
      </c>
      <c r="CB72" s="212">
        <v>6074.99</v>
      </c>
      <c r="CC72" s="224">
        <v>-222845.36000000002</v>
      </c>
      <c r="CD72" s="213"/>
      <c r="CE72" s="211">
        <v>210948.18999999997</v>
      </c>
      <c r="CF72" s="211">
        <v>0</v>
      </c>
      <c r="CG72" s="211">
        <v>0</v>
      </c>
      <c r="CH72" s="211">
        <v>11897.17</v>
      </c>
      <c r="CI72" s="211">
        <v>0</v>
      </c>
      <c r="CJ72" s="211">
        <v>0</v>
      </c>
      <c r="CK72" s="211">
        <v>222845.36</v>
      </c>
      <c r="CL72" s="201"/>
      <c r="CM72" s="201">
        <f t="shared" si="25"/>
        <v>0</v>
      </c>
      <c r="CN72" s="340">
        <f t="shared" si="18"/>
        <v>210948.18999999997</v>
      </c>
      <c r="CO72" s="340">
        <f t="shared" si="19"/>
        <v>0</v>
      </c>
      <c r="CP72" s="340">
        <f t="shared" si="20"/>
        <v>0</v>
      </c>
      <c r="CQ72" s="340">
        <f t="shared" si="21"/>
        <v>11897.17</v>
      </c>
      <c r="CR72" s="340">
        <f t="shared" si="22"/>
        <v>0</v>
      </c>
      <c r="CS72" s="340">
        <f t="shared" si="23"/>
        <v>0</v>
      </c>
      <c r="CT72" s="90">
        <f t="shared" si="17"/>
        <v>222845.36</v>
      </c>
      <c r="CV72" s="90">
        <f t="shared" si="24"/>
        <v>0</v>
      </c>
    </row>
    <row r="73" spans="1:100">
      <c r="A73" s="325">
        <v>667</v>
      </c>
      <c r="B73" s="325" t="s">
        <v>266</v>
      </c>
      <c r="C73" s="209">
        <v>-65941.259999999995</v>
      </c>
      <c r="D73" s="209">
        <v>-1784.89</v>
      </c>
      <c r="E73" s="209">
        <v>0</v>
      </c>
      <c r="F73" s="209">
        <v>-15346</v>
      </c>
      <c r="G73" s="209">
        <v>0</v>
      </c>
      <c r="H73" s="209">
        <v>0</v>
      </c>
      <c r="I73" s="223">
        <v>-546977.46</v>
      </c>
      <c r="J73" s="223">
        <v>0</v>
      </c>
      <c r="K73" s="223">
        <v>-8114</v>
      </c>
      <c r="L73" s="223">
        <v>0</v>
      </c>
      <c r="M73" s="223">
        <v>-12180</v>
      </c>
      <c r="N73" s="223">
        <v>-800</v>
      </c>
      <c r="O73" s="223">
        <v>0</v>
      </c>
      <c r="P73" s="223">
        <v>0</v>
      </c>
      <c r="Q73" s="223">
        <v>-22484.109999999993</v>
      </c>
      <c r="R73" s="223">
        <v>0</v>
      </c>
      <c r="S73" s="223">
        <v>0</v>
      </c>
      <c r="T73" s="223">
        <v>0</v>
      </c>
      <c r="U73" s="223">
        <v>-8376.01</v>
      </c>
      <c r="V73" s="223">
        <v>-4767.25</v>
      </c>
      <c r="W73" s="223">
        <v>0</v>
      </c>
      <c r="X73" s="223">
        <v>0</v>
      </c>
      <c r="Y73" s="223">
        <v>0</v>
      </c>
      <c r="Z73" s="223">
        <v>0</v>
      </c>
      <c r="AA73" s="223">
        <v>0</v>
      </c>
      <c r="AB73" s="223">
        <v>-224.38</v>
      </c>
      <c r="AC73" s="223">
        <v>-31757</v>
      </c>
      <c r="AD73" s="210">
        <v>304294.75999999995</v>
      </c>
      <c r="AE73" s="210">
        <v>16867.18</v>
      </c>
      <c r="AF73" s="210">
        <v>79288.259999999995</v>
      </c>
      <c r="AG73" s="210">
        <v>8719.0299999999988</v>
      </c>
      <c r="AH73" s="210">
        <v>36467.719999999994</v>
      </c>
      <c r="AI73" s="210">
        <v>0</v>
      </c>
      <c r="AJ73" s="210">
        <v>23848.06</v>
      </c>
      <c r="AK73" s="210">
        <v>1720.2</v>
      </c>
      <c r="AL73" s="210">
        <v>2979</v>
      </c>
      <c r="AM73" s="210">
        <v>1828.9</v>
      </c>
      <c r="AN73" s="210">
        <v>0</v>
      </c>
      <c r="AO73" s="210">
        <v>2405.9499999999998</v>
      </c>
      <c r="AP73" s="210">
        <v>2176.39</v>
      </c>
      <c r="AQ73" s="210">
        <v>18735.75</v>
      </c>
      <c r="AR73" s="210">
        <v>1123.8600000000001</v>
      </c>
      <c r="AS73" s="210">
        <v>12898.28</v>
      </c>
      <c r="AT73" s="210">
        <v>8032.27</v>
      </c>
      <c r="AU73" s="210">
        <v>3117.2900000000004</v>
      </c>
      <c r="AV73" s="210">
        <v>34272.9</v>
      </c>
      <c r="AW73" s="312">
        <v>0</v>
      </c>
      <c r="AX73" s="210">
        <v>2557</v>
      </c>
      <c r="AY73" s="210">
        <v>0</v>
      </c>
      <c r="AZ73" s="210">
        <v>1833.6599999999999</v>
      </c>
      <c r="BA73" s="210">
        <v>0</v>
      </c>
      <c r="BB73" s="210">
        <v>0</v>
      </c>
      <c r="BC73" s="210">
        <v>138.09</v>
      </c>
      <c r="BD73" s="210">
        <v>4803.3</v>
      </c>
      <c r="BE73" s="210">
        <v>0</v>
      </c>
      <c r="BF73" s="210">
        <v>2634.1000000000004</v>
      </c>
      <c r="BG73" s="210">
        <v>4453.1499999999996</v>
      </c>
      <c r="BH73" s="210">
        <v>0</v>
      </c>
      <c r="BI73" s="210">
        <v>18131.7</v>
      </c>
      <c r="BJ73" s="210">
        <v>0</v>
      </c>
      <c r="BK73" s="210">
        <v>8242</v>
      </c>
      <c r="BL73" s="210">
        <v>12271.31</v>
      </c>
      <c r="BM73" s="210">
        <v>0</v>
      </c>
      <c r="BN73" s="210">
        <v>0</v>
      </c>
      <c r="BO73" s="210">
        <v>0</v>
      </c>
      <c r="BP73" s="210">
        <v>0</v>
      </c>
      <c r="BQ73" s="211">
        <v>-4900</v>
      </c>
      <c r="BR73" s="211">
        <v>-9480.67</v>
      </c>
      <c r="BS73" s="211">
        <v>0</v>
      </c>
      <c r="BT73" s="212">
        <v>0</v>
      </c>
      <c r="BU73" s="212">
        <v>15396.8</v>
      </c>
      <c r="BV73" s="212">
        <v>0</v>
      </c>
      <c r="BW73" s="212">
        <v>0</v>
      </c>
      <c r="BX73" s="212">
        <v>0</v>
      </c>
      <c r="BY73" s="212">
        <v>0</v>
      </c>
      <c r="BZ73" s="212">
        <v>0</v>
      </c>
      <c r="CA73" s="212">
        <v>385</v>
      </c>
      <c r="CB73" s="212">
        <v>0</v>
      </c>
      <c r="CC73" s="224">
        <v>-103511.12000000004</v>
      </c>
      <c r="CD73" s="213"/>
      <c r="CE73" s="211">
        <v>86482.250000000087</v>
      </c>
      <c r="CF73" s="211">
        <v>3084</v>
      </c>
      <c r="CG73" s="211">
        <v>0</v>
      </c>
      <c r="CH73" s="211">
        <v>13944.87</v>
      </c>
      <c r="CI73" s="211">
        <v>0</v>
      </c>
      <c r="CJ73" s="211">
        <v>0</v>
      </c>
      <c r="CK73" s="211">
        <v>103511.12000000008</v>
      </c>
      <c r="CL73" s="201"/>
      <c r="CM73" s="201">
        <f t="shared" si="25"/>
        <v>0</v>
      </c>
      <c r="CN73" s="340">
        <f t="shared" si="18"/>
        <v>86482.250000000087</v>
      </c>
      <c r="CO73" s="340">
        <f t="shared" si="19"/>
        <v>3084</v>
      </c>
      <c r="CP73" s="340">
        <f t="shared" si="20"/>
        <v>0</v>
      </c>
      <c r="CQ73" s="340">
        <f t="shared" si="21"/>
        <v>13944.87</v>
      </c>
      <c r="CR73" s="340">
        <f t="shared" si="22"/>
        <v>0</v>
      </c>
      <c r="CS73" s="340">
        <f t="shared" si="23"/>
        <v>0</v>
      </c>
      <c r="CT73" s="90">
        <f t="shared" si="17"/>
        <v>103511.12000000008</v>
      </c>
      <c r="CV73" s="90">
        <f t="shared" si="24"/>
        <v>0</v>
      </c>
    </row>
    <row r="74" spans="1:100">
      <c r="A74" s="325">
        <v>671</v>
      </c>
      <c r="B74" s="325" t="s">
        <v>276</v>
      </c>
      <c r="C74" s="209">
        <v>127036.68</v>
      </c>
      <c r="D74" s="209">
        <v>-10914.91</v>
      </c>
      <c r="E74" s="209">
        <v>0</v>
      </c>
      <c r="F74" s="209">
        <v>0</v>
      </c>
      <c r="G74" s="209">
        <v>3478.58</v>
      </c>
      <c r="H74" s="209">
        <v>0</v>
      </c>
      <c r="I74" s="223">
        <v>-379124.54</v>
      </c>
      <c r="J74" s="223">
        <v>0</v>
      </c>
      <c r="K74" s="223">
        <v>-6512</v>
      </c>
      <c r="L74" s="223">
        <v>0</v>
      </c>
      <c r="M74" s="223">
        <v>-11720</v>
      </c>
      <c r="N74" s="223">
        <v>-1200</v>
      </c>
      <c r="O74" s="223">
        <v>0</v>
      </c>
      <c r="P74" s="223">
        <v>-90</v>
      </c>
      <c r="Q74" s="223">
        <v>-25102.399999999991</v>
      </c>
      <c r="R74" s="223">
        <v>0</v>
      </c>
      <c r="S74" s="223">
        <v>0</v>
      </c>
      <c r="T74" s="223">
        <v>0</v>
      </c>
      <c r="U74" s="223">
        <v>-1205.3800000000001</v>
      </c>
      <c r="V74" s="223">
        <v>-9185.4699999999993</v>
      </c>
      <c r="W74" s="223">
        <v>0</v>
      </c>
      <c r="X74" s="223">
        <v>0</v>
      </c>
      <c r="Y74" s="223">
        <v>0</v>
      </c>
      <c r="Z74" s="223">
        <v>0</v>
      </c>
      <c r="AA74" s="223">
        <v>0</v>
      </c>
      <c r="AB74" s="223">
        <v>-465.13</v>
      </c>
      <c r="AC74" s="223">
        <v>-21230</v>
      </c>
      <c r="AD74" s="210">
        <v>193712.87</v>
      </c>
      <c r="AE74" s="210">
        <v>1096.3899999999999</v>
      </c>
      <c r="AF74" s="210">
        <v>66911.070000000007</v>
      </c>
      <c r="AG74" s="210">
        <v>7023.98</v>
      </c>
      <c r="AH74" s="210">
        <v>22966.989999999998</v>
      </c>
      <c r="AI74" s="210">
        <v>0</v>
      </c>
      <c r="AJ74" s="210">
        <v>15411.669999999998</v>
      </c>
      <c r="AK74" s="210">
        <v>86.079999999999984</v>
      </c>
      <c r="AL74" s="210">
        <v>1215</v>
      </c>
      <c r="AM74" s="210">
        <v>137.25</v>
      </c>
      <c r="AN74" s="210">
        <v>0</v>
      </c>
      <c r="AO74" s="210">
        <v>2753.5200000000004</v>
      </c>
      <c r="AP74" s="210">
        <v>0</v>
      </c>
      <c r="AQ74" s="210">
        <v>6364.23</v>
      </c>
      <c r="AR74" s="210">
        <v>755.87000000000012</v>
      </c>
      <c r="AS74" s="210">
        <v>9327.94</v>
      </c>
      <c r="AT74" s="210">
        <v>698.59</v>
      </c>
      <c r="AU74" s="210">
        <v>1362.92</v>
      </c>
      <c r="AV74" s="210">
        <v>16297.679999999993</v>
      </c>
      <c r="AW74" s="312">
        <v>0</v>
      </c>
      <c r="AX74" s="210">
        <v>2249</v>
      </c>
      <c r="AY74" s="210">
        <v>0</v>
      </c>
      <c r="AZ74" s="210">
        <v>1353.6000000000001</v>
      </c>
      <c r="BA74" s="210">
        <v>0</v>
      </c>
      <c r="BB74" s="210">
        <v>0</v>
      </c>
      <c r="BC74" s="210">
        <v>0</v>
      </c>
      <c r="BD74" s="210">
        <v>1735</v>
      </c>
      <c r="BE74" s="210">
        <v>0</v>
      </c>
      <c r="BF74" s="210">
        <v>3449.2400000000007</v>
      </c>
      <c r="BG74" s="210">
        <v>2357.5500000000002</v>
      </c>
      <c r="BH74" s="210">
        <v>0</v>
      </c>
      <c r="BI74" s="210">
        <v>10041.140000000001</v>
      </c>
      <c r="BJ74" s="210">
        <v>0</v>
      </c>
      <c r="BK74" s="210">
        <v>21227.68</v>
      </c>
      <c r="BL74" s="210">
        <v>12179.140000000001</v>
      </c>
      <c r="BM74" s="210">
        <v>0</v>
      </c>
      <c r="BN74" s="210">
        <v>0</v>
      </c>
      <c r="BO74" s="210">
        <v>0</v>
      </c>
      <c r="BP74" s="210">
        <v>0</v>
      </c>
      <c r="BQ74" s="211">
        <v>0</v>
      </c>
      <c r="BR74" s="211">
        <v>-3478.58</v>
      </c>
      <c r="BS74" s="211">
        <v>0</v>
      </c>
      <c r="BT74" s="212">
        <v>0</v>
      </c>
      <c r="BU74" s="212">
        <v>0</v>
      </c>
      <c r="BV74" s="212">
        <v>0</v>
      </c>
      <c r="BW74" s="212">
        <v>0</v>
      </c>
      <c r="BX74" s="212">
        <v>0</v>
      </c>
      <c r="BY74" s="212">
        <v>0</v>
      </c>
      <c r="BZ74" s="212">
        <v>0</v>
      </c>
      <c r="CA74" s="212">
        <v>0</v>
      </c>
      <c r="CB74" s="212">
        <v>0</v>
      </c>
      <c r="CC74" s="224">
        <v>61001.250000000051</v>
      </c>
      <c r="CD74" s="213"/>
      <c r="CE74" s="211">
        <v>-72264.450000000026</v>
      </c>
      <c r="CF74" s="211">
        <v>6239.0000000000009</v>
      </c>
      <c r="CG74" s="211">
        <v>5024.2</v>
      </c>
      <c r="CH74" s="211">
        <v>0</v>
      </c>
      <c r="CI74" s="211">
        <v>0</v>
      </c>
      <c r="CJ74" s="211">
        <v>0</v>
      </c>
      <c r="CK74" s="211">
        <v>-61001.250000000029</v>
      </c>
      <c r="CL74" s="201"/>
      <c r="CM74" s="201">
        <f t="shared" si="25"/>
        <v>0</v>
      </c>
      <c r="CN74" s="340">
        <f t="shared" si="18"/>
        <v>-72264.450000000026</v>
      </c>
      <c r="CO74" s="340">
        <f t="shared" si="19"/>
        <v>6239.0000000000009</v>
      </c>
      <c r="CP74" s="340">
        <f t="shared" si="20"/>
        <v>5024.2</v>
      </c>
      <c r="CQ74" s="340">
        <f t="shared" si="21"/>
        <v>0</v>
      </c>
      <c r="CR74" s="340">
        <f t="shared" si="22"/>
        <v>0</v>
      </c>
      <c r="CS74" s="340">
        <f t="shared" si="23"/>
        <v>0</v>
      </c>
      <c r="CT74" s="90">
        <f t="shared" si="17"/>
        <v>-61001.250000000029</v>
      </c>
      <c r="CV74" s="90">
        <f t="shared" si="24"/>
        <v>0</v>
      </c>
    </row>
    <row r="75" spans="1:100">
      <c r="A75" s="325">
        <v>672</v>
      </c>
      <c r="B75" s="325" t="s">
        <v>281</v>
      </c>
      <c r="C75" s="209">
        <v>-47015.61</v>
      </c>
      <c r="D75" s="209">
        <v>-10878.94</v>
      </c>
      <c r="E75" s="209">
        <v>0</v>
      </c>
      <c r="F75" s="209">
        <v>0</v>
      </c>
      <c r="G75" s="209">
        <v>0</v>
      </c>
      <c r="H75" s="209">
        <v>0</v>
      </c>
      <c r="I75" s="223">
        <v>-597171.46</v>
      </c>
      <c r="J75" s="223">
        <v>0</v>
      </c>
      <c r="K75" s="223">
        <v>-53911</v>
      </c>
      <c r="L75" s="223">
        <v>0</v>
      </c>
      <c r="M75" s="223">
        <v>-5920</v>
      </c>
      <c r="N75" s="223">
        <v>-3600</v>
      </c>
      <c r="O75" s="223">
        <v>-175.5</v>
      </c>
      <c r="P75" s="223">
        <v>0</v>
      </c>
      <c r="Q75" s="223">
        <v>-27987.570000000011</v>
      </c>
      <c r="R75" s="223">
        <v>0</v>
      </c>
      <c r="S75" s="223">
        <v>-280</v>
      </c>
      <c r="T75" s="223">
        <v>-3220</v>
      </c>
      <c r="U75" s="223">
        <v>-20473.89</v>
      </c>
      <c r="V75" s="223">
        <v>-1288.1000000000001</v>
      </c>
      <c r="W75" s="223">
        <v>0</v>
      </c>
      <c r="X75" s="223">
        <v>0</v>
      </c>
      <c r="Y75" s="223">
        <v>0</v>
      </c>
      <c r="Z75" s="223">
        <v>0</v>
      </c>
      <c r="AA75" s="223">
        <v>0</v>
      </c>
      <c r="AB75" s="223">
        <v>-460.63</v>
      </c>
      <c r="AC75" s="223">
        <v>-39691</v>
      </c>
      <c r="AD75" s="210">
        <v>346228.66000000003</v>
      </c>
      <c r="AE75" s="210">
        <v>10038.26</v>
      </c>
      <c r="AF75" s="210">
        <v>120548.07999999999</v>
      </c>
      <c r="AG75" s="210">
        <v>0</v>
      </c>
      <c r="AH75" s="210">
        <v>50570.180000000008</v>
      </c>
      <c r="AI75" s="210">
        <v>0</v>
      </c>
      <c r="AJ75" s="210">
        <v>37149.15</v>
      </c>
      <c r="AK75" s="210">
        <v>245.32999999999998</v>
      </c>
      <c r="AL75" s="210">
        <v>2857.63</v>
      </c>
      <c r="AM75" s="210">
        <v>6326.19</v>
      </c>
      <c r="AN75" s="210">
        <v>0</v>
      </c>
      <c r="AO75" s="210">
        <v>2871.01</v>
      </c>
      <c r="AP75" s="210">
        <v>1895.5</v>
      </c>
      <c r="AQ75" s="210">
        <v>16724.849999999999</v>
      </c>
      <c r="AR75" s="210">
        <v>3782.8699999999994</v>
      </c>
      <c r="AS75" s="210">
        <v>13456.99</v>
      </c>
      <c r="AT75" s="210">
        <v>1746.46</v>
      </c>
      <c r="AU75" s="210">
        <v>1380.21</v>
      </c>
      <c r="AV75" s="210">
        <v>38095.03</v>
      </c>
      <c r="AW75" s="312">
        <v>-1001</v>
      </c>
      <c r="AX75" s="210">
        <v>10171.900000000001</v>
      </c>
      <c r="AY75" s="210">
        <v>0</v>
      </c>
      <c r="AZ75" s="210">
        <v>3866.56</v>
      </c>
      <c r="BA75" s="210">
        <v>0</v>
      </c>
      <c r="BB75" s="210">
        <v>1362.3</v>
      </c>
      <c r="BC75" s="210">
        <v>0</v>
      </c>
      <c r="BD75" s="210">
        <v>980</v>
      </c>
      <c r="BE75" s="210">
        <v>0</v>
      </c>
      <c r="BF75" s="210">
        <v>4819.5000000000009</v>
      </c>
      <c r="BG75" s="210">
        <v>2017.8200000000002</v>
      </c>
      <c r="BH75" s="210">
        <v>0</v>
      </c>
      <c r="BI75" s="210">
        <v>27626.379999999997</v>
      </c>
      <c r="BJ75" s="210">
        <v>0</v>
      </c>
      <c r="BK75" s="210">
        <v>14657.539999999999</v>
      </c>
      <c r="BL75" s="210">
        <v>20058.28</v>
      </c>
      <c r="BM75" s="210">
        <v>0</v>
      </c>
      <c r="BN75" s="210">
        <v>0</v>
      </c>
      <c r="BO75" s="210">
        <v>0</v>
      </c>
      <c r="BP75" s="210">
        <v>1377.01</v>
      </c>
      <c r="BQ75" s="211">
        <v>0</v>
      </c>
      <c r="BR75" s="211">
        <v>0</v>
      </c>
      <c r="BS75" s="211">
        <v>0</v>
      </c>
      <c r="BT75" s="212">
        <v>0</v>
      </c>
      <c r="BU75" s="212">
        <v>0</v>
      </c>
      <c r="BV75" s="212">
        <v>0</v>
      </c>
      <c r="BW75" s="212">
        <v>0</v>
      </c>
      <c r="BX75" s="212">
        <v>0</v>
      </c>
      <c r="BY75" s="212">
        <v>0</v>
      </c>
      <c r="BZ75" s="212">
        <v>0</v>
      </c>
      <c r="CA75" s="212">
        <v>0</v>
      </c>
      <c r="CB75" s="212">
        <v>510.84</v>
      </c>
      <c r="CC75" s="224">
        <v>-71710.170000000129</v>
      </c>
      <c r="CD75" s="213"/>
      <c r="CE75" s="381">
        <v>68518.069999999847</v>
      </c>
      <c r="CF75" s="381">
        <v>5079.9500000000007</v>
      </c>
      <c r="CG75" s="381">
        <v>0</v>
      </c>
      <c r="CH75" s="381">
        <v>-510.84</v>
      </c>
      <c r="CI75" s="381">
        <v>0</v>
      </c>
      <c r="CJ75" s="381">
        <v>-1377.01</v>
      </c>
      <c r="CK75" s="381">
        <v>71710.169999999853</v>
      </c>
      <c r="CL75" s="201"/>
      <c r="CM75" s="201">
        <f t="shared" si="25"/>
        <v>-2.7648638933897018E-10</v>
      </c>
      <c r="CN75" s="340">
        <f t="shared" si="18"/>
        <v>68518.069999999847</v>
      </c>
      <c r="CO75" s="340">
        <f t="shared" si="19"/>
        <v>5079.9500000000007</v>
      </c>
      <c r="CP75" s="340">
        <f t="shared" si="20"/>
        <v>0</v>
      </c>
      <c r="CQ75" s="340">
        <f t="shared" si="21"/>
        <v>-510.84</v>
      </c>
      <c r="CR75" s="340">
        <f t="shared" si="22"/>
        <v>0</v>
      </c>
      <c r="CS75" s="340">
        <f t="shared" si="23"/>
        <v>-1377.01</v>
      </c>
      <c r="CT75" s="90">
        <f t="shared" si="17"/>
        <v>71710.169999999853</v>
      </c>
      <c r="CV75" s="90">
        <f t="shared" si="24"/>
        <v>0</v>
      </c>
    </row>
    <row r="76" spans="1:100">
      <c r="A76" s="325">
        <v>677</v>
      </c>
      <c r="B76" s="325" t="s">
        <v>185</v>
      </c>
      <c r="C76" s="209">
        <v>-150456.79999999999</v>
      </c>
      <c r="D76" s="209">
        <v>-4660.13</v>
      </c>
      <c r="E76" s="209">
        <v>0</v>
      </c>
      <c r="F76" s="209">
        <v>0</v>
      </c>
      <c r="G76" s="209">
        <v>11560</v>
      </c>
      <c r="H76" s="209">
        <v>0</v>
      </c>
      <c r="I76" s="223">
        <v>-546015.46</v>
      </c>
      <c r="J76" s="223">
        <v>0</v>
      </c>
      <c r="K76" s="223">
        <v>0</v>
      </c>
      <c r="L76" s="223">
        <v>0</v>
      </c>
      <c r="M76" s="223">
        <v>-5920</v>
      </c>
      <c r="N76" s="223">
        <v>0</v>
      </c>
      <c r="O76" s="223">
        <v>-4875</v>
      </c>
      <c r="P76" s="223">
        <v>0</v>
      </c>
      <c r="Q76" s="223">
        <v>-24301.88</v>
      </c>
      <c r="R76" s="223">
        <v>0</v>
      </c>
      <c r="S76" s="223">
        <v>0</v>
      </c>
      <c r="T76" s="223">
        <v>0</v>
      </c>
      <c r="U76" s="223">
        <v>-17234.439999999995</v>
      </c>
      <c r="V76" s="223">
        <v>-7285.35</v>
      </c>
      <c r="W76" s="223">
        <v>0</v>
      </c>
      <c r="X76" s="223">
        <v>0</v>
      </c>
      <c r="Y76" s="223">
        <v>0</v>
      </c>
      <c r="Z76" s="223">
        <v>0</v>
      </c>
      <c r="AA76" s="223">
        <v>0</v>
      </c>
      <c r="AB76" s="223">
        <v>-342.5</v>
      </c>
      <c r="AC76" s="223">
        <v>-25984</v>
      </c>
      <c r="AD76" s="210">
        <v>337468.73</v>
      </c>
      <c r="AE76" s="210">
        <v>5337</v>
      </c>
      <c r="AF76" s="210">
        <v>71539.639999999985</v>
      </c>
      <c r="AG76" s="210">
        <v>0</v>
      </c>
      <c r="AH76" s="210">
        <v>31641.170000000002</v>
      </c>
      <c r="AI76" s="210">
        <v>0</v>
      </c>
      <c r="AJ76" s="210">
        <v>23851.079999999998</v>
      </c>
      <c r="AK76" s="210">
        <v>296.37</v>
      </c>
      <c r="AL76" s="210">
        <v>2668</v>
      </c>
      <c r="AM76" s="210">
        <v>2040.3</v>
      </c>
      <c r="AN76" s="210">
        <v>0</v>
      </c>
      <c r="AO76" s="210">
        <v>8426.66</v>
      </c>
      <c r="AP76" s="210">
        <v>3564.0499999999988</v>
      </c>
      <c r="AQ76" s="210">
        <v>17038.070000000003</v>
      </c>
      <c r="AR76" s="210">
        <v>4935.6099999999997</v>
      </c>
      <c r="AS76" s="210">
        <v>16126.11</v>
      </c>
      <c r="AT76" s="210">
        <v>1842.9</v>
      </c>
      <c r="AU76" s="210">
        <v>1079.8200000000002</v>
      </c>
      <c r="AV76" s="210">
        <v>35229.980000000003</v>
      </c>
      <c r="AW76" s="312">
        <v>2.8421709430404007E-13</v>
      </c>
      <c r="AX76" s="210">
        <v>3816.94</v>
      </c>
      <c r="AY76" s="210">
        <v>0</v>
      </c>
      <c r="AZ76" s="210">
        <v>3415.37</v>
      </c>
      <c r="BA76" s="210">
        <v>1110.76</v>
      </c>
      <c r="BB76" s="210">
        <v>0</v>
      </c>
      <c r="BC76" s="210">
        <v>851</v>
      </c>
      <c r="BD76" s="210">
        <v>1062.22</v>
      </c>
      <c r="BE76" s="210">
        <v>0</v>
      </c>
      <c r="BF76" s="210">
        <v>2506.8000000000002</v>
      </c>
      <c r="BG76" s="210">
        <v>4505.54</v>
      </c>
      <c r="BH76" s="210">
        <v>0</v>
      </c>
      <c r="BI76" s="210">
        <v>10630.989999999998</v>
      </c>
      <c r="BJ76" s="210">
        <v>0</v>
      </c>
      <c r="BK76" s="210">
        <v>14071.5</v>
      </c>
      <c r="BL76" s="210">
        <v>16020.75</v>
      </c>
      <c r="BM76" s="210">
        <v>0</v>
      </c>
      <c r="BN76" s="210">
        <v>5877.89</v>
      </c>
      <c r="BO76" s="210">
        <v>0</v>
      </c>
      <c r="BP76" s="210">
        <v>0</v>
      </c>
      <c r="BQ76" s="211">
        <v>0</v>
      </c>
      <c r="BR76" s="211">
        <v>0</v>
      </c>
      <c r="BS76" s="211">
        <v>-3952</v>
      </c>
      <c r="BT76" s="212">
        <v>0</v>
      </c>
      <c r="BU76" s="212">
        <v>-8076.6399999999994</v>
      </c>
      <c r="BV76" s="212">
        <v>0</v>
      </c>
      <c r="BW76" s="212">
        <v>0</v>
      </c>
      <c r="BX76" s="212">
        <v>0</v>
      </c>
      <c r="BY76" s="212">
        <v>0</v>
      </c>
      <c r="BZ76" s="212">
        <v>0</v>
      </c>
      <c r="CA76" s="212">
        <v>0</v>
      </c>
      <c r="CB76" s="212">
        <v>0</v>
      </c>
      <c r="CC76" s="224">
        <v>-160588.9499999999</v>
      </c>
      <c r="CD76" s="213"/>
      <c r="CE76" s="211">
        <v>155210.30999999988</v>
      </c>
      <c r="CF76" s="211">
        <v>4910</v>
      </c>
      <c r="CG76" s="211">
        <v>0</v>
      </c>
      <c r="CH76" s="211">
        <v>468.63999999999942</v>
      </c>
      <c r="CI76" s="211">
        <v>0</v>
      </c>
      <c r="CJ76" s="211">
        <v>0</v>
      </c>
      <c r="CK76" s="211">
        <v>160588.9499999999</v>
      </c>
      <c r="CL76" s="201"/>
      <c r="CM76" s="201">
        <f t="shared" si="25"/>
        <v>0</v>
      </c>
      <c r="CN76" s="340">
        <f t="shared" si="18"/>
        <v>155210.30999999988</v>
      </c>
      <c r="CO76" s="340">
        <f t="shared" si="19"/>
        <v>4910</v>
      </c>
      <c r="CP76" s="340">
        <f t="shared" si="20"/>
        <v>0</v>
      </c>
      <c r="CQ76" s="340">
        <f t="shared" si="21"/>
        <v>468.63999999999942</v>
      </c>
      <c r="CR76" s="340">
        <f t="shared" si="22"/>
        <v>0</v>
      </c>
      <c r="CS76" s="340">
        <f t="shared" si="23"/>
        <v>0</v>
      </c>
      <c r="CT76" s="90">
        <f t="shared" si="17"/>
        <v>160588.9499999999</v>
      </c>
      <c r="CV76" s="90">
        <f t="shared" si="24"/>
        <v>0</v>
      </c>
    </row>
    <row r="77" spans="1:100">
      <c r="A77" s="325">
        <v>678</v>
      </c>
      <c r="B77" s="325" t="s">
        <v>248</v>
      </c>
      <c r="C77" s="209">
        <v>-163430.01</v>
      </c>
      <c r="D77" s="209">
        <v>-57640.08</v>
      </c>
      <c r="E77" s="209">
        <v>0</v>
      </c>
      <c r="F77" s="209">
        <v>-23593.119999999999</v>
      </c>
      <c r="G77" s="209">
        <v>0</v>
      </c>
      <c r="H77" s="209">
        <v>0</v>
      </c>
      <c r="I77" s="223">
        <v>-1104445.3900000001</v>
      </c>
      <c r="J77" s="223">
        <v>0</v>
      </c>
      <c r="K77" s="223">
        <v>-56027</v>
      </c>
      <c r="L77" s="223">
        <v>0</v>
      </c>
      <c r="M77" s="223">
        <v>-109680</v>
      </c>
      <c r="N77" s="223">
        <v>-3771.29</v>
      </c>
      <c r="O77" s="223">
        <v>-1500</v>
      </c>
      <c r="P77" s="223">
        <v>0</v>
      </c>
      <c r="Q77" s="223">
        <v>-67650.159999999989</v>
      </c>
      <c r="R77" s="223">
        <v>0</v>
      </c>
      <c r="S77" s="223">
        <v>0</v>
      </c>
      <c r="T77" s="223">
        <v>0</v>
      </c>
      <c r="U77" s="223">
        <v>-23030.899999999998</v>
      </c>
      <c r="V77" s="223">
        <v>-593.98</v>
      </c>
      <c r="W77" s="223">
        <v>0</v>
      </c>
      <c r="X77" s="223">
        <v>0</v>
      </c>
      <c r="Y77" s="223">
        <v>231</v>
      </c>
      <c r="Z77" s="223">
        <v>0</v>
      </c>
      <c r="AA77" s="223">
        <v>0</v>
      </c>
      <c r="AB77" s="223">
        <v>-231.25</v>
      </c>
      <c r="AC77" s="223">
        <v>-17950</v>
      </c>
      <c r="AD77" s="210">
        <v>634944.5</v>
      </c>
      <c r="AE77" s="210">
        <v>35054.89</v>
      </c>
      <c r="AF77" s="210">
        <v>199702.81999999998</v>
      </c>
      <c r="AG77" s="210">
        <v>40159.99</v>
      </c>
      <c r="AH77" s="210">
        <v>57484.01</v>
      </c>
      <c r="AI77" s="210">
        <v>0</v>
      </c>
      <c r="AJ77" s="210">
        <v>50442.310000000005</v>
      </c>
      <c r="AK77" s="210">
        <v>4681.09</v>
      </c>
      <c r="AL77" s="210">
        <v>3616.4</v>
      </c>
      <c r="AM77" s="210">
        <v>588.65</v>
      </c>
      <c r="AN77" s="210">
        <v>0</v>
      </c>
      <c r="AO77" s="210">
        <v>8383.4999999999982</v>
      </c>
      <c r="AP77" s="210">
        <v>4851.7999999999993</v>
      </c>
      <c r="AQ77" s="210">
        <v>3908.6899999999996</v>
      </c>
      <c r="AR77" s="210">
        <v>3194.9300000000003</v>
      </c>
      <c r="AS77" s="210">
        <v>24378.440000000002</v>
      </c>
      <c r="AT77" s="210">
        <v>16571.73</v>
      </c>
      <c r="AU77" s="210">
        <v>3557.0400000000004</v>
      </c>
      <c r="AV77" s="210">
        <v>78474.030000000013</v>
      </c>
      <c r="AW77" s="312">
        <v>309.72000000000003</v>
      </c>
      <c r="AX77" s="210">
        <v>4118.3999999999996</v>
      </c>
      <c r="AY77" s="210">
        <v>0</v>
      </c>
      <c r="AZ77" s="210">
        <v>707</v>
      </c>
      <c r="BA77" s="210">
        <v>410.4</v>
      </c>
      <c r="BB77" s="210">
        <v>0</v>
      </c>
      <c r="BC77" s="210">
        <v>0</v>
      </c>
      <c r="BD77" s="210">
        <v>3930</v>
      </c>
      <c r="BE77" s="210">
        <v>0</v>
      </c>
      <c r="BF77" s="210">
        <v>1986.06</v>
      </c>
      <c r="BG77" s="210">
        <v>10111.27</v>
      </c>
      <c r="BH77" s="210">
        <v>0</v>
      </c>
      <c r="BI77" s="210">
        <v>23108.800000000003</v>
      </c>
      <c r="BJ77" s="210">
        <v>33431.72</v>
      </c>
      <c r="BK77" s="210">
        <v>29508.600000000009</v>
      </c>
      <c r="BL77" s="210">
        <v>29988.52</v>
      </c>
      <c r="BM77" s="210">
        <v>0</v>
      </c>
      <c r="BN77" s="210">
        <v>0</v>
      </c>
      <c r="BO77" s="210">
        <v>0</v>
      </c>
      <c r="BP77" s="210">
        <v>0</v>
      </c>
      <c r="BQ77" s="211">
        <v>-5957.5</v>
      </c>
      <c r="BR77" s="211">
        <v>0</v>
      </c>
      <c r="BS77" s="211">
        <v>0</v>
      </c>
      <c r="BT77" s="212">
        <v>0</v>
      </c>
      <c r="BU77" s="212">
        <v>16816</v>
      </c>
      <c r="BV77" s="212">
        <v>0</v>
      </c>
      <c r="BW77" s="212">
        <v>0</v>
      </c>
      <c r="BX77" s="212">
        <v>0</v>
      </c>
      <c r="BY77" s="212">
        <v>0</v>
      </c>
      <c r="BZ77" s="212">
        <v>0</v>
      </c>
      <c r="CA77" s="212">
        <v>0</v>
      </c>
      <c r="CB77" s="212">
        <v>0</v>
      </c>
      <c r="CC77" s="224">
        <v>-310848.36999999982</v>
      </c>
      <c r="CD77" s="213"/>
      <c r="CE77" s="211">
        <v>273622.06000000017</v>
      </c>
      <c r="CF77" s="211">
        <v>24491.689999999995</v>
      </c>
      <c r="CG77" s="211">
        <v>0</v>
      </c>
      <c r="CH77" s="211">
        <v>12734.619999999999</v>
      </c>
      <c r="CI77" s="211">
        <v>0</v>
      </c>
      <c r="CJ77" s="211">
        <v>0</v>
      </c>
      <c r="CK77" s="211">
        <v>310848.37000000017</v>
      </c>
      <c r="CL77" s="201"/>
      <c r="CM77" s="201">
        <f t="shared" si="25"/>
        <v>0</v>
      </c>
      <c r="CN77" s="340">
        <f t="shared" si="18"/>
        <v>273622.06000000017</v>
      </c>
      <c r="CO77" s="340">
        <f t="shared" si="19"/>
        <v>24491.689999999995</v>
      </c>
      <c r="CP77" s="340">
        <f t="shared" si="20"/>
        <v>0</v>
      </c>
      <c r="CQ77" s="340">
        <f t="shared" si="21"/>
        <v>12734.619999999999</v>
      </c>
      <c r="CR77" s="340">
        <f t="shared" si="22"/>
        <v>0</v>
      </c>
      <c r="CS77" s="340">
        <f t="shared" si="23"/>
        <v>0</v>
      </c>
      <c r="CT77" s="90">
        <f t="shared" si="17"/>
        <v>310848.37000000017</v>
      </c>
      <c r="CV77" s="90">
        <f t="shared" si="24"/>
        <v>0</v>
      </c>
    </row>
    <row r="78" spans="1:100">
      <c r="A78" s="325">
        <v>682</v>
      </c>
      <c r="B78" s="325" t="s">
        <v>271</v>
      </c>
      <c r="C78" s="209">
        <v>-39407.769999999997</v>
      </c>
      <c r="D78" s="209">
        <v>-8623.08</v>
      </c>
      <c r="E78" s="209">
        <v>0</v>
      </c>
      <c r="F78" s="209">
        <v>-8456.4</v>
      </c>
      <c r="G78" s="209">
        <v>0</v>
      </c>
      <c r="H78" s="209">
        <v>-16788.439999999999</v>
      </c>
      <c r="I78" s="223">
        <v>-592570.62</v>
      </c>
      <c r="J78" s="223">
        <v>0</v>
      </c>
      <c r="K78" s="223">
        <v>-23326</v>
      </c>
      <c r="L78" s="223">
        <v>0</v>
      </c>
      <c r="M78" s="223">
        <v>-26420</v>
      </c>
      <c r="N78" s="223">
        <v>0</v>
      </c>
      <c r="O78" s="223">
        <v>0</v>
      </c>
      <c r="P78" s="223">
        <v>0</v>
      </c>
      <c r="Q78" s="223">
        <v>-16108.220000000003</v>
      </c>
      <c r="R78" s="223">
        <v>-55.08</v>
      </c>
      <c r="S78" s="223">
        <v>0</v>
      </c>
      <c r="T78" s="223">
        <v>-2732</v>
      </c>
      <c r="U78" s="223">
        <v>-10016.619999999999</v>
      </c>
      <c r="V78" s="223">
        <v>0</v>
      </c>
      <c r="W78" s="223">
        <v>0</v>
      </c>
      <c r="X78" s="223">
        <v>-26780.460000000003</v>
      </c>
      <c r="Y78" s="223">
        <v>-6358.6</v>
      </c>
      <c r="Z78" s="223">
        <v>0</v>
      </c>
      <c r="AA78" s="223">
        <v>0</v>
      </c>
      <c r="AB78" s="223">
        <v>-268.13</v>
      </c>
      <c r="AC78" s="223">
        <v>-22939</v>
      </c>
      <c r="AD78" s="210">
        <v>319894.30000000005</v>
      </c>
      <c r="AE78" s="210">
        <v>1735.83</v>
      </c>
      <c r="AF78" s="210">
        <v>131809.66</v>
      </c>
      <c r="AG78" s="210">
        <v>5578.869999999999</v>
      </c>
      <c r="AH78" s="210">
        <v>32677.659999999996</v>
      </c>
      <c r="AI78" s="210">
        <v>0</v>
      </c>
      <c r="AJ78" s="210">
        <v>17427.05</v>
      </c>
      <c r="AK78" s="210">
        <v>1799.04</v>
      </c>
      <c r="AL78" s="210">
        <v>1658</v>
      </c>
      <c r="AM78" s="210">
        <v>259.25</v>
      </c>
      <c r="AN78" s="210">
        <v>0</v>
      </c>
      <c r="AO78" s="210">
        <v>4702.3999999999996</v>
      </c>
      <c r="AP78" s="210">
        <v>1588.75</v>
      </c>
      <c r="AQ78" s="210">
        <v>15151.009999999995</v>
      </c>
      <c r="AR78" s="210">
        <v>1656.3000000000002</v>
      </c>
      <c r="AS78" s="210">
        <v>18442.800000000003</v>
      </c>
      <c r="AT78" s="210">
        <v>17960.64</v>
      </c>
      <c r="AU78" s="210">
        <v>5701.9900000000007</v>
      </c>
      <c r="AV78" s="210">
        <v>24818.47</v>
      </c>
      <c r="AW78" s="312">
        <v>0</v>
      </c>
      <c r="AX78" s="210">
        <v>0</v>
      </c>
      <c r="AY78" s="210">
        <v>0</v>
      </c>
      <c r="AZ78" s="210">
        <v>516.12</v>
      </c>
      <c r="BA78" s="210">
        <v>4486.0599999999995</v>
      </c>
      <c r="BB78" s="210">
        <v>0</v>
      </c>
      <c r="BC78" s="210">
        <v>0</v>
      </c>
      <c r="BD78" s="210">
        <v>4543.6499999999996</v>
      </c>
      <c r="BE78" s="210">
        <v>0</v>
      </c>
      <c r="BF78" s="210">
        <v>4926.24</v>
      </c>
      <c r="BG78" s="210">
        <v>4453.1499999999996</v>
      </c>
      <c r="BH78" s="210">
        <v>0</v>
      </c>
      <c r="BI78" s="210">
        <v>12621.51</v>
      </c>
      <c r="BJ78" s="210">
        <v>0</v>
      </c>
      <c r="BK78" s="210">
        <v>3173</v>
      </c>
      <c r="BL78" s="210">
        <v>15931.02</v>
      </c>
      <c r="BM78" s="210">
        <v>0</v>
      </c>
      <c r="BN78" s="210">
        <v>0</v>
      </c>
      <c r="BO78" s="210">
        <v>0</v>
      </c>
      <c r="BP78" s="210">
        <v>0</v>
      </c>
      <c r="BQ78" s="211">
        <v>-4883.13</v>
      </c>
      <c r="BR78" s="211">
        <v>0</v>
      </c>
      <c r="BS78" s="211">
        <v>0</v>
      </c>
      <c r="BT78" s="212">
        <v>0</v>
      </c>
      <c r="BU78" s="212">
        <v>0</v>
      </c>
      <c r="BV78" s="212">
        <v>0</v>
      </c>
      <c r="BW78" s="212">
        <v>0</v>
      </c>
      <c r="BX78" s="212">
        <v>0</v>
      </c>
      <c r="BY78" s="212">
        <v>0</v>
      </c>
      <c r="BZ78" s="212">
        <v>0</v>
      </c>
      <c r="CA78" s="212">
        <v>0</v>
      </c>
      <c r="CB78" s="212">
        <v>0</v>
      </c>
      <c r="CC78" s="224">
        <v>-152220.77999999997</v>
      </c>
      <c r="CD78" s="213"/>
      <c r="CE78" s="211">
        <v>98684.150000000052</v>
      </c>
      <c r="CF78" s="211">
        <v>15269.6</v>
      </c>
      <c r="CG78" s="211">
        <v>0</v>
      </c>
      <c r="CH78" s="211">
        <v>13339.529999999999</v>
      </c>
      <c r="CI78" s="211">
        <v>0</v>
      </c>
      <c r="CJ78" s="211">
        <v>24927.5</v>
      </c>
      <c r="CK78" s="211">
        <v>152220.78000000006</v>
      </c>
      <c r="CL78" s="201"/>
      <c r="CM78" s="201">
        <f t="shared" si="25"/>
        <v>0</v>
      </c>
      <c r="CN78" s="340">
        <f t="shared" si="18"/>
        <v>98684.150000000052</v>
      </c>
      <c r="CO78" s="340">
        <f t="shared" si="19"/>
        <v>15269.6</v>
      </c>
      <c r="CP78" s="340">
        <f t="shared" si="20"/>
        <v>0</v>
      </c>
      <c r="CQ78" s="340">
        <f t="shared" si="21"/>
        <v>13339.529999999999</v>
      </c>
      <c r="CR78" s="340">
        <f t="shared" si="22"/>
        <v>0</v>
      </c>
      <c r="CS78" s="340">
        <f t="shared" si="23"/>
        <v>24927.5</v>
      </c>
      <c r="CT78" s="90">
        <f t="shared" si="17"/>
        <v>152220.78000000006</v>
      </c>
      <c r="CV78" s="90">
        <f t="shared" si="24"/>
        <v>0</v>
      </c>
    </row>
    <row r="79" spans="1:100">
      <c r="A79" s="325">
        <v>683</v>
      </c>
      <c r="B79" s="325" t="s">
        <v>244</v>
      </c>
      <c r="C79" s="209">
        <v>-207947.38</v>
      </c>
      <c r="D79" s="209">
        <v>-11854.649999999998</v>
      </c>
      <c r="E79" s="209">
        <v>0</v>
      </c>
      <c r="F79" s="209">
        <v>-22685.51</v>
      </c>
      <c r="G79" s="209">
        <v>0</v>
      </c>
      <c r="H79" s="209">
        <v>0</v>
      </c>
      <c r="I79" s="223">
        <v>-722345.1</v>
      </c>
      <c r="J79" s="223">
        <v>0</v>
      </c>
      <c r="K79" s="223">
        <v>-64429</v>
      </c>
      <c r="L79" s="223">
        <v>0</v>
      </c>
      <c r="M79" s="223">
        <v>-34060</v>
      </c>
      <c r="N79" s="223">
        <v>-856.93</v>
      </c>
      <c r="O79" s="223">
        <v>0</v>
      </c>
      <c r="P79" s="223">
        <v>0</v>
      </c>
      <c r="Q79" s="223">
        <v>-17570.55</v>
      </c>
      <c r="R79" s="223">
        <v>0</v>
      </c>
      <c r="S79" s="223">
        <v>0</v>
      </c>
      <c r="T79" s="223">
        <v>0</v>
      </c>
      <c r="U79" s="223">
        <v>-2288.7999999999997</v>
      </c>
      <c r="V79" s="223">
        <v>-1155</v>
      </c>
      <c r="W79" s="223">
        <v>0</v>
      </c>
      <c r="X79" s="223">
        <v>0</v>
      </c>
      <c r="Y79" s="223">
        <v>0</v>
      </c>
      <c r="Z79" s="223">
        <v>0</v>
      </c>
      <c r="AA79" s="223">
        <v>0</v>
      </c>
      <c r="AB79" s="223">
        <v>-106.25</v>
      </c>
      <c r="AC79" s="223">
        <v>-74323</v>
      </c>
      <c r="AD79" s="210">
        <v>404840.73000000004</v>
      </c>
      <c r="AE79" s="210">
        <v>3350.54</v>
      </c>
      <c r="AF79" s="210">
        <v>176974.25</v>
      </c>
      <c r="AG79" s="210">
        <v>14331.01</v>
      </c>
      <c r="AH79" s="210">
        <v>37433.229999999996</v>
      </c>
      <c r="AI79" s="210">
        <v>0</v>
      </c>
      <c r="AJ79" s="210">
        <v>14621.81</v>
      </c>
      <c r="AK79" s="210">
        <v>2475.0500000000002</v>
      </c>
      <c r="AL79" s="210">
        <v>3273.6</v>
      </c>
      <c r="AM79" s="210">
        <v>362.95</v>
      </c>
      <c r="AN79" s="210">
        <v>0</v>
      </c>
      <c r="AO79" s="210">
        <v>6683.9</v>
      </c>
      <c r="AP79" s="210">
        <v>3537.7099999999991</v>
      </c>
      <c r="AQ79" s="210">
        <v>13960.97</v>
      </c>
      <c r="AR79" s="210">
        <v>2382.0999999999995</v>
      </c>
      <c r="AS79" s="210">
        <v>15498.59</v>
      </c>
      <c r="AT79" s="210">
        <v>15297.75</v>
      </c>
      <c r="AU79" s="210">
        <v>3677.36</v>
      </c>
      <c r="AV79" s="210">
        <v>15457.77</v>
      </c>
      <c r="AW79" s="312">
        <v>2.0461410343841635E-13</v>
      </c>
      <c r="AX79" s="210">
        <v>4023.26</v>
      </c>
      <c r="AY79" s="210">
        <v>0</v>
      </c>
      <c r="AZ79" s="210">
        <v>894.19</v>
      </c>
      <c r="BA79" s="210">
        <v>4043.82</v>
      </c>
      <c r="BB79" s="210">
        <v>608</v>
      </c>
      <c r="BC79" s="210">
        <v>135.97</v>
      </c>
      <c r="BD79" s="210">
        <v>3391.88</v>
      </c>
      <c r="BE79" s="210">
        <v>0</v>
      </c>
      <c r="BF79" s="210">
        <v>2644.3599999999997</v>
      </c>
      <c r="BG79" s="210">
        <v>6234.41</v>
      </c>
      <c r="BH79" s="210">
        <v>0</v>
      </c>
      <c r="BI79" s="210">
        <v>51090.27</v>
      </c>
      <c r="BJ79" s="210">
        <v>17497.800000000003</v>
      </c>
      <c r="BK79" s="210">
        <v>61146.000000000007</v>
      </c>
      <c r="BL79" s="210">
        <v>12501.18</v>
      </c>
      <c r="BM79" s="210">
        <v>0</v>
      </c>
      <c r="BN79" s="210">
        <v>0</v>
      </c>
      <c r="BO79" s="210">
        <v>0</v>
      </c>
      <c r="BP79" s="210">
        <v>0</v>
      </c>
      <c r="BQ79" s="211">
        <v>-5226.25</v>
      </c>
      <c r="BR79" s="211">
        <v>0</v>
      </c>
      <c r="BS79" s="211">
        <v>0</v>
      </c>
      <c r="BT79" s="212">
        <v>0</v>
      </c>
      <c r="BU79" s="212">
        <v>2148.6999999999998</v>
      </c>
      <c r="BV79" s="212">
        <v>0</v>
      </c>
      <c r="BW79" s="212">
        <v>0</v>
      </c>
      <c r="BX79" s="212">
        <v>0</v>
      </c>
      <c r="BY79" s="212">
        <v>0</v>
      </c>
      <c r="BZ79" s="212">
        <v>0</v>
      </c>
      <c r="CA79" s="212">
        <v>0</v>
      </c>
      <c r="CB79" s="212">
        <v>0</v>
      </c>
      <c r="CC79" s="224">
        <v>-264329.26000000018</v>
      </c>
      <c r="CD79" s="213"/>
      <c r="CE79" s="211">
        <v>220790.55000000005</v>
      </c>
      <c r="CF79" s="211">
        <v>17775.650000000001</v>
      </c>
      <c r="CG79" s="211">
        <v>0</v>
      </c>
      <c r="CH79" s="211">
        <v>25763.059999999998</v>
      </c>
      <c r="CI79" s="211">
        <v>0</v>
      </c>
      <c r="CJ79" s="211">
        <v>0</v>
      </c>
      <c r="CK79" s="211">
        <v>264329.26</v>
      </c>
      <c r="CL79" s="201"/>
      <c r="CM79" s="201">
        <f t="shared" si="25"/>
        <v>0</v>
      </c>
      <c r="CN79" s="340">
        <f t="shared" si="18"/>
        <v>220790.55000000005</v>
      </c>
      <c r="CO79" s="340">
        <f t="shared" si="19"/>
        <v>17775.650000000001</v>
      </c>
      <c r="CP79" s="340">
        <f t="shared" si="20"/>
        <v>0</v>
      </c>
      <c r="CQ79" s="340">
        <f t="shared" si="21"/>
        <v>25763.059999999998</v>
      </c>
      <c r="CR79" s="340">
        <f t="shared" si="22"/>
        <v>0</v>
      </c>
      <c r="CS79" s="340">
        <f t="shared" si="23"/>
        <v>0</v>
      </c>
      <c r="CT79" s="90">
        <f t="shared" si="17"/>
        <v>264329.26</v>
      </c>
      <c r="CV79" s="90">
        <f t="shared" si="24"/>
        <v>0</v>
      </c>
    </row>
    <row r="80" spans="1:100">
      <c r="A80" s="325">
        <v>686</v>
      </c>
      <c r="B80" s="325" t="s">
        <v>395</v>
      </c>
      <c r="C80" s="209">
        <v>-78175.28</v>
      </c>
      <c r="D80" s="209">
        <v>-21634.2</v>
      </c>
      <c r="E80" s="209">
        <v>0</v>
      </c>
      <c r="F80" s="209">
        <v>-16605.349999999999</v>
      </c>
      <c r="G80" s="209">
        <v>0</v>
      </c>
      <c r="H80" s="209">
        <v>0</v>
      </c>
      <c r="I80" s="223">
        <v>-1037170.6</v>
      </c>
      <c r="J80" s="223">
        <v>0</v>
      </c>
      <c r="K80" s="223">
        <v>-131197</v>
      </c>
      <c r="L80" s="223">
        <v>0</v>
      </c>
      <c r="M80" s="223">
        <v>-27200</v>
      </c>
      <c r="N80" s="223">
        <v>-3656.93</v>
      </c>
      <c r="O80" s="223">
        <v>-1000</v>
      </c>
      <c r="P80" s="223">
        <v>0</v>
      </c>
      <c r="Q80" s="223">
        <v>-73126.549999999988</v>
      </c>
      <c r="R80" s="223">
        <v>-1486.08</v>
      </c>
      <c r="S80" s="223">
        <v>-6275</v>
      </c>
      <c r="T80" s="223">
        <v>0</v>
      </c>
      <c r="U80" s="223">
        <v>-13985.309999999992</v>
      </c>
      <c r="V80" s="223">
        <v>-16687.530000000002</v>
      </c>
      <c r="W80" s="223">
        <v>0</v>
      </c>
      <c r="X80" s="223">
        <v>0</v>
      </c>
      <c r="Y80" s="223">
        <v>0</v>
      </c>
      <c r="Z80" s="223">
        <v>0</v>
      </c>
      <c r="AA80" s="223">
        <v>0</v>
      </c>
      <c r="AB80" s="223">
        <v>407.5</v>
      </c>
      <c r="AC80" s="223">
        <v>-46991</v>
      </c>
      <c r="AD80" s="210">
        <v>648150.82999999996</v>
      </c>
      <c r="AE80" s="210">
        <v>22587.13</v>
      </c>
      <c r="AF80" s="210">
        <v>235699.61000000004</v>
      </c>
      <c r="AG80" s="210">
        <v>37081.83</v>
      </c>
      <c r="AH80" s="210">
        <v>71108.62000000001</v>
      </c>
      <c r="AI80" s="210">
        <v>0</v>
      </c>
      <c r="AJ80" s="210">
        <v>78668.170000000013</v>
      </c>
      <c r="AK80" s="210">
        <v>4050.6</v>
      </c>
      <c r="AL80" s="210">
        <v>4492.96</v>
      </c>
      <c r="AM80" s="210">
        <v>8518.61</v>
      </c>
      <c r="AN80" s="210">
        <v>0</v>
      </c>
      <c r="AO80" s="210">
        <v>15827.01</v>
      </c>
      <c r="AP80" s="210">
        <v>3926.1500000000015</v>
      </c>
      <c r="AQ80" s="210">
        <v>2577.34</v>
      </c>
      <c r="AR80" s="210">
        <v>690.63000000000011</v>
      </c>
      <c r="AS80" s="210">
        <v>24459.190000000002</v>
      </c>
      <c r="AT80" s="210">
        <v>7402.29</v>
      </c>
      <c r="AU80" s="210">
        <v>6485.9800000000005</v>
      </c>
      <c r="AV80" s="210">
        <v>63522.17000000002</v>
      </c>
      <c r="AW80" s="312">
        <v>-4.0323300254385686E-13</v>
      </c>
      <c r="AX80" s="210">
        <v>2647.63</v>
      </c>
      <c r="AY80" s="210">
        <v>0</v>
      </c>
      <c r="AZ80" s="210">
        <v>520</v>
      </c>
      <c r="BA80" s="210">
        <v>2888.6</v>
      </c>
      <c r="BB80" s="210">
        <v>1919.9299999999998</v>
      </c>
      <c r="BC80" s="210">
        <v>1270</v>
      </c>
      <c r="BD80" s="210">
        <v>5365</v>
      </c>
      <c r="BE80" s="210">
        <v>0</v>
      </c>
      <c r="BF80" s="210">
        <v>5260.7300000000005</v>
      </c>
      <c r="BG80" s="210">
        <v>10739.95</v>
      </c>
      <c r="BH80" s="210">
        <v>0</v>
      </c>
      <c r="BI80" s="210">
        <v>40896.050000000003</v>
      </c>
      <c r="BJ80" s="210">
        <v>9673</v>
      </c>
      <c r="BK80" s="210">
        <v>10422.02</v>
      </c>
      <c r="BL80" s="210">
        <v>22203.120000000003</v>
      </c>
      <c r="BM80" s="210">
        <v>0</v>
      </c>
      <c r="BN80" s="210">
        <v>0</v>
      </c>
      <c r="BO80" s="210">
        <v>0</v>
      </c>
      <c r="BP80" s="210">
        <v>0</v>
      </c>
      <c r="BQ80" s="211">
        <v>-6385</v>
      </c>
      <c r="BR80" s="211">
        <v>0</v>
      </c>
      <c r="BS80" s="211">
        <v>0</v>
      </c>
      <c r="BT80" s="212">
        <v>0</v>
      </c>
      <c r="BU80" s="212">
        <v>4026.9999999999995</v>
      </c>
      <c r="BV80" s="212">
        <v>0</v>
      </c>
      <c r="BW80" s="212">
        <v>0</v>
      </c>
      <c r="BX80" s="212">
        <v>0</v>
      </c>
      <c r="BY80" s="212">
        <v>0</v>
      </c>
      <c r="BZ80" s="212">
        <v>0</v>
      </c>
      <c r="CA80" s="212">
        <v>9259.5300000000007</v>
      </c>
      <c r="CB80" s="212">
        <v>0</v>
      </c>
      <c r="CC80" s="224">
        <v>-118826.64999999997</v>
      </c>
      <c r="CD80" s="213"/>
      <c r="CE80" s="211">
        <v>106754.45999999986</v>
      </c>
      <c r="CF80" s="211">
        <v>2368.369999999999</v>
      </c>
      <c r="CG80" s="211">
        <v>0</v>
      </c>
      <c r="CH80" s="211">
        <v>9703.8199999999979</v>
      </c>
      <c r="CI80" s="211">
        <v>0</v>
      </c>
      <c r="CJ80" s="211">
        <v>0</v>
      </c>
      <c r="CK80" s="211">
        <v>118826.64999999985</v>
      </c>
      <c r="CL80" s="201"/>
      <c r="CM80" s="201">
        <f t="shared" si="25"/>
        <v>-1.1641532182693481E-10</v>
      </c>
      <c r="CN80" s="340">
        <f t="shared" si="18"/>
        <v>106754.45999999986</v>
      </c>
      <c r="CO80" s="340">
        <f t="shared" si="19"/>
        <v>2368.369999999999</v>
      </c>
      <c r="CP80" s="340">
        <f t="shared" si="20"/>
        <v>0</v>
      </c>
      <c r="CQ80" s="340">
        <f t="shared" si="21"/>
        <v>9703.8199999999979</v>
      </c>
      <c r="CR80" s="340">
        <f t="shared" si="22"/>
        <v>0</v>
      </c>
      <c r="CS80" s="340">
        <f t="shared" si="23"/>
        <v>0</v>
      </c>
      <c r="CT80" s="90">
        <f t="shared" si="17"/>
        <v>118826.64999999985</v>
      </c>
      <c r="CV80" s="90">
        <f t="shared" si="24"/>
        <v>0</v>
      </c>
    </row>
    <row r="81" spans="1:100">
      <c r="A81" s="325">
        <v>691</v>
      </c>
      <c r="B81" s="325" t="s">
        <v>192</v>
      </c>
      <c r="C81" s="209">
        <v>-85457.82</v>
      </c>
      <c r="D81" s="209">
        <v>-20871.560000000001</v>
      </c>
      <c r="E81" s="209">
        <v>0</v>
      </c>
      <c r="F81" s="209">
        <v>-22272.36</v>
      </c>
      <c r="G81" s="209">
        <v>0</v>
      </c>
      <c r="H81" s="209">
        <v>0</v>
      </c>
      <c r="I81" s="223">
        <v>-594211.68999999994</v>
      </c>
      <c r="J81" s="223">
        <v>0</v>
      </c>
      <c r="K81" s="223">
        <v>-29865</v>
      </c>
      <c r="L81" s="223">
        <v>0</v>
      </c>
      <c r="M81" s="223">
        <v>-28700</v>
      </c>
      <c r="N81" s="223">
        <v>-1200</v>
      </c>
      <c r="O81" s="223">
        <v>0</v>
      </c>
      <c r="P81" s="223">
        <v>0</v>
      </c>
      <c r="Q81" s="223">
        <v>-58009.890000000007</v>
      </c>
      <c r="R81" s="223">
        <v>-39.549999999999983</v>
      </c>
      <c r="S81" s="223">
        <v>0</v>
      </c>
      <c r="T81" s="223">
        <v>-2197.3000000000002</v>
      </c>
      <c r="U81" s="223">
        <v>-5123.2200000000012</v>
      </c>
      <c r="V81" s="223">
        <v>-419.32</v>
      </c>
      <c r="W81" s="223">
        <v>0</v>
      </c>
      <c r="X81" s="223">
        <v>0</v>
      </c>
      <c r="Y81" s="223">
        <v>0</v>
      </c>
      <c r="Z81" s="223">
        <v>0</v>
      </c>
      <c r="AA81" s="223">
        <v>0</v>
      </c>
      <c r="AB81" s="223">
        <v>-183.13</v>
      </c>
      <c r="AC81" s="223">
        <v>-35904</v>
      </c>
      <c r="AD81" s="210">
        <v>369816.93</v>
      </c>
      <c r="AE81" s="210">
        <v>992.97000000000014</v>
      </c>
      <c r="AF81" s="210">
        <v>154789.58000000002</v>
      </c>
      <c r="AG81" s="210">
        <v>3460.2899999999991</v>
      </c>
      <c r="AH81" s="210">
        <v>61065.57</v>
      </c>
      <c r="AI81" s="210">
        <v>0</v>
      </c>
      <c r="AJ81" s="210">
        <v>10433.61</v>
      </c>
      <c r="AK81" s="210">
        <v>2550.14</v>
      </c>
      <c r="AL81" s="210">
        <v>4506.75</v>
      </c>
      <c r="AM81" s="210">
        <v>2082.9499999999998</v>
      </c>
      <c r="AN81" s="210">
        <v>0</v>
      </c>
      <c r="AO81" s="210">
        <v>4066.5199999999995</v>
      </c>
      <c r="AP81" s="210">
        <v>237.96</v>
      </c>
      <c r="AQ81" s="210">
        <v>9310.0500000000029</v>
      </c>
      <c r="AR81" s="210">
        <v>1151.4499999999998</v>
      </c>
      <c r="AS81" s="210">
        <v>6303.5599999999995</v>
      </c>
      <c r="AT81" s="210">
        <v>12190.68</v>
      </c>
      <c r="AU81" s="210">
        <v>2638.71</v>
      </c>
      <c r="AV81" s="210">
        <v>39359.279999999999</v>
      </c>
      <c r="AW81" s="312">
        <v>0</v>
      </c>
      <c r="AX81" s="210">
        <v>1710.85</v>
      </c>
      <c r="AY81" s="210">
        <v>0</v>
      </c>
      <c r="AZ81" s="210">
        <v>182.5</v>
      </c>
      <c r="BA81" s="210">
        <v>0</v>
      </c>
      <c r="BB81" s="210">
        <v>0</v>
      </c>
      <c r="BC81" s="210">
        <v>0</v>
      </c>
      <c r="BD81" s="210">
        <v>3390</v>
      </c>
      <c r="BE81" s="210">
        <v>0</v>
      </c>
      <c r="BF81" s="210">
        <v>2078.2800000000002</v>
      </c>
      <c r="BG81" s="210">
        <v>5186.6099999999997</v>
      </c>
      <c r="BH81" s="210">
        <v>0</v>
      </c>
      <c r="BI81" s="210">
        <v>24951.64</v>
      </c>
      <c r="BJ81" s="210">
        <v>16874.23</v>
      </c>
      <c r="BK81" s="210">
        <v>2994.74</v>
      </c>
      <c r="BL81" s="210">
        <v>35424.619999999995</v>
      </c>
      <c r="BM81" s="210">
        <v>0</v>
      </c>
      <c r="BN81" s="210">
        <v>0</v>
      </c>
      <c r="BO81" s="210">
        <v>0</v>
      </c>
      <c r="BP81" s="210">
        <v>0</v>
      </c>
      <c r="BQ81" s="211">
        <v>-5113.75</v>
      </c>
      <c r="BR81" s="211">
        <v>0</v>
      </c>
      <c r="BS81" s="211">
        <v>0</v>
      </c>
      <c r="BT81" s="212">
        <v>0</v>
      </c>
      <c r="BU81" s="212">
        <v>17574.88</v>
      </c>
      <c r="BV81" s="212">
        <v>0</v>
      </c>
      <c r="BW81" s="212">
        <v>0</v>
      </c>
      <c r="BX81" s="212">
        <v>11163.9</v>
      </c>
      <c r="BY81" s="212">
        <v>0</v>
      </c>
      <c r="BZ81" s="212">
        <v>0</v>
      </c>
      <c r="CA81" s="212">
        <v>0</v>
      </c>
      <c r="CB81" s="212">
        <v>0</v>
      </c>
      <c r="CC81" s="224">
        <v>-83079.339999999967</v>
      </c>
      <c r="CD81" s="213"/>
      <c r="CE81" s="211">
        <v>55106.55000000001</v>
      </c>
      <c r="CF81" s="211">
        <v>29325.46</v>
      </c>
      <c r="CG81" s="211">
        <v>0</v>
      </c>
      <c r="CH81" s="211">
        <v>-1352.6699999999983</v>
      </c>
      <c r="CI81" s="211">
        <v>0</v>
      </c>
      <c r="CJ81" s="211">
        <v>0</v>
      </c>
      <c r="CK81" s="211">
        <v>83079.340000000011</v>
      </c>
      <c r="CL81" s="201"/>
      <c r="CM81" s="201">
        <f t="shared" si="25"/>
        <v>0</v>
      </c>
      <c r="CN81" s="340">
        <f t="shared" si="18"/>
        <v>55106.55000000001</v>
      </c>
      <c r="CO81" s="340">
        <f t="shared" si="19"/>
        <v>29325.46</v>
      </c>
      <c r="CP81" s="340">
        <f t="shared" si="20"/>
        <v>0</v>
      </c>
      <c r="CQ81" s="340">
        <f t="shared" si="21"/>
        <v>-1352.6699999999983</v>
      </c>
      <c r="CR81" s="340">
        <f t="shared" si="22"/>
        <v>0</v>
      </c>
      <c r="CS81" s="340">
        <f t="shared" si="23"/>
        <v>0</v>
      </c>
      <c r="CT81" s="90">
        <f t="shared" si="17"/>
        <v>83079.340000000011</v>
      </c>
      <c r="CV81" s="90">
        <f t="shared" si="24"/>
        <v>0</v>
      </c>
    </row>
    <row r="82" spans="1:100">
      <c r="A82" s="325">
        <v>693</v>
      </c>
      <c r="B82" s="325" t="s">
        <v>232</v>
      </c>
      <c r="C82" s="209">
        <v>-46268.74</v>
      </c>
      <c r="D82" s="209">
        <v>-2840.05</v>
      </c>
      <c r="E82" s="209">
        <v>0</v>
      </c>
      <c r="F82" s="209">
        <v>-17159.259999999998</v>
      </c>
      <c r="G82" s="209">
        <v>0</v>
      </c>
      <c r="H82" s="209">
        <v>0</v>
      </c>
      <c r="I82" s="223">
        <v>-2056653.4</v>
      </c>
      <c r="J82" s="223">
        <v>0</v>
      </c>
      <c r="K82" s="223">
        <v>-94606</v>
      </c>
      <c r="L82" s="223">
        <v>0</v>
      </c>
      <c r="M82" s="223">
        <v>-92240</v>
      </c>
      <c r="N82" s="223">
        <v>-4056.93</v>
      </c>
      <c r="O82" s="223">
        <v>-6450</v>
      </c>
      <c r="P82" s="223">
        <v>0</v>
      </c>
      <c r="Q82" s="223">
        <v>-168374.43</v>
      </c>
      <c r="R82" s="223">
        <v>0</v>
      </c>
      <c r="S82" s="223">
        <v>0</v>
      </c>
      <c r="T82" s="223">
        <v>0</v>
      </c>
      <c r="U82" s="223">
        <v>-29892.34</v>
      </c>
      <c r="V82" s="223">
        <v>-56452.800000000003</v>
      </c>
      <c r="W82" s="223">
        <v>0</v>
      </c>
      <c r="X82" s="223">
        <v>0</v>
      </c>
      <c r="Y82" s="223">
        <v>0</v>
      </c>
      <c r="Z82" s="223">
        <v>0</v>
      </c>
      <c r="AA82" s="223">
        <v>0</v>
      </c>
      <c r="AB82" s="223">
        <v>181.25</v>
      </c>
      <c r="AC82" s="223">
        <v>-91487</v>
      </c>
      <c r="AD82" s="210">
        <v>1266191.8299999998</v>
      </c>
      <c r="AE82" s="210">
        <v>51392.109999999993</v>
      </c>
      <c r="AF82" s="210">
        <v>402938.22000000003</v>
      </c>
      <c r="AG82" s="210">
        <v>86586.290000000008</v>
      </c>
      <c r="AH82" s="210">
        <v>134337.44</v>
      </c>
      <c r="AI82" s="210">
        <v>0</v>
      </c>
      <c r="AJ82" s="210">
        <v>187142.91</v>
      </c>
      <c r="AK82" s="210">
        <v>96.399999999999991</v>
      </c>
      <c r="AL82" s="210">
        <v>4935</v>
      </c>
      <c r="AM82" s="210">
        <v>1284.05</v>
      </c>
      <c r="AN82" s="210">
        <v>0</v>
      </c>
      <c r="AO82" s="210">
        <v>18526.39</v>
      </c>
      <c r="AP82" s="210">
        <v>10580.560000000001</v>
      </c>
      <c r="AQ82" s="210">
        <v>0</v>
      </c>
      <c r="AR82" s="210">
        <v>2913.38</v>
      </c>
      <c r="AS82" s="210">
        <v>45409.399999999994</v>
      </c>
      <c r="AT82" s="210">
        <v>7304.4</v>
      </c>
      <c r="AU82" s="210">
        <v>4752.2300000000005</v>
      </c>
      <c r="AV82" s="210">
        <v>128885.90000000002</v>
      </c>
      <c r="AW82" s="312">
        <v>50</v>
      </c>
      <c r="AX82" s="210">
        <v>4780.92</v>
      </c>
      <c r="AY82" s="210">
        <v>0</v>
      </c>
      <c r="AZ82" s="210">
        <v>6710</v>
      </c>
      <c r="BA82" s="210">
        <v>5356.08</v>
      </c>
      <c r="BB82" s="210">
        <v>485.99</v>
      </c>
      <c r="BC82" s="210">
        <v>3157.48</v>
      </c>
      <c r="BD82" s="210">
        <v>3600</v>
      </c>
      <c r="BE82" s="210">
        <v>0</v>
      </c>
      <c r="BF82" s="210">
        <v>6780.88</v>
      </c>
      <c r="BG82" s="210">
        <v>22056.19</v>
      </c>
      <c r="BH82" s="210">
        <v>0</v>
      </c>
      <c r="BI82" s="210">
        <v>100284.61</v>
      </c>
      <c r="BJ82" s="210">
        <v>0</v>
      </c>
      <c r="BK82" s="210">
        <v>1667</v>
      </c>
      <c r="BL82" s="210">
        <v>23624.240000000005</v>
      </c>
      <c r="BM82" s="210">
        <v>0</v>
      </c>
      <c r="BN82" s="210">
        <v>0</v>
      </c>
      <c r="BO82" s="210">
        <v>0</v>
      </c>
      <c r="BP82" s="210">
        <v>0</v>
      </c>
      <c r="BQ82" s="211">
        <v>-8736.25</v>
      </c>
      <c r="BR82" s="211">
        <v>0</v>
      </c>
      <c r="BS82" s="211">
        <v>0</v>
      </c>
      <c r="BT82" s="212">
        <v>0</v>
      </c>
      <c r="BU82" s="212">
        <v>6718.24</v>
      </c>
      <c r="BV82" s="212">
        <v>0</v>
      </c>
      <c r="BW82" s="212">
        <v>0</v>
      </c>
      <c r="BX82" s="212">
        <v>0</v>
      </c>
      <c r="BY82" s="212">
        <v>0</v>
      </c>
      <c r="BZ82" s="212">
        <v>0</v>
      </c>
      <c r="CA82" s="212">
        <v>0</v>
      </c>
      <c r="CB82" s="212">
        <v>0</v>
      </c>
      <c r="CC82" s="224">
        <v>-136487.80999999976</v>
      </c>
      <c r="CD82" s="213"/>
      <c r="CE82" s="211">
        <v>112611.74</v>
      </c>
      <c r="CF82" s="211">
        <v>4698.8</v>
      </c>
      <c r="CG82" s="211">
        <v>0</v>
      </c>
      <c r="CH82" s="211">
        <v>19177.269999999997</v>
      </c>
      <c r="CI82" s="211">
        <v>0</v>
      </c>
      <c r="CJ82" s="211">
        <v>0</v>
      </c>
      <c r="CK82" s="211">
        <v>136487.81</v>
      </c>
      <c r="CL82" s="201"/>
      <c r="CM82" s="201">
        <f t="shared" si="25"/>
        <v>2.3283064365386963E-10</v>
      </c>
      <c r="CN82" s="340">
        <f t="shared" si="18"/>
        <v>112611.74</v>
      </c>
      <c r="CO82" s="340">
        <f t="shared" si="19"/>
        <v>4698.8</v>
      </c>
      <c r="CP82" s="340">
        <f t="shared" si="20"/>
        <v>0</v>
      </c>
      <c r="CQ82" s="340">
        <f t="shared" si="21"/>
        <v>19177.269999999997</v>
      </c>
      <c r="CR82" s="340">
        <f t="shared" si="22"/>
        <v>0</v>
      </c>
      <c r="CS82" s="340">
        <f t="shared" si="23"/>
        <v>0</v>
      </c>
      <c r="CT82" s="90">
        <f t="shared" si="17"/>
        <v>136487.81</v>
      </c>
      <c r="CV82" s="90">
        <f t="shared" si="24"/>
        <v>0</v>
      </c>
    </row>
    <row r="83" spans="1:100">
      <c r="A83" s="325">
        <v>694</v>
      </c>
      <c r="B83" s="325" t="s">
        <v>188</v>
      </c>
      <c r="C83" s="209">
        <v>-48068.49</v>
      </c>
      <c r="D83" s="209">
        <v>-2233.62</v>
      </c>
      <c r="E83" s="209">
        <v>0</v>
      </c>
      <c r="F83" s="209">
        <v>0</v>
      </c>
      <c r="G83" s="209">
        <v>0</v>
      </c>
      <c r="H83" s="209">
        <v>4278.28</v>
      </c>
      <c r="I83" s="223">
        <v>-974852.53</v>
      </c>
      <c r="J83" s="223">
        <v>0</v>
      </c>
      <c r="K83" s="223">
        <v>-59984</v>
      </c>
      <c r="L83" s="223">
        <v>0</v>
      </c>
      <c r="M83" s="223">
        <v>-47136</v>
      </c>
      <c r="N83" s="223">
        <v>-856.93</v>
      </c>
      <c r="O83" s="223">
        <v>0</v>
      </c>
      <c r="P83" s="223">
        <v>-4230</v>
      </c>
      <c r="Q83" s="223">
        <v>-38315.82</v>
      </c>
      <c r="R83" s="223">
        <v>-7507.29</v>
      </c>
      <c r="S83" s="223">
        <v>-1057.5999999999999</v>
      </c>
      <c r="T83" s="223">
        <v>-540.4</v>
      </c>
      <c r="U83" s="223">
        <v>-15643.070000000002</v>
      </c>
      <c r="V83" s="223">
        <v>-13630.7</v>
      </c>
      <c r="W83" s="223">
        <v>0</v>
      </c>
      <c r="X83" s="223">
        <v>-102780.84000000004</v>
      </c>
      <c r="Y83" s="223">
        <v>-16269.35</v>
      </c>
      <c r="Z83" s="223">
        <v>0</v>
      </c>
      <c r="AA83" s="223">
        <v>0</v>
      </c>
      <c r="AB83" s="223">
        <v>-1923.13</v>
      </c>
      <c r="AC83" s="223">
        <v>-46236</v>
      </c>
      <c r="AD83" s="210">
        <v>631928.31000000006</v>
      </c>
      <c r="AE83" s="210">
        <v>171.61</v>
      </c>
      <c r="AF83" s="210">
        <v>212875.82</v>
      </c>
      <c r="AG83" s="210">
        <v>13550.38</v>
      </c>
      <c r="AH83" s="210">
        <v>63644.369999999995</v>
      </c>
      <c r="AI83" s="210">
        <v>3881.7600000000007</v>
      </c>
      <c r="AJ83" s="210">
        <v>50386.400000000001</v>
      </c>
      <c r="AK83" s="210">
        <v>117.61</v>
      </c>
      <c r="AL83" s="210">
        <v>2731</v>
      </c>
      <c r="AM83" s="210">
        <v>707.21</v>
      </c>
      <c r="AN83" s="210">
        <v>0</v>
      </c>
      <c r="AO83" s="210">
        <v>8545.760000000002</v>
      </c>
      <c r="AP83" s="210">
        <v>3287.84</v>
      </c>
      <c r="AQ83" s="210">
        <v>15458.760000000002</v>
      </c>
      <c r="AR83" s="210">
        <v>4455.2099999999991</v>
      </c>
      <c r="AS83" s="210">
        <v>19330.320000000003</v>
      </c>
      <c r="AT83" s="210">
        <v>3531.6</v>
      </c>
      <c r="AU83" s="210">
        <v>7598.3999999999987</v>
      </c>
      <c r="AV83" s="210">
        <v>57667.86</v>
      </c>
      <c r="AW83" s="312">
        <v>0</v>
      </c>
      <c r="AX83" s="210">
        <v>2011.82</v>
      </c>
      <c r="AY83" s="210">
        <v>0</v>
      </c>
      <c r="AZ83" s="210">
        <v>712</v>
      </c>
      <c r="BA83" s="210">
        <v>1748</v>
      </c>
      <c r="BB83" s="210">
        <v>4245.7999999999993</v>
      </c>
      <c r="BC83" s="210">
        <v>0</v>
      </c>
      <c r="BD83" s="210">
        <v>7882</v>
      </c>
      <c r="BE83" s="210">
        <v>0</v>
      </c>
      <c r="BF83" s="210">
        <v>4469.5</v>
      </c>
      <c r="BG83" s="210">
        <v>9901.7099999999991</v>
      </c>
      <c r="BH83" s="210">
        <v>0</v>
      </c>
      <c r="BI83" s="210">
        <v>37937.32</v>
      </c>
      <c r="BJ83" s="210">
        <v>7052.5</v>
      </c>
      <c r="BK83" s="210">
        <v>23626.400000000001</v>
      </c>
      <c r="BL83" s="210">
        <v>19441.650000000001</v>
      </c>
      <c r="BM83" s="210">
        <v>0</v>
      </c>
      <c r="BN83" s="210">
        <v>0</v>
      </c>
      <c r="BO83" s="210">
        <v>106344.98</v>
      </c>
      <c r="BP83" s="210">
        <v>6634.1099999999979</v>
      </c>
      <c r="BQ83" s="211">
        <v>0</v>
      </c>
      <c r="BR83" s="211">
        <v>0</v>
      </c>
      <c r="BS83" s="211">
        <v>0</v>
      </c>
      <c r="BT83" s="212">
        <v>0</v>
      </c>
      <c r="BU83" s="212">
        <v>1190.9999999999964</v>
      </c>
      <c r="BV83" s="212">
        <v>0</v>
      </c>
      <c r="BW83" s="212">
        <v>0</v>
      </c>
      <c r="BX83" s="212">
        <v>0</v>
      </c>
      <c r="BY83" s="212">
        <v>0</v>
      </c>
      <c r="BZ83" s="212">
        <v>0</v>
      </c>
      <c r="CA83" s="212">
        <v>0</v>
      </c>
      <c r="CB83" s="212">
        <v>0</v>
      </c>
      <c r="CC83" s="224">
        <v>-43918.479999999923</v>
      </c>
      <c r="CD83" s="213"/>
      <c r="CE83" s="211">
        <v>45634.659999999625</v>
      </c>
      <c r="CF83" s="211">
        <v>180</v>
      </c>
      <c r="CG83" s="211">
        <v>0</v>
      </c>
      <c r="CH83" s="211">
        <v>3.637978807091713E-12</v>
      </c>
      <c r="CI83" s="211">
        <v>0</v>
      </c>
      <c r="CJ83" s="211">
        <v>-1896.1799999999494</v>
      </c>
      <c r="CK83" s="211">
        <v>43918.479999999676</v>
      </c>
      <c r="CL83" s="201"/>
      <c r="CM83" s="201">
        <f t="shared" si="25"/>
        <v>-2.4738255888223648E-10</v>
      </c>
      <c r="CN83" s="340">
        <f t="shared" si="18"/>
        <v>45634.659999999625</v>
      </c>
      <c r="CO83" s="340">
        <f t="shared" si="19"/>
        <v>180</v>
      </c>
      <c r="CP83" s="340">
        <f t="shared" si="20"/>
        <v>0</v>
      </c>
      <c r="CQ83" s="340">
        <f t="shared" si="21"/>
        <v>3.637978807091713E-12</v>
      </c>
      <c r="CR83" s="340">
        <f t="shared" si="22"/>
        <v>0</v>
      </c>
      <c r="CS83" s="340">
        <f t="shared" si="23"/>
        <v>-1896.1799999999494</v>
      </c>
      <c r="CT83" s="90">
        <f t="shared" si="17"/>
        <v>43918.479999999676</v>
      </c>
      <c r="CV83" s="90">
        <f t="shared" si="24"/>
        <v>0</v>
      </c>
    </row>
    <row r="84" spans="1:100">
      <c r="A84" s="325">
        <v>695</v>
      </c>
      <c r="B84" s="325" t="s">
        <v>188</v>
      </c>
      <c r="C84" s="209">
        <v>-58495.87</v>
      </c>
      <c r="D84" s="209">
        <v>-7870.97</v>
      </c>
      <c r="E84" s="209">
        <v>0</v>
      </c>
      <c r="F84" s="209">
        <v>-22877.58</v>
      </c>
      <c r="G84" s="209">
        <v>0</v>
      </c>
      <c r="H84" s="209">
        <v>-4902.84</v>
      </c>
      <c r="I84" s="223">
        <v>-575842.57999999996</v>
      </c>
      <c r="J84" s="223">
        <v>0</v>
      </c>
      <c r="K84" s="223">
        <v>-57017</v>
      </c>
      <c r="L84" s="223">
        <v>0</v>
      </c>
      <c r="M84" s="223">
        <v>-45140</v>
      </c>
      <c r="N84" s="223">
        <v>-800</v>
      </c>
      <c r="O84" s="223">
        <v>0</v>
      </c>
      <c r="P84" s="223">
        <v>0</v>
      </c>
      <c r="Q84" s="223">
        <v>-4649.24</v>
      </c>
      <c r="R84" s="223">
        <v>0</v>
      </c>
      <c r="S84" s="223">
        <v>0</v>
      </c>
      <c r="T84" s="223">
        <v>0</v>
      </c>
      <c r="U84" s="223">
        <v>-2613.7799999999997</v>
      </c>
      <c r="V84" s="223">
        <v>-2080.88</v>
      </c>
      <c r="W84" s="223">
        <v>0</v>
      </c>
      <c r="X84" s="223">
        <v>-47571.39</v>
      </c>
      <c r="Y84" s="223">
        <v>-1568.45</v>
      </c>
      <c r="Z84" s="223">
        <v>0</v>
      </c>
      <c r="AA84" s="223">
        <v>0</v>
      </c>
      <c r="AB84" s="223">
        <v>-109.38000000000011</v>
      </c>
      <c r="AC84" s="223">
        <v>-24074</v>
      </c>
      <c r="AD84" s="210">
        <v>336671.22</v>
      </c>
      <c r="AE84" s="210">
        <v>3017.0099999999993</v>
      </c>
      <c r="AF84" s="210">
        <v>185907.44</v>
      </c>
      <c r="AG84" s="210">
        <v>4609.51</v>
      </c>
      <c r="AH84" s="210">
        <v>36480.94999999999</v>
      </c>
      <c r="AI84" s="210">
        <v>0</v>
      </c>
      <c r="AJ84" s="210">
        <v>31581.71</v>
      </c>
      <c r="AK84" s="210">
        <v>2504.36</v>
      </c>
      <c r="AL84" s="210">
        <v>5244</v>
      </c>
      <c r="AM84" s="210">
        <v>253.15</v>
      </c>
      <c r="AN84" s="210">
        <v>0</v>
      </c>
      <c r="AO84" s="210">
        <v>7558.2799999999988</v>
      </c>
      <c r="AP84" s="210">
        <v>2963.9500000000003</v>
      </c>
      <c r="AQ84" s="210">
        <v>24177.600000000002</v>
      </c>
      <c r="AR84" s="210">
        <v>-594.73</v>
      </c>
      <c r="AS84" s="210">
        <v>10087.16</v>
      </c>
      <c r="AT84" s="210">
        <v>14262.43</v>
      </c>
      <c r="AU84" s="210">
        <v>1890.04</v>
      </c>
      <c r="AV84" s="210">
        <v>16561.669999999998</v>
      </c>
      <c r="AW84" s="312">
        <v>0</v>
      </c>
      <c r="AX84" s="210">
        <v>2539.58</v>
      </c>
      <c r="AY84" s="210">
        <v>0</v>
      </c>
      <c r="AZ84" s="210">
        <v>1207.1600000000001</v>
      </c>
      <c r="BA84" s="210">
        <v>300</v>
      </c>
      <c r="BB84" s="210">
        <v>0</v>
      </c>
      <c r="BC84" s="210">
        <v>-79.100000000000023</v>
      </c>
      <c r="BD84" s="210">
        <v>950</v>
      </c>
      <c r="BE84" s="210">
        <v>0</v>
      </c>
      <c r="BF84" s="210">
        <v>1215.6199999999999</v>
      </c>
      <c r="BG84" s="210">
        <v>4348.37</v>
      </c>
      <c r="BH84" s="210">
        <v>0</v>
      </c>
      <c r="BI84" s="210">
        <v>16829.920000000002</v>
      </c>
      <c r="BJ84" s="210">
        <v>19116.900000000001</v>
      </c>
      <c r="BK84" s="210">
        <v>20006.900000000001</v>
      </c>
      <c r="BL84" s="210">
        <v>13283.950000000003</v>
      </c>
      <c r="BM84" s="210">
        <v>0</v>
      </c>
      <c r="BN84" s="210">
        <v>0</v>
      </c>
      <c r="BO84" s="210">
        <v>21788.18</v>
      </c>
      <c r="BP84" s="210">
        <v>0</v>
      </c>
      <c r="BQ84" s="211">
        <v>-5046.25</v>
      </c>
      <c r="BR84" s="211">
        <v>0</v>
      </c>
      <c r="BS84" s="211">
        <v>0</v>
      </c>
      <c r="BT84" s="212">
        <v>0</v>
      </c>
      <c r="BU84" s="212">
        <v>18075.62</v>
      </c>
      <c r="BV84" s="212">
        <v>0</v>
      </c>
      <c r="BW84" s="212">
        <v>0</v>
      </c>
      <c r="BX84" s="212">
        <v>0</v>
      </c>
      <c r="BY84" s="212">
        <v>0</v>
      </c>
      <c r="BZ84" s="212">
        <v>0</v>
      </c>
      <c r="CA84" s="212">
        <v>0</v>
      </c>
      <c r="CB84" s="212">
        <v>799.6</v>
      </c>
      <c r="CC84" s="224">
        <v>-57101.759999999987</v>
      </c>
      <c r="CD84" s="213"/>
      <c r="CE84" s="211">
        <v>41336.579999999973</v>
      </c>
      <c r="CF84" s="211">
        <v>5686.58</v>
      </c>
      <c r="CG84" s="211">
        <v>0</v>
      </c>
      <c r="CH84" s="211">
        <v>9048.6100000000042</v>
      </c>
      <c r="CI84" s="211">
        <v>0</v>
      </c>
      <c r="CJ84" s="211">
        <v>1029.9899999999907</v>
      </c>
      <c r="CK84" s="211">
        <v>57101.759999999966</v>
      </c>
      <c r="CL84" s="201"/>
      <c r="CM84" s="201">
        <f t="shared" si="25"/>
        <v>0</v>
      </c>
      <c r="CN84" s="340">
        <f t="shared" si="18"/>
        <v>41336.579999999973</v>
      </c>
      <c r="CO84" s="340">
        <f t="shared" si="19"/>
        <v>5686.58</v>
      </c>
      <c r="CP84" s="340">
        <f t="shared" si="20"/>
        <v>0</v>
      </c>
      <c r="CQ84" s="340">
        <f t="shared" si="21"/>
        <v>9048.6100000000042</v>
      </c>
      <c r="CR84" s="340">
        <f t="shared" si="22"/>
        <v>0</v>
      </c>
      <c r="CS84" s="340">
        <f t="shared" si="23"/>
        <v>1029.9899999999907</v>
      </c>
      <c r="CT84" s="90">
        <f t="shared" si="17"/>
        <v>57101.759999999966</v>
      </c>
      <c r="CV84" s="90">
        <f t="shared" si="24"/>
        <v>0</v>
      </c>
    </row>
    <row r="85" spans="1:100">
      <c r="A85" s="325">
        <v>702</v>
      </c>
      <c r="B85" s="325" t="s">
        <v>396</v>
      </c>
      <c r="C85" s="209">
        <v>-40487.51</v>
      </c>
      <c r="D85" s="209">
        <v>-5139.6499999999996</v>
      </c>
      <c r="E85" s="209">
        <v>0</v>
      </c>
      <c r="F85" s="209">
        <v>-12785.18</v>
      </c>
      <c r="G85" s="209">
        <v>0</v>
      </c>
      <c r="H85" s="209">
        <v>27589.040000000001</v>
      </c>
      <c r="I85" s="223">
        <v>-239265.68999999997</v>
      </c>
      <c r="J85" s="223">
        <v>0</v>
      </c>
      <c r="K85" s="223">
        <v>-32994</v>
      </c>
      <c r="L85" s="223">
        <v>0</v>
      </c>
      <c r="M85" s="223">
        <v>-7649.99</v>
      </c>
      <c r="N85" s="223">
        <v>-1200</v>
      </c>
      <c r="O85" s="223">
        <v>0</v>
      </c>
      <c r="P85" s="223">
        <v>0</v>
      </c>
      <c r="Q85" s="223">
        <v>-16282.569999999994</v>
      </c>
      <c r="R85" s="223">
        <v>10.039999999999999</v>
      </c>
      <c r="S85" s="223">
        <v>0</v>
      </c>
      <c r="T85" s="223">
        <v>0</v>
      </c>
      <c r="U85" s="223">
        <v>-8675.3099999999977</v>
      </c>
      <c r="V85" s="223">
        <v>-1527.8400000000004</v>
      </c>
      <c r="W85" s="223">
        <v>0</v>
      </c>
      <c r="X85" s="223">
        <v>-10442.67</v>
      </c>
      <c r="Y85" s="223">
        <v>-3895.8300000000004</v>
      </c>
      <c r="Z85" s="223">
        <v>0</v>
      </c>
      <c r="AA85" s="223">
        <v>0</v>
      </c>
      <c r="AB85" s="223">
        <v>-781.25</v>
      </c>
      <c r="AC85" s="223">
        <v>-23840</v>
      </c>
      <c r="AD85" s="210">
        <v>163824.95000000001</v>
      </c>
      <c r="AE85" s="210">
        <v>1538.6100000000001</v>
      </c>
      <c r="AF85" s="210">
        <v>60081.54</v>
      </c>
      <c r="AG85" s="210">
        <v>0</v>
      </c>
      <c r="AH85" s="210">
        <v>14163.300000000001</v>
      </c>
      <c r="AI85" s="210">
        <v>0</v>
      </c>
      <c r="AJ85" s="210">
        <v>17699.759999999998</v>
      </c>
      <c r="AK85" s="210">
        <v>928</v>
      </c>
      <c r="AL85" s="210">
        <v>1404</v>
      </c>
      <c r="AM85" s="210">
        <v>142.33000000000001</v>
      </c>
      <c r="AN85" s="210">
        <v>2259.63</v>
      </c>
      <c r="AO85" s="210">
        <v>5569.9899999999989</v>
      </c>
      <c r="AP85" s="210">
        <v>295</v>
      </c>
      <c r="AQ85" s="210">
        <v>12611.410000000003</v>
      </c>
      <c r="AR85" s="210">
        <v>588.32000000000005</v>
      </c>
      <c r="AS85" s="210">
        <v>6995.44</v>
      </c>
      <c r="AT85" s="210">
        <v>14446.130000000001</v>
      </c>
      <c r="AU85" s="210">
        <v>1685.65</v>
      </c>
      <c r="AV85" s="210">
        <v>16321</v>
      </c>
      <c r="AW85" s="312">
        <v>0</v>
      </c>
      <c r="AX85" s="210">
        <v>0</v>
      </c>
      <c r="AY85" s="210">
        <v>0</v>
      </c>
      <c r="AZ85" s="210">
        <v>0</v>
      </c>
      <c r="BA85" s="210">
        <v>7995.17</v>
      </c>
      <c r="BB85" s="210">
        <v>0</v>
      </c>
      <c r="BC85" s="210">
        <v>0</v>
      </c>
      <c r="BD85" s="210">
        <v>746.67000000000007</v>
      </c>
      <c r="BE85" s="210">
        <v>0</v>
      </c>
      <c r="BF85" s="210">
        <v>1213.26</v>
      </c>
      <c r="BG85" s="210">
        <v>2444.87</v>
      </c>
      <c r="BH85" s="210">
        <v>0</v>
      </c>
      <c r="BI85" s="210">
        <v>9853.5400000000027</v>
      </c>
      <c r="BJ85" s="210">
        <v>0</v>
      </c>
      <c r="BK85" s="210">
        <v>1988</v>
      </c>
      <c r="BL85" s="210">
        <v>7720.4300000000012</v>
      </c>
      <c r="BM85" s="210">
        <v>0</v>
      </c>
      <c r="BN85" s="210">
        <v>0</v>
      </c>
      <c r="BO85" s="210">
        <v>19424.350000000002</v>
      </c>
      <c r="BP85" s="210">
        <v>585.75000000000011</v>
      </c>
      <c r="BQ85" s="211">
        <v>-5260</v>
      </c>
      <c r="BR85" s="211">
        <v>0</v>
      </c>
      <c r="BS85" s="211">
        <v>0</v>
      </c>
      <c r="BT85" s="212">
        <v>0</v>
      </c>
      <c r="BU85" s="212">
        <v>7478</v>
      </c>
      <c r="BV85" s="212">
        <v>0</v>
      </c>
      <c r="BW85" s="212">
        <v>0</v>
      </c>
      <c r="BX85" s="212">
        <v>0</v>
      </c>
      <c r="BY85" s="212">
        <v>2623.31</v>
      </c>
      <c r="BZ85" s="212">
        <v>0</v>
      </c>
      <c r="CA85" s="212">
        <v>0</v>
      </c>
      <c r="CB85" s="212">
        <v>0</v>
      </c>
      <c r="CC85" s="224">
        <v>-1.5916157281026244E-11</v>
      </c>
      <c r="CD85" s="213"/>
      <c r="CE85" s="211"/>
      <c r="CF85" s="211"/>
      <c r="CG85" s="211"/>
      <c r="CH85" s="211"/>
      <c r="CI85" s="211"/>
      <c r="CJ85" s="211"/>
      <c r="CK85" s="211"/>
      <c r="CL85" s="201"/>
      <c r="CM85" s="201">
        <f t="shared" si="25"/>
        <v>-1.5916157281026244E-11</v>
      </c>
      <c r="CN85" s="340">
        <f t="shared" si="18"/>
        <v>0</v>
      </c>
      <c r="CO85" s="340">
        <f t="shared" si="19"/>
        <v>0</v>
      </c>
      <c r="CP85" s="340">
        <f t="shared" si="20"/>
        <v>0</v>
      </c>
      <c r="CQ85" s="340">
        <f t="shared" si="21"/>
        <v>0</v>
      </c>
      <c r="CR85" s="340">
        <f t="shared" si="22"/>
        <v>0</v>
      </c>
      <c r="CS85" s="340">
        <f t="shared" si="23"/>
        <v>0</v>
      </c>
      <c r="CT85" s="90">
        <f t="shared" si="17"/>
        <v>0</v>
      </c>
      <c r="CV85" s="90">
        <f t="shared" si="24"/>
        <v>0</v>
      </c>
    </row>
    <row r="86" spans="1:100">
      <c r="A86" s="325">
        <v>709</v>
      </c>
      <c r="B86" s="325" t="s">
        <v>207</v>
      </c>
      <c r="C86" s="209">
        <v>-561.67999999999995</v>
      </c>
      <c r="D86" s="209">
        <v>-15070.28</v>
      </c>
      <c r="E86" s="209">
        <v>0</v>
      </c>
      <c r="F86" s="209">
        <v>-3640.3</v>
      </c>
      <c r="G86" s="209">
        <v>0</v>
      </c>
      <c r="H86" s="209">
        <v>2827.96</v>
      </c>
      <c r="I86" s="223">
        <v>-619750.39</v>
      </c>
      <c r="J86" s="223">
        <v>0</v>
      </c>
      <c r="K86" s="223">
        <v>-53776</v>
      </c>
      <c r="L86" s="223">
        <v>0</v>
      </c>
      <c r="M86" s="223">
        <v>-33580</v>
      </c>
      <c r="N86" s="223">
        <v>-800</v>
      </c>
      <c r="O86" s="223">
        <v>-105</v>
      </c>
      <c r="P86" s="223">
        <v>0</v>
      </c>
      <c r="Q86" s="223">
        <v>-6342.5499999999993</v>
      </c>
      <c r="R86" s="223">
        <v>0</v>
      </c>
      <c r="S86" s="223">
        <v>0</v>
      </c>
      <c r="T86" s="223">
        <v>0</v>
      </c>
      <c r="U86" s="223">
        <v>-5061.1499999999996</v>
      </c>
      <c r="V86" s="223">
        <v>-1237.25</v>
      </c>
      <c r="W86" s="223">
        <v>0</v>
      </c>
      <c r="X86" s="223">
        <v>-32866.349999999991</v>
      </c>
      <c r="Y86" s="223">
        <v>-1185.56</v>
      </c>
      <c r="Z86" s="223">
        <v>0</v>
      </c>
      <c r="AA86" s="223">
        <v>0</v>
      </c>
      <c r="AB86" s="223">
        <v>-1142.3800000000001</v>
      </c>
      <c r="AC86" s="223">
        <v>-31169</v>
      </c>
      <c r="AD86" s="210">
        <v>410627.09</v>
      </c>
      <c r="AE86" s="210">
        <v>19042.439999999999</v>
      </c>
      <c r="AF86" s="210">
        <v>102271.48</v>
      </c>
      <c r="AG86" s="210">
        <v>0</v>
      </c>
      <c r="AH86" s="210">
        <v>44224.54</v>
      </c>
      <c r="AI86" s="210">
        <v>0</v>
      </c>
      <c r="AJ86" s="210">
        <v>25337.37</v>
      </c>
      <c r="AK86" s="210">
        <v>3294</v>
      </c>
      <c r="AL86" s="210">
        <v>1419</v>
      </c>
      <c r="AM86" s="210">
        <v>277.55</v>
      </c>
      <c r="AN86" s="210">
        <v>0</v>
      </c>
      <c r="AO86" s="210">
        <v>6259.0899999999983</v>
      </c>
      <c r="AP86" s="210">
        <v>3735.95</v>
      </c>
      <c r="AQ86" s="210">
        <v>23999.149999999998</v>
      </c>
      <c r="AR86" s="210">
        <v>2383.4299999999998</v>
      </c>
      <c r="AS86" s="210">
        <v>16613.309999999998</v>
      </c>
      <c r="AT86" s="210">
        <v>11524.25</v>
      </c>
      <c r="AU86" s="210">
        <v>1788.25</v>
      </c>
      <c r="AV86" s="210">
        <v>42606.850000000006</v>
      </c>
      <c r="AW86" s="312">
        <v>0</v>
      </c>
      <c r="AX86" s="210">
        <v>3679.0299999999997</v>
      </c>
      <c r="AY86" s="210">
        <v>0</v>
      </c>
      <c r="AZ86" s="210">
        <v>0</v>
      </c>
      <c r="BA86" s="210">
        <v>689.5</v>
      </c>
      <c r="BB86" s="210">
        <v>23.99</v>
      </c>
      <c r="BC86" s="210">
        <v>0</v>
      </c>
      <c r="BD86" s="210">
        <v>3592</v>
      </c>
      <c r="BE86" s="210">
        <v>0</v>
      </c>
      <c r="BF86" s="210">
        <v>5450.7900000000009</v>
      </c>
      <c r="BG86" s="210">
        <v>4767.49</v>
      </c>
      <c r="BH86" s="210">
        <v>0</v>
      </c>
      <c r="BI86" s="210">
        <v>25158.07</v>
      </c>
      <c r="BJ86" s="210">
        <v>1338</v>
      </c>
      <c r="BK86" s="210">
        <v>18</v>
      </c>
      <c r="BL86" s="210">
        <v>14103.560000000001</v>
      </c>
      <c r="BM86" s="210">
        <v>0</v>
      </c>
      <c r="BN86" s="210">
        <v>0</v>
      </c>
      <c r="BO86" s="210">
        <v>46244.13</v>
      </c>
      <c r="BP86" s="210">
        <v>609.19000000000005</v>
      </c>
      <c r="BQ86" s="211">
        <v>-5158.75</v>
      </c>
      <c r="BR86" s="211">
        <v>0</v>
      </c>
      <c r="BS86" s="211">
        <v>0</v>
      </c>
      <c r="BT86" s="212">
        <v>0</v>
      </c>
      <c r="BU86" s="212">
        <v>6781.170000000001</v>
      </c>
      <c r="BV86" s="212">
        <v>0</v>
      </c>
      <c r="BW86" s="212">
        <v>0</v>
      </c>
      <c r="BX86" s="212">
        <v>0</v>
      </c>
      <c r="BY86" s="212">
        <v>325</v>
      </c>
      <c r="BZ86" s="212">
        <v>0</v>
      </c>
      <c r="CA86" s="212">
        <v>0</v>
      </c>
      <c r="CB86" s="212">
        <v>0</v>
      </c>
      <c r="CC86" s="224">
        <v>19564.989999999834</v>
      </c>
      <c r="CD86" s="213"/>
      <c r="CE86" s="211">
        <v>-19850.939999999984</v>
      </c>
      <c r="CF86" s="211">
        <v>12776.3</v>
      </c>
      <c r="CG86" s="211">
        <v>0</v>
      </c>
      <c r="CH86" s="211">
        <v>2017.8799999999992</v>
      </c>
      <c r="CI86" s="211">
        <v>0</v>
      </c>
      <c r="CJ86" s="211">
        <v>-14508.23000000001</v>
      </c>
      <c r="CK86" s="211">
        <v>-19564.989999999998</v>
      </c>
      <c r="CL86" s="201"/>
      <c r="CM86" s="201">
        <f t="shared" si="25"/>
        <v>-1.6370904631912708E-10</v>
      </c>
      <c r="CN86" s="340">
        <f t="shared" si="18"/>
        <v>-19850.939999999984</v>
      </c>
      <c r="CO86" s="340">
        <f t="shared" si="19"/>
        <v>12776.3</v>
      </c>
      <c r="CP86" s="340">
        <f t="shared" si="20"/>
        <v>0</v>
      </c>
      <c r="CQ86" s="340">
        <f t="shared" si="21"/>
        <v>2017.8799999999992</v>
      </c>
      <c r="CR86" s="340">
        <f t="shared" si="22"/>
        <v>0</v>
      </c>
      <c r="CS86" s="340">
        <f t="shared" si="23"/>
        <v>-14508.23000000001</v>
      </c>
      <c r="CT86" s="90">
        <f t="shared" si="17"/>
        <v>-19564.989999999998</v>
      </c>
      <c r="CV86" s="90">
        <f t="shared" si="24"/>
        <v>0</v>
      </c>
    </row>
    <row r="87" spans="1:100">
      <c r="A87" s="325">
        <v>714</v>
      </c>
      <c r="B87" s="325" t="s">
        <v>237</v>
      </c>
      <c r="C87" s="209">
        <v>-136757.79999999999</v>
      </c>
      <c r="D87" s="209">
        <v>-25484.99</v>
      </c>
      <c r="E87" s="209">
        <v>0</v>
      </c>
      <c r="F87" s="209">
        <v>397.18</v>
      </c>
      <c r="G87" s="209">
        <v>0</v>
      </c>
      <c r="H87" s="209">
        <v>0</v>
      </c>
      <c r="I87" s="223">
        <v>-563825.86</v>
      </c>
      <c r="J87" s="223">
        <v>0</v>
      </c>
      <c r="K87" s="223">
        <v>0</v>
      </c>
      <c r="L87" s="223">
        <v>0</v>
      </c>
      <c r="M87" s="223">
        <v>-8080</v>
      </c>
      <c r="N87" s="223">
        <v>-5371.29</v>
      </c>
      <c r="O87" s="223">
        <v>0</v>
      </c>
      <c r="P87" s="223">
        <v>0</v>
      </c>
      <c r="Q87" s="223">
        <v>-28622.84</v>
      </c>
      <c r="R87" s="223">
        <v>0</v>
      </c>
      <c r="S87" s="223">
        <v>0</v>
      </c>
      <c r="T87" s="223">
        <v>0</v>
      </c>
      <c r="U87" s="223">
        <v>-5616</v>
      </c>
      <c r="V87" s="223">
        <v>-1507</v>
      </c>
      <c r="W87" s="223">
        <v>0</v>
      </c>
      <c r="X87" s="223">
        <v>0</v>
      </c>
      <c r="Y87" s="223">
        <v>0</v>
      </c>
      <c r="Z87" s="223">
        <v>0</v>
      </c>
      <c r="AA87" s="223">
        <v>0</v>
      </c>
      <c r="AB87" s="223">
        <v>-412.5</v>
      </c>
      <c r="AC87" s="223">
        <v>-31045</v>
      </c>
      <c r="AD87" s="210">
        <v>349875.27999999997</v>
      </c>
      <c r="AE87" s="210">
        <v>4225.6899999999996</v>
      </c>
      <c r="AF87" s="210">
        <v>56673.500000000007</v>
      </c>
      <c r="AG87" s="210">
        <v>14046.310000000003</v>
      </c>
      <c r="AH87" s="210">
        <v>49735.01</v>
      </c>
      <c r="AI87" s="210">
        <v>0</v>
      </c>
      <c r="AJ87" s="210">
        <v>19590.989999999998</v>
      </c>
      <c r="AK87" s="210">
        <v>1786</v>
      </c>
      <c r="AL87" s="210">
        <v>2097</v>
      </c>
      <c r="AM87" s="210">
        <v>280.60000000000002</v>
      </c>
      <c r="AN87" s="210">
        <v>0</v>
      </c>
      <c r="AO87" s="210">
        <v>9681.61</v>
      </c>
      <c r="AP87" s="210">
        <v>315</v>
      </c>
      <c r="AQ87" s="210">
        <v>459.04999999999995</v>
      </c>
      <c r="AR87" s="210">
        <v>923.3599999999999</v>
      </c>
      <c r="AS87" s="210">
        <v>7925.47</v>
      </c>
      <c r="AT87" s="210">
        <v>2078.9499999999998</v>
      </c>
      <c r="AU87" s="210">
        <v>3717.55</v>
      </c>
      <c r="AV87" s="210">
        <v>19210.5</v>
      </c>
      <c r="AW87" s="312">
        <v>0</v>
      </c>
      <c r="AX87" s="210">
        <v>1254.0100000000002</v>
      </c>
      <c r="AY87" s="210">
        <v>0</v>
      </c>
      <c r="AZ87" s="210">
        <v>754.75</v>
      </c>
      <c r="BA87" s="210">
        <v>697.92000000000007</v>
      </c>
      <c r="BB87" s="210">
        <v>0</v>
      </c>
      <c r="BC87" s="210">
        <v>0</v>
      </c>
      <c r="BD87" s="210">
        <v>920</v>
      </c>
      <c r="BE87" s="210">
        <v>0</v>
      </c>
      <c r="BF87" s="210">
        <v>399.77</v>
      </c>
      <c r="BG87" s="210">
        <v>4819.88</v>
      </c>
      <c r="BH87" s="210">
        <v>0</v>
      </c>
      <c r="BI87" s="210">
        <v>15860.07</v>
      </c>
      <c r="BJ87" s="210">
        <v>0</v>
      </c>
      <c r="BK87" s="210">
        <v>11098.619999999999</v>
      </c>
      <c r="BL87" s="210">
        <v>12517.67</v>
      </c>
      <c r="BM87" s="210">
        <v>0</v>
      </c>
      <c r="BN87" s="210">
        <v>0</v>
      </c>
      <c r="BO87" s="210">
        <v>0</v>
      </c>
      <c r="BP87" s="210">
        <v>0</v>
      </c>
      <c r="BQ87" s="211">
        <v>-5046.25</v>
      </c>
      <c r="BR87" s="211">
        <v>0</v>
      </c>
      <c r="BS87" s="211">
        <v>0</v>
      </c>
      <c r="BT87" s="212">
        <v>0</v>
      </c>
      <c r="BU87" s="212">
        <v>0</v>
      </c>
      <c r="BV87" s="212">
        <v>0</v>
      </c>
      <c r="BW87" s="212">
        <v>0</v>
      </c>
      <c r="BX87" s="212">
        <v>0</v>
      </c>
      <c r="BY87" s="212">
        <v>2220</v>
      </c>
      <c r="BZ87" s="212">
        <v>0</v>
      </c>
      <c r="CA87" s="212">
        <v>0</v>
      </c>
      <c r="CB87" s="212">
        <v>0</v>
      </c>
      <c r="CC87" s="224">
        <v>-218207.79000000007</v>
      </c>
      <c r="CD87" s="213"/>
      <c r="CE87" s="211">
        <v>188071.81999999992</v>
      </c>
      <c r="CF87" s="211">
        <v>27706.9</v>
      </c>
      <c r="CG87" s="211">
        <v>0</v>
      </c>
      <c r="CH87" s="211">
        <v>2429.0700000000002</v>
      </c>
      <c r="CI87" s="211">
        <v>0</v>
      </c>
      <c r="CJ87" s="211">
        <v>0</v>
      </c>
      <c r="CK87" s="211">
        <v>218207.78999999992</v>
      </c>
      <c r="CL87" s="201"/>
      <c r="CM87" s="201">
        <f t="shared" si="25"/>
        <v>0</v>
      </c>
      <c r="CN87" s="340">
        <f t="shared" si="18"/>
        <v>188071.81999999992</v>
      </c>
      <c r="CO87" s="340">
        <f t="shared" si="19"/>
        <v>27706.9</v>
      </c>
      <c r="CP87" s="340">
        <f t="shared" si="20"/>
        <v>0</v>
      </c>
      <c r="CQ87" s="340">
        <f t="shared" si="21"/>
        <v>2429.0700000000002</v>
      </c>
      <c r="CR87" s="340">
        <f t="shared" si="22"/>
        <v>0</v>
      </c>
      <c r="CS87" s="340">
        <f t="shared" si="23"/>
        <v>0</v>
      </c>
      <c r="CT87" s="90">
        <f t="shared" si="17"/>
        <v>218207.78999999992</v>
      </c>
      <c r="CV87" s="90">
        <f t="shared" si="24"/>
        <v>0</v>
      </c>
    </row>
    <row r="88" spans="1:100">
      <c r="A88" s="325">
        <v>717</v>
      </c>
      <c r="B88" s="325" t="s">
        <v>190</v>
      </c>
      <c r="C88" s="209">
        <v>-62085.8</v>
      </c>
      <c r="D88" s="209">
        <v>-11434.63</v>
      </c>
      <c r="E88" s="209">
        <v>0</v>
      </c>
      <c r="F88" s="209">
        <v>-1508.21</v>
      </c>
      <c r="G88" s="209">
        <v>0</v>
      </c>
      <c r="H88" s="209">
        <v>0</v>
      </c>
      <c r="I88" s="223">
        <v>-1110558.57</v>
      </c>
      <c r="J88" s="223">
        <v>0</v>
      </c>
      <c r="K88" s="223">
        <v>-69381</v>
      </c>
      <c r="L88" s="223">
        <v>0</v>
      </c>
      <c r="M88" s="223">
        <v>-64880</v>
      </c>
      <c r="N88" s="223">
        <v>-3856.93</v>
      </c>
      <c r="O88" s="223">
        <v>0</v>
      </c>
      <c r="P88" s="223">
        <v>0</v>
      </c>
      <c r="Q88" s="223">
        <v>-38674.31</v>
      </c>
      <c r="R88" s="223">
        <v>-802.44</v>
      </c>
      <c r="S88" s="223">
        <v>-3000</v>
      </c>
      <c r="T88" s="223">
        <v>0</v>
      </c>
      <c r="U88" s="223">
        <v>-31128.990000000013</v>
      </c>
      <c r="V88" s="223">
        <v>-1500</v>
      </c>
      <c r="W88" s="223">
        <v>0</v>
      </c>
      <c r="X88" s="223">
        <v>0</v>
      </c>
      <c r="Y88" s="223">
        <v>0</v>
      </c>
      <c r="Z88" s="223">
        <v>0</v>
      </c>
      <c r="AA88" s="223">
        <v>0</v>
      </c>
      <c r="AB88" s="223">
        <v>-2301.88</v>
      </c>
      <c r="AC88" s="223">
        <v>-44469</v>
      </c>
      <c r="AD88" s="210">
        <v>648406.24</v>
      </c>
      <c r="AE88" s="210">
        <v>19115.989999999998</v>
      </c>
      <c r="AF88" s="210">
        <v>283232.89999999997</v>
      </c>
      <c r="AG88" s="210">
        <v>29144.339999999997</v>
      </c>
      <c r="AH88" s="210">
        <v>45828.589999999989</v>
      </c>
      <c r="AI88" s="210">
        <v>0</v>
      </c>
      <c r="AJ88" s="210">
        <v>0</v>
      </c>
      <c r="AK88" s="210">
        <v>4323.57</v>
      </c>
      <c r="AL88" s="210">
        <v>11699.34</v>
      </c>
      <c r="AM88" s="210">
        <v>4517.34</v>
      </c>
      <c r="AN88" s="210">
        <v>0</v>
      </c>
      <c r="AO88" s="210">
        <v>5651.85</v>
      </c>
      <c r="AP88" s="210">
        <v>6726.42</v>
      </c>
      <c r="AQ88" s="210">
        <v>2776.67</v>
      </c>
      <c r="AR88" s="210">
        <v>6019.1900000000005</v>
      </c>
      <c r="AS88" s="210">
        <v>19042.270000000004</v>
      </c>
      <c r="AT88" s="210">
        <v>29775.7</v>
      </c>
      <c r="AU88" s="210">
        <v>3223.67</v>
      </c>
      <c r="AV88" s="210">
        <v>43592.74</v>
      </c>
      <c r="AW88" s="312">
        <v>0</v>
      </c>
      <c r="AX88" s="210">
        <v>3114.86</v>
      </c>
      <c r="AY88" s="210">
        <v>0</v>
      </c>
      <c r="AZ88" s="210">
        <v>11151.39</v>
      </c>
      <c r="BA88" s="210">
        <v>5243.59</v>
      </c>
      <c r="BB88" s="210">
        <v>2638.7999999999997</v>
      </c>
      <c r="BC88" s="210">
        <v>39.979999999999997</v>
      </c>
      <c r="BD88" s="210">
        <v>4875</v>
      </c>
      <c r="BE88" s="210">
        <v>0</v>
      </c>
      <c r="BF88" s="210">
        <v>1812.3399999999997</v>
      </c>
      <c r="BG88" s="210">
        <v>10216.049999999999</v>
      </c>
      <c r="BH88" s="210">
        <v>0</v>
      </c>
      <c r="BI88" s="210">
        <v>45579.839999999997</v>
      </c>
      <c r="BJ88" s="210">
        <v>357</v>
      </c>
      <c r="BK88" s="210">
        <v>31108.999999999993</v>
      </c>
      <c r="BL88" s="210">
        <v>20657.059999999998</v>
      </c>
      <c r="BM88" s="210">
        <v>0</v>
      </c>
      <c r="BN88" s="210">
        <v>0</v>
      </c>
      <c r="BO88" s="210">
        <v>0</v>
      </c>
      <c r="BP88" s="210">
        <v>0</v>
      </c>
      <c r="BQ88" s="211">
        <v>-6221.88</v>
      </c>
      <c r="BR88" s="211">
        <v>0</v>
      </c>
      <c r="BS88" s="211">
        <v>0</v>
      </c>
      <c r="BT88" s="212">
        <v>0</v>
      </c>
      <c r="BU88" s="212">
        <v>0</v>
      </c>
      <c r="BV88" s="212">
        <v>0</v>
      </c>
      <c r="BW88" s="212">
        <v>0</v>
      </c>
      <c r="BX88" s="212">
        <v>0</v>
      </c>
      <c r="BY88" s="212">
        <v>0</v>
      </c>
      <c r="BZ88" s="212">
        <v>0</v>
      </c>
      <c r="CA88" s="212">
        <v>0</v>
      </c>
      <c r="CB88" s="212">
        <v>5007</v>
      </c>
      <c r="CC88" s="224">
        <v>-146924.90999999983</v>
      </c>
      <c r="CD88" s="213"/>
      <c r="CE88" s="211">
        <v>127814.63000000012</v>
      </c>
      <c r="CF88" s="211">
        <v>16387.189999999999</v>
      </c>
      <c r="CG88" s="211">
        <v>0</v>
      </c>
      <c r="CH88" s="211">
        <v>2723.09</v>
      </c>
      <c r="CI88" s="211">
        <v>0</v>
      </c>
      <c r="CJ88" s="211">
        <v>0</v>
      </c>
      <c r="CK88" s="211">
        <v>146924.91000000012</v>
      </c>
      <c r="CL88" s="201"/>
      <c r="CM88" s="201">
        <f t="shared" si="25"/>
        <v>2.9103830456733704E-10</v>
      </c>
      <c r="CN88" s="340">
        <f t="shared" si="18"/>
        <v>127814.63000000012</v>
      </c>
      <c r="CO88" s="340">
        <f t="shared" si="19"/>
        <v>16387.189999999999</v>
      </c>
      <c r="CP88" s="340">
        <f t="shared" si="20"/>
        <v>0</v>
      </c>
      <c r="CQ88" s="340">
        <f t="shared" si="21"/>
        <v>2723.09</v>
      </c>
      <c r="CR88" s="340">
        <f t="shared" si="22"/>
        <v>0</v>
      </c>
      <c r="CS88" s="340">
        <f t="shared" si="23"/>
        <v>0</v>
      </c>
      <c r="CT88" s="90">
        <f t="shared" si="17"/>
        <v>146924.91000000012</v>
      </c>
      <c r="CV88" s="90">
        <f t="shared" si="24"/>
        <v>0</v>
      </c>
    </row>
    <row r="89" spans="1:100">
      <c r="A89" s="325">
        <v>720</v>
      </c>
      <c r="B89" s="325" t="s">
        <v>233</v>
      </c>
      <c r="C89" s="209">
        <v>70710.14</v>
      </c>
      <c r="D89" s="209">
        <v>-4072.34</v>
      </c>
      <c r="E89" s="209">
        <v>0</v>
      </c>
      <c r="F89" s="209">
        <v>0</v>
      </c>
      <c r="G89" s="209">
        <v>0</v>
      </c>
      <c r="H89" s="209">
        <v>0</v>
      </c>
      <c r="I89" s="223">
        <v>-373989.94</v>
      </c>
      <c r="J89" s="223">
        <v>0</v>
      </c>
      <c r="K89" s="223">
        <v>-1525</v>
      </c>
      <c r="L89" s="223">
        <v>0</v>
      </c>
      <c r="M89" s="223">
        <v>-8490</v>
      </c>
      <c r="N89" s="223">
        <v>-800</v>
      </c>
      <c r="O89" s="223">
        <v>0</v>
      </c>
      <c r="P89" s="223">
        <v>0</v>
      </c>
      <c r="Q89" s="223">
        <v>-6364.1699999999983</v>
      </c>
      <c r="R89" s="223">
        <v>0</v>
      </c>
      <c r="S89" s="223">
        <v>0</v>
      </c>
      <c r="T89" s="223">
        <v>-7350</v>
      </c>
      <c r="U89" s="223">
        <v>-2434.4299999999989</v>
      </c>
      <c r="V89" s="223">
        <v>-1164.98</v>
      </c>
      <c r="W89" s="223">
        <v>0</v>
      </c>
      <c r="X89" s="223">
        <v>-15818.080000000004</v>
      </c>
      <c r="Y89" s="223">
        <v>-1401.89</v>
      </c>
      <c r="Z89" s="223">
        <v>0</v>
      </c>
      <c r="AA89" s="223">
        <v>0</v>
      </c>
      <c r="AB89" s="223">
        <v>-342.5</v>
      </c>
      <c r="AC89" s="223">
        <v>-22601</v>
      </c>
      <c r="AD89" s="210">
        <v>233113.76999999996</v>
      </c>
      <c r="AE89" s="210">
        <v>11269.929999999998</v>
      </c>
      <c r="AF89" s="210">
        <v>33945.78</v>
      </c>
      <c r="AG89" s="210">
        <v>0</v>
      </c>
      <c r="AH89" s="210">
        <v>42202.270000000004</v>
      </c>
      <c r="AI89" s="210">
        <v>0</v>
      </c>
      <c r="AJ89" s="210">
        <v>18132.779999999995</v>
      </c>
      <c r="AK89" s="210">
        <v>48</v>
      </c>
      <c r="AL89" s="210">
        <v>1594</v>
      </c>
      <c r="AM89" s="210">
        <v>3203.75</v>
      </c>
      <c r="AN89" s="210">
        <v>771.87999999999965</v>
      </c>
      <c r="AO89" s="210">
        <v>12238.410000000002</v>
      </c>
      <c r="AP89" s="210">
        <v>3658.2800000000007</v>
      </c>
      <c r="AQ89" s="210">
        <v>9792.0300000000043</v>
      </c>
      <c r="AR89" s="210">
        <v>1168.9000000000001</v>
      </c>
      <c r="AS89" s="210">
        <v>15178.96</v>
      </c>
      <c r="AT89" s="210">
        <v>963.45</v>
      </c>
      <c r="AU89" s="210">
        <v>1869.3799999999999</v>
      </c>
      <c r="AV89" s="210">
        <v>10827.99</v>
      </c>
      <c r="AW89" s="312">
        <v>165</v>
      </c>
      <c r="AX89" s="210">
        <v>2333.9499999999998</v>
      </c>
      <c r="AY89" s="210">
        <v>0</v>
      </c>
      <c r="AZ89" s="210">
        <v>384.98</v>
      </c>
      <c r="BA89" s="210">
        <v>0</v>
      </c>
      <c r="BB89" s="210">
        <v>0</v>
      </c>
      <c r="BC89" s="210">
        <v>0</v>
      </c>
      <c r="BD89" s="210">
        <v>2875</v>
      </c>
      <c r="BE89" s="210">
        <v>0</v>
      </c>
      <c r="BF89" s="210">
        <v>2365.1400000000003</v>
      </c>
      <c r="BG89" s="210">
        <v>2043.21</v>
      </c>
      <c r="BH89" s="210">
        <v>0</v>
      </c>
      <c r="BI89" s="210">
        <v>9024.1099999999988</v>
      </c>
      <c r="BJ89" s="210">
        <v>17334.87</v>
      </c>
      <c r="BK89" s="210">
        <v>5446.6</v>
      </c>
      <c r="BL89" s="210">
        <v>10908.09</v>
      </c>
      <c r="BM89" s="210">
        <v>0</v>
      </c>
      <c r="BN89" s="210">
        <v>0</v>
      </c>
      <c r="BO89" s="210">
        <v>19933.84</v>
      </c>
      <c r="BP89" s="210">
        <v>0</v>
      </c>
      <c r="BQ89" s="211">
        <v>0</v>
      </c>
      <c r="BR89" s="211">
        <v>0</v>
      </c>
      <c r="BS89" s="211">
        <v>0</v>
      </c>
      <c r="BT89" s="212">
        <v>0</v>
      </c>
      <c r="BU89" s="212">
        <v>0</v>
      </c>
      <c r="BV89" s="212">
        <v>0</v>
      </c>
      <c r="BW89" s="212">
        <v>0</v>
      </c>
      <c r="BX89" s="212">
        <v>0</v>
      </c>
      <c r="BY89" s="212">
        <v>0</v>
      </c>
      <c r="BZ89" s="212">
        <v>0</v>
      </c>
      <c r="CA89" s="212">
        <v>0</v>
      </c>
      <c r="CB89" s="212">
        <v>0</v>
      </c>
      <c r="CC89" s="224">
        <v>97150.15999999996</v>
      </c>
      <c r="CD89" s="213"/>
      <c r="CE89" s="211">
        <v>-97492.349999999933</v>
      </c>
      <c r="CF89" s="211">
        <v>3056.0600000000004</v>
      </c>
      <c r="CG89" s="211">
        <v>0</v>
      </c>
      <c r="CH89" s="211">
        <v>0</v>
      </c>
      <c r="CI89" s="211">
        <v>0</v>
      </c>
      <c r="CJ89" s="211">
        <v>-2713.8699999999953</v>
      </c>
      <c r="CK89" s="211">
        <v>-97150.159999999931</v>
      </c>
      <c r="CL89" s="201"/>
      <c r="CM89" s="201">
        <f t="shared" si="25"/>
        <v>0</v>
      </c>
      <c r="CN89" s="340">
        <f t="shared" si="18"/>
        <v>-97492.349999999933</v>
      </c>
      <c r="CO89" s="340">
        <f t="shared" si="19"/>
        <v>3056.0600000000004</v>
      </c>
      <c r="CP89" s="340">
        <f t="shared" si="20"/>
        <v>0</v>
      </c>
      <c r="CQ89" s="340">
        <f t="shared" si="21"/>
        <v>0</v>
      </c>
      <c r="CR89" s="340">
        <f t="shared" si="22"/>
        <v>0</v>
      </c>
      <c r="CS89" s="340">
        <f t="shared" si="23"/>
        <v>-2713.8699999999953</v>
      </c>
      <c r="CT89" s="90">
        <f t="shared" si="17"/>
        <v>-97150.159999999931</v>
      </c>
      <c r="CV89" s="90">
        <f t="shared" si="24"/>
        <v>0</v>
      </c>
    </row>
    <row r="90" spans="1:100">
      <c r="A90" s="325">
        <v>721</v>
      </c>
      <c r="B90" s="325" t="s">
        <v>210</v>
      </c>
      <c r="C90" s="209">
        <v>-117944.33</v>
      </c>
      <c r="D90" s="209">
        <v>-10614.62</v>
      </c>
      <c r="E90" s="209">
        <v>0</v>
      </c>
      <c r="F90" s="209">
        <v>0</v>
      </c>
      <c r="G90" s="209">
        <v>0</v>
      </c>
      <c r="H90" s="209">
        <v>0</v>
      </c>
      <c r="I90" s="223">
        <v>-1081376.52</v>
      </c>
      <c r="J90" s="223">
        <v>0</v>
      </c>
      <c r="K90" s="223">
        <v>-147167</v>
      </c>
      <c r="L90" s="223">
        <v>0</v>
      </c>
      <c r="M90" s="223">
        <v>-61300</v>
      </c>
      <c r="N90" s="223">
        <v>-200</v>
      </c>
      <c r="O90" s="223">
        <v>-2500</v>
      </c>
      <c r="P90" s="223">
        <v>0</v>
      </c>
      <c r="Q90" s="223">
        <v>-34699.539999999972</v>
      </c>
      <c r="R90" s="223">
        <v>0</v>
      </c>
      <c r="S90" s="223">
        <v>-4160</v>
      </c>
      <c r="T90" s="223">
        <v>0</v>
      </c>
      <c r="U90" s="223">
        <v>-14959.009999999997</v>
      </c>
      <c r="V90" s="223">
        <v>-5558</v>
      </c>
      <c r="W90" s="223">
        <v>0</v>
      </c>
      <c r="X90" s="223">
        <v>0</v>
      </c>
      <c r="Y90" s="223">
        <v>0</v>
      </c>
      <c r="Z90" s="223">
        <v>0</v>
      </c>
      <c r="AA90" s="223">
        <v>0</v>
      </c>
      <c r="AB90" s="223">
        <v>-232.5</v>
      </c>
      <c r="AC90" s="223">
        <v>-44579</v>
      </c>
      <c r="AD90" s="210">
        <v>692269.35999999987</v>
      </c>
      <c r="AE90" s="210">
        <v>12919.390000000003</v>
      </c>
      <c r="AF90" s="210">
        <v>292499.06000000006</v>
      </c>
      <c r="AG90" s="210">
        <v>32714.2</v>
      </c>
      <c r="AH90" s="210">
        <v>54135.970000000008</v>
      </c>
      <c r="AI90" s="210">
        <v>0</v>
      </c>
      <c r="AJ90" s="210">
        <v>60132.270000000004</v>
      </c>
      <c r="AK90" s="210">
        <v>114.69</v>
      </c>
      <c r="AL90" s="210">
        <v>5775.99</v>
      </c>
      <c r="AM90" s="210">
        <v>5393.92</v>
      </c>
      <c r="AN90" s="210">
        <v>400</v>
      </c>
      <c r="AO90" s="210">
        <v>7548.3200000000006</v>
      </c>
      <c r="AP90" s="210">
        <v>7118.5200000000013</v>
      </c>
      <c r="AQ90" s="210">
        <v>2498.8799999999997</v>
      </c>
      <c r="AR90" s="210">
        <v>3372.9400000000005</v>
      </c>
      <c r="AS90" s="210">
        <v>21711.22</v>
      </c>
      <c r="AT90" s="210">
        <v>5711.71</v>
      </c>
      <c r="AU90" s="210">
        <v>3083.4800000000005</v>
      </c>
      <c r="AV90" s="210">
        <v>35167.22</v>
      </c>
      <c r="AW90" s="312">
        <v>0</v>
      </c>
      <c r="AX90" s="210">
        <v>198</v>
      </c>
      <c r="AY90" s="210">
        <v>0</v>
      </c>
      <c r="AZ90" s="210">
        <v>3957.4700000000003</v>
      </c>
      <c r="BA90" s="210">
        <v>2431.16</v>
      </c>
      <c r="BB90" s="210">
        <v>8519.1299999999992</v>
      </c>
      <c r="BC90" s="210">
        <v>0</v>
      </c>
      <c r="BD90" s="210">
        <v>5507.5</v>
      </c>
      <c r="BE90" s="210">
        <v>0</v>
      </c>
      <c r="BF90" s="210">
        <v>2704.1499999999996</v>
      </c>
      <c r="BG90" s="210">
        <v>10530.39</v>
      </c>
      <c r="BH90" s="210">
        <v>0</v>
      </c>
      <c r="BI90" s="210">
        <v>41181.47</v>
      </c>
      <c r="BJ90" s="210">
        <v>0</v>
      </c>
      <c r="BK90" s="210">
        <v>22515.26</v>
      </c>
      <c r="BL90" s="210">
        <v>16240.03</v>
      </c>
      <c r="BM90" s="210">
        <v>0</v>
      </c>
      <c r="BN90" s="210">
        <v>0</v>
      </c>
      <c r="BO90" s="210">
        <v>0</v>
      </c>
      <c r="BP90" s="210">
        <v>0</v>
      </c>
      <c r="BQ90" s="211">
        <v>0</v>
      </c>
      <c r="BR90" s="211">
        <v>0</v>
      </c>
      <c r="BS90" s="211">
        <v>0</v>
      </c>
      <c r="BT90" s="212">
        <v>0</v>
      </c>
      <c r="BU90" s="212">
        <v>0</v>
      </c>
      <c r="BV90" s="212">
        <v>190.66</v>
      </c>
      <c r="BW90" s="212">
        <v>0</v>
      </c>
      <c r="BX90" s="212">
        <v>0</v>
      </c>
      <c r="BY90" s="212">
        <v>0</v>
      </c>
      <c r="BZ90" s="212">
        <v>0</v>
      </c>
      <c r="CA90" s="212">
        <v>0</v>
      </c>
      <c r="CB90" s="212">
        <v>0</v>
      </c>
      <c r="CC90" s="224">
        <v>-168748.16000000006</v>
      </c>
      <c r="CD90" s="213"/>
      <c r="CE90" s="211">
        <v>168465.14000000022</v>
      </c>
      <c r="CF90" s="211">
        <v>283.01999999999953</v>
      </c>
      <c r="CG90" s="211">
        <v>0</v>
      </c>
      <c r="CH90" s="211">
        <v>0</v>
      </c>
      <c r="CI90" s="211">
        <v>0</v>
      </c>
      <c r="CJ90" s="211">
        <v>0</v>
      </c>
      <c r="CK90" s="211">
        <v>168748.16000000021</v>
      </c>
      <c r="CL90" s="201"/>
      <c r="CM90" s="201">
        <f t="shared" si="25"/>
        <v>0</v>
      </c>
      <c r="CN90" s="340">
        <f t="shared" si="18"/>
        <v>168465.14000000022</v>
      </c>
      <c r="CO90" s="340">
        <f t="shared" si="19"/>
        <v>283.01999999999953</v>
      </c>
      <c r="CP90" s="340">
        <f t="shared" si="20"/>
        <v>0</v>
      </c>
      <c r="CQ90" s="340">
        <f t="shared" si="21"/>
        <v>0</v>
      </c>
      <c r="CR90" s="340">
        <f t="shared" si="22"/>
        <v>0</v>
      </c>
      <c r="CS90" s="340">
        <f t="shared" si="23"/>
        <v>0</v>
      </c>
      <c r="CT90" s="90">
        <f t="shared" si="17"/>
        <v>168748.16000000021</v>
      </c>
      <c r="CV90" s="90">
        <f t="shared" si="24"/>
        <v>0</v>
      </c>
    </row>
    <row r="91" spans="1:100">
      <c r="A91" s="325">
        <v>724</v>
      </c>
      <c r="B91" s="325" t="s">
        <v>284</v>
      </c>
      <c r="C91" s="209">
        <v>-72820.61</v>
      </c>
      <c r="D91" s="209">
        <v>-8965.8799999999992</v>
      </c>
      <c r="E91" s="209">
        <v>0</v>
      </c>
      <c r="F91" s="209">
        <v>-10575.66</v>
      </c>
      <c r="G91" s="209">
        <v>0</v>
      </c>
      <c r="H91" s="209">
        <v>0</v>
      </c>
      <c r="I91" s="223">
        <v>-1024318.55</v>
      </c>
      <c r="J91" s="223">
        <v>0</v>
      </c>
      <c r="K91" s="223">
        <v>-97220</v>
      </c>
      <c r="L91" s="223">
        <v>0</v>
      </c>
      <c r="M91" s="223">
        <v>-58060</v>
      </c>
      <c r="N91" s="223">
        <v>-2400</v>
      </c>
      <c r="O91" s="223">
        <v>-1100</v>
      </c>
      <c r="P91" s="223">
        <v>-8628</v>
      </c>
      <c r="Q91" s="223">
        <v>-63845.270000000004</v>
      </c>
      <c r="R91" s="223">
        <v>-14109.719999999998</v>
      </c>
      <c r="S91" s="223">
        <v>0</v>
      </c>
      <c r="T91" s="223">
        <v>-2450</v>
      </c>
      <c r="U91" s="223">
        <v>-32148.45</v>
      </c>
      <c r="V91" s="223">
        <v>-19639.599999999999</v>
      </c>
      <c r="W91" s="223">
        <v>0</v>
      </c>
      <c r="X91" s="223">
        <v>0</v>
      </c>
      <c r="Y91" s="223">
        <v>0</v>
      </c>
      <c r="Z91" s="223">
        <v>0</v>
      </c>
      <c r="AA91" s="223">
        <v>0</v>
      </c>
      <c r="AB91" s="223">
        <v>-7485.3000000000011</v>
      </c>
      <c r="AC91" s="223">
        <v>-49472</v>
      </c>
      <c r="AD91" s="210">
        <v>629876.52999999991</v>
      </c>
      <c r="AE91" s="210">
        <v>13305.580000000002</v>
      </c>
      <c r="AF91" s="210">
        <v>278688.30999999994</v>
      </c>
      <c r="AG91" s="210">
        <v>47264.84</v>
      </c>
      <c r="AH91" s="210">
        <v>73683.8</v>
      </c>
      <c r="AI91" s="210">
        <v>2137.0099999999998</v>
      </c>
      <c r="AJ91" s="210">
        <v>69163.83</v>
      </c>
      <c r="AK91" s="210">
        <v>20231.82</v>
      </c>
      <c r="AL91" s="210">
        <v>3222.83</v>
      </c>
      <c r="AM91" s="210">
        <v>6725.34</v>
      </c>
      <c r="AN91" s="210">
        <v>0</v>
      </c>
      <c r="AO91" s="210">
        <v>13723.689999999997</v>
      </c>
      <c r="AP91" s="210">
        <v>2938.62</v>
      </c>
      <c r="AQ91" s="210">
        <v>1636.5099999999998</v>
      </c>
      <c r="AR91" s="210">
        <v>3414.5899999999997</v>
      </c>
      <c r="AS91" s="210">
        <v>30086.660000000003</v>
      </c>
      <c r="AT91" s="210">
        <v>18340.5</v>
      </c>
      <c r="AU91" s="210">
        <v>5157.74</v>
      </c>
      <c r="AV91" s="210">
        <v>87430.74000000002</v>
      </c>
      <c r="AW91" s="312">
        <v>0</v>
      </c>
      <c r="AX91" s="210">
        <v>2395</v>
      </c>
      <c r="AY91" s="210">
        <v>0</v>
      </c>
      <c r="AZ91" s="210">
        <v>49.99</v>
      </c>
      <c r="BA91" s="210">
        <v>3502.9300000000003</v>
      </c>
      <c r="BB91" s="210">
        <v>0</v>
      </c>
      <c r="BC91" s="210">
        <v>822.79</v>
      </c>
      <c r="BD91" s="210">
        <v>5410</v>
      </c>
      <c r="BE91" s="210">
        <v>0</v>
      </c>
      <c r="BF91" s="210">
        <v>12293.71</v>
      </c>
      <c r="BG91" s="210">
        <v>10268.44</v>
      </c>
      <c r="BH91" s="210">
        <v>0</v>
      </c>
      <c r="BI91" s="210">
        <v>51909.759999999995</v>
      </c>
      <c r="BJ91" s="210">
        <v>25257.02</v>
      </c>
      <c r="BK91" s="210">
        <v>7287.92</v>
      </c>
      <c r="BL91" s="210">
        <v>23586.310000000005</v>
      </c>
      <c r="BM91" s="210">
        <v>0</v>
      </c>
      <c r="BN91" s="210">
        <v>0</v>
      </c>
      <c r="BO91" s="210">
        <v>0</v>
      </c>
      <c r="BP91" s="210">
        <v>0</v>
      </c>
      <c r="BQ91" s="211">
        <v>-6250</v>
      </c>
      <c r="BR91" s="211">
        <v>0</v>
      </c>
      <c r="BS91" s="211">
        <v>0</v>
      </c>
      <c r="BT91" s="212">
        <v>0</v>
      </c>
      <c r="BU91" s="212">
        <v>10336.75</v>
      </c>
      <c r="BV91" s="212">
        <v>0</v>
      </c>
      <c r="BW91" s="212">
        <v>0</v>
      </c>
      <c r="BX91" s="212">
        <v>0</v>
      </c>
      <c r="BY91" s="212">
        <v>0</v>
      </c>
      <c r="BZ91" s="212">
        <v>0</v>
      </c>
      <c r="CA91" s="212">
        <v>0</v>
      </c>
      <c r="CB91" s="212">
        <v>0</v>
      </c>
      <c r="CC91" s="224">
        <v>-19339.480000000192</v>
      </c>
      <c r="CD91" s="213"/>
      <c r="CE91" s="211">
        <v>3993.7900000003137</v>
      </c>
      <c r="CF91" s="211">
        <v>8856.7799999999988</v>
      </c>
      <c r="CG91" s="211">
        <v>0</v>
      </c>
      <c r="CH91" s="211">
        <v>6488.91</v>
      </c>
      <c r="CI91" s="211">
        <v>0</v>
      </c>
      <c r="CJ91" s="211">
        <v>0</v>
      </c>
      <c r="CK91" s="211">
        <v>19339.480000000312</v>
      </c>
      <c r="CL91" s="201"/>
      <c r="CM91" s="201">
        <f t="shared" si="25"/>
        <v>1.2005330063402653E-10</v>
      </c>
      <c r="CN91" s="340">
        <f t="shared" si="18"/>
        <v>3993.7900000003137</v>
      </c>
      <c r="CO91" s="340">
        <f t="shared" si="19"/>
        <v>8856.7799999999988</v>
      </c>
      <c r="CP91" s="340">
        <f t="shared" si="20"/>
        <v>0</v>
      </c>
      <c r="CQ91" s="340">
        <f t="shared" si="21"/>
        <v>6488.91</v>
      </c>
      <c r="CR91" s="340">
        <f t="shared" si="22"/>
        <v>0</v>
      </c>
      <c r="CS91" s="340">
        <f t="shared" si="23"/>
        <v>0</v>
      </c>
      <c r="CT91" s="90">
        <f t="shared" si="17"/>
        <v>19339.480000000312</v>
      </c>
      <c r="CV91" s="90">
        <f t="shared" si="24"/>
        <v>0</v>
      </c>
    </row>
    <row r="92" spans="1:100">
      <c r="A92" s="325">
        <v>726</v>
      </c>
      <c r="B92" s="325" t="s">
        <v>397</v>
      </c>
      <c r="C92" s="209">
        <v>-165568.25</v>
      </c>
      <c r="D92" s="209">
        <v>-20397.5</v>
      </c>
      <c r="E92" s="209">
        <v>0</v>
      </c>
      <c r="F92" s="209">
        <v>-9698.26</v>
      </c>
      <c r="G92" s="209">
        <v>0</v>
      </c>
      <c r="H92" s="209">
        <v>0</v>
      </c>
      <c r="I92" s="223">
        <v>-1820568.15</v>
      </c>
      <c r="J92" s="223">
        <v>0</v>
      </c>
      <c r="K92" s="223">
        <v>-67921</v>
      </c>
      <c r="L92" s="223">
        <v>0</v>
      </c>
      <c r="M92" s="223">
        <v>-130580</v>
      </c>
      <c r="N92" s="223">
        <v>-8800</v>
      </c>
      <c r="O92" s="223">
        <v>0</v>
      </c>
      <c r="P92" s="223">
        <v>-2640</v>
      </c>
      <c r="Q92" s="223">
        <v>-45483.29</v>
      </c>
      <c r="R92" s="223">
        <v>-15549.61</v>
      </c>
      <c r="S92" s="223">
        <v>0</v>
      </c>
      <c r="T92" s="223">
        <v>-8400</v>
      </c>
      <c r="U92" s="223">
        <v>-16860.800000000003</v>
      </c>
      <c r="V92" s="223">
        <v>-36671.399999999994</v>
      </c>
      <c r="W92" s="223">
        <v>0</v>
      </c>
      <c r="X92" s="223">
        <v>0</v>
      </c>
      <c r="Y92" s="223">
        <v>0</v>
      </c>
      <c r="Z92" s="223">
        <v>0</v>
      </c>
      <c r="AA92" s="223">
        <v>0</v>
      </c>
      <c r="AB92" s="223">
        <v>143.11999999999989</v>
      </c>
      <c r="AC92" s="223">
        <v>-79267</v>
      </c>
      <c r="AD92" s="210">
        <v>1005077.21</v>
      </c>
      <c r="AE92" s="210">
        <v>3571.0599999999995</v>
      </c>
      <c r="AF92" s="210">
        <v>425070.83000000007</v>
      </c>
      <c r="AG92" s="210">
        <v>88215.209999999992</v>
      </c>
      <c r="AH92" s="210">
        <v>76787.23000000001</v>
      </c>
      <c r="AI92" s="210">
        <v>59088.009999999995</v>
      </c>
      <c r="AJ92" s="210">
        <v>50154.68</v>
      </c>
      <c r="AK92" s="210">
        <v>347.95000000000005</v>
      </c>
      <c r="AL92" s="210">
        <v>6347.5400000000009</v>
      </c>
      <c r="AM92" s="210">
        <v>18880.899999999998</v>
      </c>
      <c r="AN92" s="210">
        <v>0</v>
      </c>
      <c r="AO92" s="210">
        <v>52003.44</v>
      </c>
      <c r="AP92" s="210">
        <v>7702.5899999999983</v>
      </c>
      <c r="AQ92" s="210">
        <v>6909.9099999999989</v>
      </c>
      <c r="AR92" s="210">
        <v>-194.09999999999968</v>
      </c>
      <c r="AS92" s="210">
        <v>35095.950000000004</v>
      </c>
      <c r="AT92" s="210">
        <v>9332.3700000000008</v>
      </c>
      <c r="AU92" s="210">
        <v>4498.5499999999993</v>
      </c>
      <c r="AV92" s="210">
        <v>61812.320000000007</v>
      </c>
      <c r="AW92" s="312">
        <v>0</v>
      </c>
      <c r="AX92" s="210">
        <v>2355.59</v>
      </c>
      <c r="AY92" s="210">
        <v>0</v>
      </c>
      <c r="AZ92" s="210">
        <v>2553.44</v>
      </c>
      <c r="BA92" s="210">
        <v>7689.4599999999991</v>
      </c>
      <c r="BB92" s="210">
        <v>1505.18</v>
      </c>
      <c r="BC92" s="210">
        <v>1210</v>
      </c>
      <c r="BD92" s="210">
        <v>8160</v>
      </c>
      <c r="BE92" s="210">
        <v>0</v>
      </c>
      <c r="BF92" s="210">
        <v>4131.12</v>
      </c>
      <c r="BG92" s="210">
        <v>17079.14</v>
      </c>
      <c r="BH92" s="210">
        <v>0</v>
      </c>
      <c r="BI92" s="210">
        <v>36314.04</v>
      </c>
      <c r="BJ92" s="210">
        <v>83460.7</v>
      </c>
      <c r="BK92" s="210">
        <v>99967.14</v>
      </c>
      <c r="BL92" s="210">
        <v>38603.87999999999</v>
      </c>
      <c r="BM92" s="210">
        <v>0</v>
      </c>
      <c r="BN92" s="210">
        <v>0</v>
      </c>
      <c r="BO92" s="210">
        <v>0</v>
      </c>
      <c r="BP92" s="210">
        <v>0</v>
      </c>
      <c r="BQ92" s="211">
        <v>-11701.25</v>
      </c>
      <c r="BR92" s="211">
        <v>0</v>
      </c>
      <c r="BS92" s="211">
        <v>0</v>
      </c>
      <c r="BT92" s="212">
        <v>0</v>
      </c>
      <c r="BU92" s="212">
        <v>932</v>
      </c>
      <c r="BV92" s="212">
        <v>0</v>
      </c>
      <c r="BW92" s="212">
        <v>0</v>
      </c>
      <c r="BX92" s="212">
        <v>0</v>
      </c>
      <c r="BY92" s="212">
        <v>0</v>
      </c>
      <c r="BZ92" s="212">
        <v>0</v>
      </c>
      <c r="CA92" s="212">
        <v>559</v>
      </c>
      <c r="CB92" s="212">
        <v>0</v>
      </c>
      <c r="CC92" s="224">
        <v>-224741.04999999952</v>
      </c>
      <c r="CD92" s="213"/>
      <c r="CE92" s="211">
        <v>177167.75000000003</v>
      </c>
      <c r="CF92" s="211">
        <v>27664.79</v>
      </c>
      <c r="CG92" s="211">
        <v>0</v>
      </c>
      <c r="CH92" s="211">
        <v>19908.510000000002</v>
      </c>
      <c r="CI92" s="211">
        <v>0</v>
      </c>
      <c r="CJ92" s="211">
        <v>0</v>
      </c>
      <c r="CK92" s="211">
        <v>224741.05000000005</v>
      </c>
      <c r="CL92" s="201"/>
      <c r="CM92" s="201">
        <f t="shared" si="25"/>
        <v>5.2386894822120667E-10</v>
      </c>
      <c r="CN92" s="340">
        <f t="shared" si="18"/>
        <v>177167.75000000003</v>
      </c>
      <c r="CO92" s="340">
        <f t="shared" si="19"/>
        <v>27664.79</v>
      </c>
      <c r="CP92" s="340">
        <f t="shared" si="20"/>
        <v>0</v>
      </c>
      <c r="CQ92" s="340">
        <f t="shared" si="21"/>
        <v>19908.510000000002</v>
      </c>
      <c r="CR92" s="340">
        <f t="shared" si="22"/>
        <v>0</v>
      </c>
      <c r="CS92" s="340">
        <f t="shared" si="23"/>
        <v>0</v>
      </c>
      <c r="CT92" s="90">
        <f t="shared" si="17"/>
        <v>224741.05000000005</v>
      </c>
      <c r="CV92" s="90">
        <f t="shared" si="24"/>
        <v>0</v>
      </c>
    </row>
    <row r="93" spans="1:100">
      <c r="A93" s="325">
        <v>728</v>
      </c>
      <c r="B93" s="325" t="s">
        <v>974</v>
      </c>
      <c r="C93" s="209">
        <v>0</v>
      </c>
      <c r="D93" s="209">
        <v>0</v>
      </c>
      <c r="E93" s="209">
        <v>0</v>
      </c>
      <c r="F93" s="209">
        <v>0</v>
      </c>
      <c r="G93" s="209">
        <v>0</v>
      </c>
      <c r="H93" s="209">
        <v>0</v>
      </c>
      <c r="I93" s="223">
        <v>0</v>
      </c>
      <c r="J93" s="223">
        <v>0</v>
      </c>
      <c r="K93" s="223">
        <v>0</v>
      </c>
      <c r="L93" s="223">
        <v>0</v>
      </c>
      <c r="M93" s="223">
        <v>0</v>
      </c>
      <c r="N93" s="223">
        <v>0</v>
      </c>
      <c r="O93" s="223">
        <v>0</v>
      </c>
      <c r="P93" s="223">
        <v>0</v>
      </c>
      <c r="Q93" s="223">
        <v>0</v>
      </c>
      <c r="R93" s="223">
        <v>0</v>
      </c>
      <c r="S93" s="223">
        <v>0</v>
      </c>
      <c r="T93" s="223">
        <v>0</v>
      </c>
      <c r="U93" s="223">
        <v>0</v>
      </c>
      <c r="V93" s="223">
        <v>0</v>
      </c>
      <c r="W93" s="223">
        <v>0</v>
      </c>
      <c r="X93" s="223">
        <v>0</v>
      </c>
      <c r="Y93" s="223">
        <v>0</v>
      </c>
      <c r="Z93" s="223">
        <v>0</v>
      </c>
      <c r="AA93" s="223">
        <v>0</v>
      </c>
      <c r="AB93" s="223">
        <v>0</v>
      </c>
      <c r="AC93" s="223">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312"/>
      <c r="AX93" s="210">
        <v>0</v>
      </c>
      <c r="AY93" s="210">
        <v>0</v>
      </c>
      <c r="AZ93" s="210">
        <v>0</v>
      </c>
      <c r="BA93" s="210">
        <v>0</v>
      </c>
      <c r="BB93" s="210">
        <v>0</v>
      </c>
      <c r="BC93" s="210">
        <v>0</v>
      </c>
      <c r="BD93" s="210">
        <v>0</v>
      </c>
      <c r="BE93" s="210">
        <v>0</v>
      </c>
      <c r="BF93" s="210">
        <v>0</v>
      </c>
      <c r="BG93" s="210">
        <v>0</v>
      </c>
      <c r="BH93" s="210">
        <v>0</v>
      </c>
      <c r="BI93" s="210">
        <v>0</v>
      </c>
      <c r="BJ93" s="210">
        <v>0</v>
      </c>
      <c r="BK93" s="210">
        <v>0</v>
      </c>
      <c r="BL93" s="210">
        <v>0</v>
      </c>
      <c r="BM93" s="210">
        <v>0</v>
      </c>
      <c r="BN93" s="210">
        <v>0</v>
      </c>
      <c r="BO93" s="210">
        <v>0</v>
      </c>
      <c r="BP93" s="210">
        <v>0</v>
      </c>
      <c r="BQ93" s="211">
        <v>0</v>
      </c>
      <c r="BR93" s="211">
        <v>0</v>
      </c>
      <c r="BS93" s="211">
        <v>0</v>
      </c>
      <c r="BT93" s="212">
        <v>0</v>
      </c>
      <c r="BU93" s="212">
        <v>0</v>
      </c>
      <c r="BV93" s="212">
        <v>0</v>
      </c>
      <c r="BW93" s="212" t="e">
        <v>#N/A</v>
      </c>
      <c r="BX93" s="212">
        <v>0</v>
      </c>
      <c r="BY93" s="212">
        <v>0</v>
      </c>
      <c r="BZ93" s="212">
        <v>0</v>
      </c>
      <c r="CA93" s="212">
        <v>0</v>
      </c>
      <c r="CB93" s="212">
        <v>0</v>
      </c>
      <c r="CC93" s="224">
        <v>0</v>
      </c>
      <c r="CD93" s="213"/>
      <c r="CE93" s="211"/>
      <c r="CF93" s="211"/>
      <c r="CG93" s="211"/>
      <c r="CH93" s="211"/>
      <c r="CI93" s="211"/>
      <c r="CJ93" s="211"/>
      <c r="CK93" s="211"/>
      <c r="CL93" s="201"/>
      <c r="CM93" s="201">
        <f t="shared" si="25"/>
        <v>0</v>
      </c>
      <c r="CN93" s="340">
        <f t="shared" si="18"/>
        <v>0</v>
      </c>
      <c r="CO93" s="340">
        <f t="shared" si="19"/>
        <v>0</v>
      </c>
      <c r="CP93" s="340">
        <f t="shared" si="20"/>
        <v>0</v>
      </c>
      <c r="CQ93" s="340">
        <f t="shared" si="21"/>
        <v>0</v>
      </c>
      <c r="CR93" s="340">
        <f t="shared" si="22"/>
        <v>0</v>
      </c>
      <c r="CS93" s="340">
        <f t="shared" si="23"/>
        <v>0</v>
      </c>
      <c r="CT93" s="90">
        <f t="shared" si="17"/>
        <v>0</v>
      </c>
      <c r="CV93" s="90">
        <f t="shared" si="24"/>
        <v>0</v>
      </c>
    </row>
    <row r="94" spans="1:100">
      <c r="A94" s="325">
        <v>730</v>
      </c>
      <c r="B94" s="325" t="s">
        <v>277</v>
      </c>
      <c r="C94" s="209">
        <v>133740.82</v>
      </c>
      <c r="D94" s="209">
        <v>-11789.22</v>
      </c>
      <c r="E94" s="209">
        <v>0</v>
      </c>
      <c r="F94" s="209">
        <v>-14813.47</v>
      </c>
      <c r="G94" s="209">
        <v>0</v>
      </c>
      <c r="H94" s="209">
        <v>0</v>
      </c>
      <c r="I94" s="223">
        <v>-733218.58</v>
      </c>
      <c r="J94" s="223">
        <v>0</v>
      </c>
      <c r="K94" s="223">
        <v>-8592</v>
      </c>
      <c r="L94" s="223">
        <v>0</v>
      </c>
      <c r="M94" s="223">
        <v>-36850</v>
      </c>
      <c r="N94" s="223">
        <v>-4056.93</v>
      </c>
      <c r="O94" s="223">
        <v>0</v>
      </c>
      <c r="P94" s="223">
        <v>0</v>
      </c>
      <c r="Q94" s="223">
        <v>-28600.13</v>
      </c>
      <c r="R94" s="223">
        <v>-773.27999999999975</v>
      </c>
      <c r="S94" s="223">
        <v>-1663.2</v>
      </c>
      <c r="T94" s="223">
        <v>0</v>
      </c>
      <c r="U94" s="223">
        <v>-6860.0899999999983</v>
      </c>
      <c r="V94" s="223">
        <v>-2873</v>
      </c>
      <c r="W94" s="223">
        <v>0</v>
      </c>
      <c r="X94" s="223">
        <v>0</v>
      </c>
      <c r="Y94" s="223">
        <v>0</v>
      </c>
      <c r="Z94" s="223">
        <v>0</v>
      </c>
      <c r="AA94" s="223">
        <v>0</v>
      </c>
      <c r="AB94" s="223">
        <v>144.36999999999989</v>
      </c>
      <c r="AC94" s="223">
        <v>-32598</v>
      </c>
      <c r="AD94" s="210">
        <v>448960.45</v>
      </c>
      <c r="AE94" s="210">
        <v>4587.16</v>
      </c>
      <c r="AF94" s="210">
        <v>88476.579999999987</v>
      </c>
      <c r="AG94" s="210">
        <v>32251.369999999995</v>
      </c>
      <c r="AH94" s="210">
        <v>46175.390000000007</v>
      </c>
      <c r="AI94" s="210">
        <v>0</v>
      </c>
      <c r="AJ94" s="210">
        <v>37927.860000000008</v>
      </c>
      <c r="AK94" s="210">
        <v>2459.7399999999998</v>
      </c>
      <c r="AL94" s="210">
        <v>2853</v>
      </c>
      <c r="AM94" s="210">
        <v>5551.31</v>
      </c>
      <c r="AN94" s="210">
        <v>0</v>
      </c>
      <c r="AO94" s="210">
        <v>7307.51</v>
      </c>
      <c r="AP94" s="210">
        <v>3244.309999999999</v>
      </c>
      <c r="AQ94" s="210">
        <v>2429.6100000000006</v>
      </c>
      <c r="AR94" s="210">
        <v>500.95</v>
      </c>
      <c r="AS94" s="210">
        <v>30407.800000000003</v>
      </c>
      <c r="AT94" s="210">
        <v>24562.38</v>
      </c>
      <c r="AU94" s="210">
        <v>3710.54</v>
      </c>
      <c r="AV94" s="210">
        <v>16762.919999999998</v>
      </c>
      <c r="AW94" s="312">
        <v>0</v>
      </c>
      <c r="AX94" s="210">
        <v>2934.9</v>
      </c>
      <c r="AY94" s="210">
        <v>0</v>
      </c>
      <c r="AZ94" s="210">
        <v>5415.3399999999992</v>
      </c>
      <c r="BA94" s="210">
        <v>6025.44</v>
      </c>
      <c r="BB94" s="210">
        <v>0</v>
      </c>
      <c r="BC94" s="210">
        <v>0</v>
      </c>
      <c r="BD94" s="210">
        <v>3620</v>
      </c>
      <c r="BE94" s="210">
        <v>0</v>
      </c>
      <c r="BF94" s="210">
        <v>2351.0600000000004</v>
      </c>
      <c r="BG94" s="210">
        <v>6391.58</v>
      </c>
      <c r="BH94" s="210">
        <v>0</v>
      </c>
      <c r="BI94" s="210">
        <v>24990.21</v>
      </c>
      <c r="BJ94" s="210">
        <v>4654.3599999999997</v>
      </c>
      <c r="BK94" s="210">
        <v>18772</v>
      </c>
      <c r="BL94" s="210">
        <v>12857.580000000002</v>
      </c>
      <c r="BM94" s="210">
        <v>0</v>
      </c>
      <c r="BN94" s="210">
        <v>0</v>
      </c>
      <c r="BO94" s="210">
        <v>0</v>
      </c>
      <c r="BP94" s="210">
        <v>0</v>
      </c>
      <c r="BQ94" s="211">
        <v>-5305</v>
      </c>
      <c r="BR94" s="211">
        <v>0</v>
      </c>
      <c r="BS94" s="211">
        <v>0</v>
      </c>
      <c r="BT94" s="212">
        <v>0</v>
      </c>
      <c r="BU94" s="212">
        <v>12116.89</v>
      </c>
      <c r="BV94" s="212">
        <v>0</v>
      </c>
      <c r="BW94" s="212">
        <v>0</v>
      </c>
      <c r="BX94" s="212">
        <v>0</v>
      </c>
      <c r="BY94" s="212">
        <v>0</v>
      </c>
      <c r="BZ94" s="212">
        <v>0</v>
      </c>
      <c r="CA94" s="212">
        <v>0</v>
      </c>
      <c r="CB94" s="212">
        <v>0</v>
      </c>
      <c r="CC94" s="224">
        <v>104190.53000000003</v>
      </c>
      <c r="CD94" s="213"/>
      <c r="CE94" s="211">
        <v>-125912.35000000002</v>
      </c>
      <c r="CF94" s="211">
        <v>13720.24</v>
      </c>
      <c r="CG94" s="211">
        <v>0</v>
      </c>
      <c r="CH94" s="211">
        <v>8001.58</v>
      </c>
      <c r="CI94" s="211">
        <v>0</v>
      </c>
      <c r="CJ94" s="211">
        <v>0</v>
      </c>
      <c r="CK94" s="211">
        <v>-104190.53000000001</v>
      </c>
      <c r="CL94" s="201"/>
      <c r="CM94" s="201">
        <f t="shared" si="25"/>
        <v>0</v>
      </c>
      <c r="CN94" s="340">
        <f t="shared" si="18"/>
        <v>-125912.35000000002</v>
      </c>
      <c r="CO94" s="340">
        <f t="shared" si="19"/>
        <v>13720.24</v>
      </c>
      <c r="CP94" s="340">
        <f t="shared" si="20"/>
        <v>0</v>
      </c>
      <c r="CQ94" s="340">
        <f t="shared" si="21"/>
        <v>8001.58</v>
      </c>
      <c r="CR94" s="340">
        <f t="shared" si="22"/>
        <v>0</v>
      </c>
      <c r="CS94" s="340">
        <f t="shared" si="23"/>
        <v>0</v>
      </c>
      <c r="CT94" s="90">
        <f t="shared" si="17"/>
        <v>-104190.53000000001</v>
      </c>
      <c r="CV94" s="90">
        <f t="shared" si="24"/>
        <v>0</v>
      </c>
    </row>
    <row r="95" spans="1:100">
      <c r="A95" s="325">
        <v>731</v>
      </c>
      <c r="B95" s="325" t="s">
        <v>398</v>
      </c>
      <c r="C95" s="209">
        <v>-108162.35</v>
      </c>
      <c r="D95" s="209">
        <v>-9418.18</v>
      </c>
      <c r="E95" s="209">
        <v>0</v>
      </c>
      <c r="F95" s="209">
        <v>0</v>
      </c>
      <c r="G95" s="209">
        <v>0</v>
      </c>
      <c r="H95" s="209">
        <v>0</v>
      </c>
      <c r="I95" s="223">
        <v>-627859.78</v>
      </c>
      <c r="J95" s="223">
        <v>0</v>
      </c>
      <c r="K95" s="223">
        <v>-24676</v>
      </c>
      <c r="L95" s="223">
        <v>0</v>
      </c>
      <c r="M95" s="223">
        <v>-5920</v>
      </c>
      <c r="N95" s="223">
        <v>-4056.93</v>
      </c>
      <c r="O95" s="223">
        <v>0</v>
      </c>
      <c r="P95" s="223">
        <v>0</v>
      </c>
      <c r="Q95" s="223">
        <v>-6377.94</v>
      </c>
      <c r="R95" s="223">
        <v>0</v>
      </c>
      <c r="S95" s="223">
        <v>0</v>
      </c>
      <c r="T95" s="223">
        <v>-560</v>
      </c>
      <c r="U95" s="223">
        <v>-27298.840000000004</v>
      </c>
      <c r="V95" s="223">
        <v>-15665.25</v>
      </c>
      <c r="W95" s="223">
        <v>0</v>
      </c>
      <c r="X95" s="223">
        <v>0</v>
      </c>
      <c r="Y95" s="223">
        <v>0</v>
      </c>
      <c r="Z95" s="223">
        <v>0</v>
      </c>
      <c r="AA95" s="223">
        <v>0</v>
      </c>
      <c r="AB95" s="223">
        <v>-381.88</v>
      </c>
      <c r="AC95" s="223">
        <v>-34279</v>
      </c>
      <c r="AD95" s="210">
        <v>345863.63999999996</v>
      </c>
      <c r="AE95" s="210">
        <v>8757.0499999999993</v>
      </c>
      <c r="AF95" s="210">
        <v>89465.71</v>
      </c>
      <c r="AG95" s="210">
        <v>16627.559999999994</v>
      </c>
      <c r="AH95" s="210">
        <v>44984.54</v>
      </c>
      <c r="AI95" s="210">
        <v>0</v>
      </c>
      <c r="AJ95" s="210">
        <v>15243.629999999997</v>
      </c>
      <c r="AK95" s="210">
        <v>174.53000000000003</v>
      </c>
      <c r="AL95" s="210">
        <v>6239.78</v>
      </c>
      <c r="AM95" s="210">
        <v>8340.4</v>
      </c>
      <c r="AN95" s="210">
        <v>0</v>
      </c>
      <c r="AO95" s="210">
        <v>24601.119999999999</v>
      </c>
      <c r="AP95" s="210">
        <v>533.98</v>
      </c>
      <c r="AQ95" s="210">
        <v>1398.1099999999997</v>
      </c>
      <c r="AR95" s="210">
        <v>2032.5900000000001</v>
      </c>
      <c r="AS95" s="210">
        <v>7474.55</v>
      </c>
      <c r="AT95" s="210">
        <v>1680.2</v>
      </c>
      <c r="AU95" s="210">
        <v>5119.7699999999995</v>
      </c>
      <c r="AV95" s="210">
        <v>35617.799999999996</v>
      </c>
      <c r="AW95" s="312">
        <v>18.6899999999996</v>
      </c>
      <c r="AX95" s="210">
        <v>3485.49</v>
      </c>
      <c r="AY95" s="210">
        <v>0</v>
      </c>
      <c r="AZ95" s="210">
        <v>13087.89</v>
      </c>
      <c r="BA95" s="210">
        <v>0</v>
      </c>
      <c r="BB95" s="210">
        <v>0</v>
      </c>
      <c r="BC95" s="210">
        <v>0</v>
      </c>
      <c r="BD95" s="210">
        <v>2580</v>
      </c>
      <c r="BE95" s="210">
        <v>0</v>
      </c>
      <c r="BF95" s="210">
        <v>11389.149999999998</v>
      </c>
      <c r="BG95" s="210">
        <v>5658.1200000000008</v>
      </c>
      <c r="BH95" s="210">
        <v>0</v>
      </c>
      <c r="BI95" s="210">
        <v>19801.75</v>
      </c>
      <c r="BJ95" s="210">
        <v>2548.31</v>
      </c>
      <c r="BK95" s="210">
        <v>22695.1</v>
      </c>
      <c r="BL95" s="210">
        <v>20686.75</v>
      </c>
      <c r="BM95" s="210">
        <v>0</v>
      </c>
      <c r="BN95" s="210">
        <v>0</v>
      </c>
      <c r="BO95" s="210">
        <v>0</v>
      </c>
      <c r="BP95" s="210">
        <v>0</v>
      </c>
      <c r="BQ95" s="211">
        <v>0</v>
      </c>
      <c r="BR95" s="211">
        <v>0</v>
      </c>
      <c r="BS95" s="211">
        <v>0</v>
      </c>
      <c r="BT95" s="212">
        <v>0</v>
      </c>
      <c r="BU95" s="212">
        <v>0</v>
      </c>
      <c r="BV95" s="212">
        <v>0</v>
      </c>
      <c r="BW95" s="212">
        <v>0</v>
      </c>
      <c r="BX95" s="212">
        <v>0</v>
      </c>
      <c r="BY95" s="212">
        <v>0</v>
      </c>
      <c r="BZ95" s="212">
        <v>0</v>
      </c>
      <c r="CA95" s="212">
        <v>0</v>
      </c>
      <c r="CB95" s="212">
        <v>0</v>
      </c>
      <c r="CC95" s="224">
        <v>-148549.94</v>
      </c>
      <c r="CD95" s="213"/>
      <c r="CE95" s="211">
        <v>148549.94000000003</v>
      </c>
      <c r="CF95" s="211">
        <v>0</v>
      </c>
      <c r="CG95" s="211">
        <v>0</v>
      </c>
      <c r="CH95" s="211">
        <v>0</v>
      </c>
      <c r="CI95" s="211">
        <v>0</v>
      </c>
      <c r="CJ95" s="211">
        <v>0</v>
      </c>
      <c r="CK95" s="211">
        <v>148549.94000000003</v>
      </c>
      <c r="CL95" s="201"/>
      <c r="CM95" s="201">
        <f t="shared" si="25"/>
        <v>0</v>
      </c>
      <c r="CN95" s="340">
        <f t="shared" si="18"/>
        <v>148549.94000000003</v>
      </c>
      <c r="CO95" s="340">
        <f t="shared" si="19"/>
        <v>0</v>
      </c>
      <c r="CP95" s="340">
        <f t="shared" si="20"/>
        <v>0</v>
      </c>
      <c r="CQ95" s="340">
        <f t="shared" si="21"/>
        <v>0</v>
      </c>
      <c r="CR95" s="340">
        <f t="shared" si="22"/>
        <v>0</v>
      </c>
      <c r="CS95" s="340">
        <f t="shared" si="23"/>
        <v>0</v>
      </c>
      <c r="CT95" s="90">
        <f t="shared" si="17"/>
        <v>148549.94000000003</v>
      </c>
      <c r="CV95" s="90">
        <f t="shared" si="24"/>
        <v>0</v>
      </c>
    </row>
    <row r="96" spans="1:100">
      <c r="A96" s="325">
        <v>732</v>
      </c>
      <c r="B96" s="325" t="s">
        <v>999</v>
      </c>
      <c r="C96" s="209">
        <v>130607.03999999999</v>
      </c>
      <c r="D96" s="209">
        <v>-6326.23</v>
      </c>
      <c r="E96" s="209">
        <v>0</v>
      </c>
      <c r="F96" s="209">
        <v>-8556.9599999999991</v>
      </c>
      <c r="G96" s="209">
        <v>0</v>
      </c>
      <c r="H96" s="209">
        <v>0</v>
      </c>
      <c r="I96" s="223">
        <v>-256879.22999999998</v>
      </c>
      <c r="J96" s="223">
        <v>0</v>
      </c>
      <c r="K96" s="223">
        <v>-42232</v>
      </c>
      <c r="L96" s="223">
        <v>0</v>
      </c>
      <c r="M96" s="223">
        <v>-8306.67</v>
      </c>
      <c r="N96" s="223">
        <v>0</v>
      </c>
      <c r="O96" s="223">
        <v>0</v>
      </c>
      <c r="P96" s="223">
        <v>-5215.2300000000005</v>
      </c>
      <c r="Q96" s="223">
        <v>-891.1</v>
      </c>
      <c r="R96" s="223">
        <v>-977.87999999999988</v>
      </c>
      <c r="S96" s="223">
        <v>0</v>
      </c>
      <c r="T96" s="223">
        <v>0</v>
      </c>
      <c r="U96" s="223">
        <v>0</v>
      </c>
      <c r="V96" s="223">
        <v>-618</v>
      </c>
      <c r="W96" s="223">
        <v>0</v>
      </c>
      <c r="X96" s="223">
        <v>0</v>
      </c>
      <c r="Y96" s="223">
        <v>0</v>
      </c>
      <c r="Z96" s="223">
        <v>0</v>
      </c>
      <c r="AA96" s="223">
        <v>0</v>
      </c>
      <c r="AB96" s="223">
        <v>-837.5</v>
      </c>
      <c r="AC96" s="223">
        <v>-44953</v>
      </c>
      <c r="AD96" s="210">
        <v>183042.73000000004</v>
      </c>
      <c r="AE96" s="210">
        <v>2234.86</v>
      </c>
      <c r="AF96" s="210">
        <v>82706.389999999985</v>
      </c>
      <c r="AG96" s="210">
        <v>10837.16</v>
      </c>
      <c r="AH96" s="210">
        <v>18026.760000000002</v>
      </c>
      <c r="AI96" s="210">
        <v>0</v>
      </c>
      <c r="AJ96" s="210">
        <v>12113.11</v>
      </c>
      <c r="AK96" s="210">
        <v>9141.119999999999</v>
      </c>
      <c r="AL96" s="210">
        <v>1017.78</v>
      </c>
      <c r="AM96" s="210">
        <v>438.78999999999996</v>
      </c>
      <c r="AN96" s="210">
        <v>1520.45</v>
      </c>
      <c r="AO96" s="210">
        <v>7304.41</v>
      </c>
      <c r="AP96" s="210">
        <v>1291.25</v>
      </c>
      <c r="AQ96" s="210">
        <v>838.07</v>
      </c>
      <c r="AR96" s="210">
        <v>2340.6999999999998</v>
      </c>
      <c r="AS96" s="210">
        <v>8005.07</v>
      </c>
      <c r="AT96" s="210">
        <v>17070.910000000003</v>
      </c>
      <c r="AU96" s="210">
        <v>973.35</v>
      </c>
      <c r="AV96" s="210">
        <v>13511.639999999998</v>
      </c>
      <c r="AW96" s="312">
        <v>0</v>
      </c>
      <c r="AX96" s="210">
        <v>0</v>
      </c>
      <c r="AY96" s="210">
        <v>0</v>
      </c>
      <c r="AZ96" s="210">
        <v>0</v>
      </c>
      <c r="BA96" s="210">
        <v>0</v>
      </c>
      <c r="BB96" s="210">
        <v>0</v>
      </c>
      <c r="BC96" s="210">
        <v>0</v>
      </c>
      <c r="BD96" s="210">
        <v>1566.67</v>
      </c>
      <c r="BE96" s="210">
        <v>0</v>
      </c>
      <c r="BF96" s="210">
        <v>1385.83</v>
      </c>
      <c r="BG96" s="210">
        <v>857.92000000000007</v>
      </c>
      <c r="BH96" s="210">
        <v>0</v>
      </c>
      <c r="BI96" s="210">
        <v>18464.030000000006</v>
      </c>
      <c r="BJ96" s="210">
        <v>2864.7999999999997</v>
      </c>
      <c r="BK96" s="210">
        <v>2762.76</v>
      </c>
      <c r="BL96" s="210">
        <v>7780.41</v>
      </c>
      <c r="BM96" s="210">
        <v>0</v>
      </c>
      <c r="BN96" s="210">
        <v>0</v>
      </c>
      <c r="BO96" s="210">
        <v>0</v>
      </c>
      <c r="BP96" s="210">
        <v>0</v>
      </c>
      <c r="BQ96" s="211">
        <v>-5248.75</v>
      </c>
      <c r="BR96" s="211">
        <v>0</v>
      </c>
      <c r="BS96" s="211">
        <v>0</v>
      </c>
      <c r="BT96" s="212">
        <v>0</v>
      </c>
      <c r="BU96" s="212">
        <v>4017.2</v>
      </c>
      <c r="BV96" s="212">
        <v>0</v>
      </c>
      <c r="BW96" s="212">
        <v>0</v>
      </c>
      <c r="BX96" s="212">
        <v>0</v>
      </c>
      <c r="BY96" s="212">
        <v>0</v>
      </c>
      <c r="BZ96" s="212">
        <v>0</v>
      </c>
      <c r="CA96" s="212">
        <v>0</v>
      </c>
      <c r="CB96" s="212">
        <v>0</v>
      </c>
      <c r="CC96" s="224">
        <v>161678.66000000003</v>
      </c>
      <c r="CD96" s="213"/>
      <c r="CE96" s="211"/>
      <c r="CF96" s="211"/>
      <c r="CG96" s="211"/>
      <c r="CH96" s="211"/>
      <c r="CI96" s="211"/>
      <c r="CJ96" s="211"/>
      <c r="CK96" s="211"/>
      <c r="CL96" s="201"/>
      <c r="CM96" s="201">
        <f t="shared" si="25"/>
        <v>161678.66000000003</v>
      </c>
      <c r="CN96" s="340">
        <f t="shared" si="18"/>
        <v>0</v>
      </c>
      <c r="CO96" s="340">
        <f t="shared" si="19"/>
        <v>0</v>
      </c>
      <c r="CP96" s="340">
        <f t="shared" si="20"/>
        <v>0</v>
      </c>
      <c r="CQ96" s="340">
        <f t="shared" si="21"/>
        <v>0</v>
      </c>
      <c r="CR96" s="340">
        <f t="shared" si="22"/>
        <v>0</v>
      </c>
      <c r="CS96" s="340">
        <f t="shared" si="23"/>
        <v>0</v>
      </c>
      <c r="CT96" s="90">
        <f t="shared" si="17"/>
        <v>0</v>
      </c>
      <c r="CV96" s="90">
        <f t="shared" si="24"/>
        <v>0</v>
      </c>
    </row>
    <row r="97" spans="1:100">
      <c r="A97" s="325">
        <v>733</v>
      </c>
      <c r="B97" s="325" t="s">
        <v>199</v>
      </c>
      <c r="C97" s="209">
        <v>-97124.96</v>
      </c>
      <c r="D97" s="209">
        <v>-2505.0700000000002</v>
      </c>
      <c r="E97" s="209">
        <v>0</v>
      </c>
      <c r="F97" s="209">
        <v>-19513.16</v>
      </c>
      <c r="G97" s="209">
        <v>0</v>
      </c>
      <c r="H97" s="209">
        <v>2641.16</v>
      </c>
      <c r="I97" s="223">
        <v>-818014.98</v>
      </c>
      <c r="J97" s="223">
        <v>0</v>
      </c>
      <c r="K97" s="223">
        <v>-49129</v>
      </c>
      <c r="L97" s="223">
        <v>0</v>
      </c>
      <c r="M97" s="223">
        <v>-22760</v>
      </c>
      <c r="N97" s="223">
        <v>-400</v>
      </c>
      <c r="O97" s="223">
        <v>-1983</v>
      </c>
      <c r="P97" s="223">
        <v>0</v>
      </c>
      <c r="Q97" s="223">
        <v>-33328.19</v>
      </c>
      <c r="R97" s="223">
        <v>-63.379999999999995</v>
      </c>
      <c r="S97" s="223">
        <v>0</v>
      </c>
      <c r="T97" s="223">
        <v>0</v>
      </c>
      <c r="U97" s="223">
        <v>-15077.390000000014</v>
      </c>
      <c r="V97" s="223">
        <v>-2910.4700000000003</v>
      </c>
      <c r="W97" s="223">
        <v>0</v>
      </c>
      <c r="X97" s="223">
        <v>-79039.390000000014</v>
      </c>
      <c r="Y97" s="223">
        <v>-21470.529999999995</v>
      </c>
      <c r="Z97" s="223">
        <v>0</v>
      </c>
      <c r="AA97" s="223">
        <v>0</v>
      </c>
      <c r="AB97" s="223">
        <v>-837.5</v>
      </c>
      <c r="AC97" s="223">
        <v>-37085</v>
      </c>
      <c r="AD97" s="210">
        <v>491554.65</v>
      </c>
      <c r="AE97" s="210">
        <v>0</v>
      </c>
      <c r="AF97" s="210">
        <v>217717.06</v>
      </c>
      <c r="AG97" s="210">
        <v>0</v>
      </c>
      <c r="AH97" s="210">
        <v>53847.150000000009</v>
      </c>
      <c r="AI97" s="210">
        <v>0</v>
      </c>
      <c r="AJ97" s="210">
        <v>32596.89</v>
      </c>
      <c r="AK97" s="210">
        <v>3430.15</v>
      </c>
      <c r="AL97" s="210">
        <v>1806.6100000000001</v>
      </c>
      <c r="AM97" s="210">
        <v>466.65</v>
      </c>
      <c r="AN97" s="210">
        <v>0</v>
      </c>
      <c r="AO97" s="210">
        <v>4474.8100000000004</v>
      </c>
      <c r="AP97" s="210">
        <v>1554.1799999999996</v>
      </c>
      <c r="AQ97" s="210">
        <v>16904.579999999998</v>
      </c>
      <c r="AR97" s="210">
        <v>2434.6699999999992</v>
      </c>
      <c r="AS97" s="210">
        <v>8486.6</v>
      </c>
      <c r="AT97" s="210">
        <v>4787.87</v>
      </c>
      <c r="AU97" s="210">
        <v>10482.26</v>
      </c>
      <c r="AV97" s="210">
        <v>55154.98</v>
      </c>
      <c r="AW97" s="312">
        <v>0</v>
      </c>
      <c r="AX97" s="210">
        <v>2649</v>
      </c>
      <c r="AY97" s="210">
        <v>0</v>
      </c>
      <c r="AZ97" s="210">
        <v>2461.39</v>
      </c>
      <c r="BA97" s="210">
        <v>0</v>
      </c>
      <c r="BB97" s="210">
        <v>0</v>
      </c>
      <c r="BC97" s="210">
        <v>0</v>
      </c>
      <c r="BD97" s="210">
        <v>1530</v>
      </c>
      <c r="BE97" s="210">
        <v>0</v>
      </c>
      <c r="BF97" s="210">
        <v>10537.260000000002</v>
      </c>
      <c r="BG97" s="210">
        <v>8015.67</v>
      </c>
      <c r="BH97" s="210">
        <v>0</v>
      </c>
      <c r="BI97" s="210">
        <v>25514.39</v>
      </c>
      <c r="BJ97" s="210">
        <v>380</v>
      </c>
      <c r="BK97" s="210">
        <v>1136</v>
      </c>
      <c r="BL97" s="210">
        <v>15342.38</v>
      </c>
      <c r="BM97" s="210">
        <v>0</v>
      </c>
      <c r="BN97" s="210">
        <v>0</v>
      </c>
      <c r="BO97" s="210">
        <v>69369.7</v>
      </c>
      <c r="BP97" s="210">
        <v>5734.9400000000005</v>
      </c>
      <c r="BQ97" s="211">
        <v>-5710</v>
      </c>
      <c r="BR97" s="211">
        <v>0</v>
      </c>
      <c r="BS97" s="211">
        <v>0</v>
      </c>
      <c r="BT97" s="212">
        <v>0</v>
      </c>
      <c r="BU97" s="212">
        <v>2473.17</v>
      </c>
      <c r="BV97" s="212">
        <v>2472.39</v>
      </c>
      <c r="BW97" s="212">
        <v>-479</v>
      </c>
      <c r="BX97" s="212">
        <v>9354</v>
      </c>
      <c r="BY97" s="212">
        <v>0</v>
      </c>
      <c r="BZ97" s="212">
        <v>0</v>
      </c>
      <c r="CA97" s="212">
        <v>425</v>
      </c>
      <c r="CB97" s="212">
        <v>0</v>
      </c>
      <c r="CC97" s="224">
        <v>-141695.46</v>
      </c>
      <c r="CD97" s="213"/>
      <c r="CE97" s="211">
        <v>106836.18000000009</v>
      </c>
      <c r="CF97" s="211">
        <v>878.36999999999989</v>
      </c>
      <c r="CG97" s="211">
        <v>0</v>
      </c>
      <c r="CH97" s="211">
        <v>11423.39</v>
      </c>
      <c r="CI97" s="211">
        <v>0</v>
      </c>
      <c r="CJ97" s="211">
        <v>22557.420000000013</v>
      </c>
      <c r="CK97" s="211">
        <v>141695.3600000001</v>
      </c>
      <c r="CL97" s="201"/>
      <c r="CM97" s="201">
        <f t="shared" si="25"/>
        <v>-9.9999999889405444E-2</v>
      </c>
      <c r="CN97" s="340">
        <f t="shared" si="18"/>
        <v>106836.18000000009</v>
      </c>
      <c r="CO97" s="340">
        <f t="shared" si="19"/>
        <v>878.36999999999989</v>
      </c>
      <c r="CP97" s="340">
        <f t="shared" si="20"/>
        <v>0</v>
      </c>
      <c r="CQ97" s="340">
        <f t="shared" si="21"/>
        <v>11423.39</v>
      </c>
      <c r="CR97" s="340">
        <f t="shared" si="22"/>
        <v>0</v>
      </c>
      <c r="CS97" s="340">
        <f t="shared" si="23"/>
        <v>22557.420000000013</v>
      </c>
      <c r="CT97" s="90">
        <f t="shared" si="17"/>
        <v>141695.3600000001</v>
      </c>
      <c r="CV97" s="90">
        <f t="shared" si="24"/>
        <v>0</v>
      </c>
    </row>
    <row r="98" spans="1:100">
      <c r="A98" s="325">
        <v>734</v>
      </c>
      <c r="B98" s="325" t="s">
        <v>399</v>
      </c>
      <c r="C98" s="209">
        <v>-99493.78</v>
      </c>
      <c r="D98" s="209">
        <v>0</v>
      </c>
      <c r="E98" s="209">
        <v>0</v>
      </c>
      <c r="F98" s="209">
        <v>0</v>
      </c>
      <c r="G98" s="209">
        <v>0</v>
      </c>
      <c r="H98" s="209">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99493.78</v>
      </c>
      <c r="AW98" s="312">
        <v>0</v>
      </c>
      <c r="AX98" s="210">
        <v>0</v>
      </c>
      <c r="AY98" s="210">
        <v>0</v>
      </c>
      <c r="AZ98" s="210">
        <v>0</v>
      </c>
      <c r="BA98" s="210">
        <v>0</v>
      </c>
      <c r="BB98" s="210">
        <v>0</v>
      </c>
      <c r="BC98" s="210">
        <v>0</v>
      </c>
      <c r="BD98" s="210">
        <v>0</v>
      </c>
      <c r="BE98" s="210">
        <v>0</v>
      </c>
      <c r="BF98" s="210">
        <v>0</v>
      </c>
      <c r="BG98" s="210">
        <v>0</v>
      </c>
      <c r="BH98" s="210">
        <v>0</v>
      </c>
      <c r="BI98" s="210">
        <v>0</v>
      </c>
      <c r="BJ98" s="210">
        <v>0</v>
      </c>
      <c r="BK98" s="210">
        <v>0</v>
      </c>
      <c r="BL98" s="210">
        <v>0</v>
      </c>
      <c r="BM98" s="210">
        <v>0</v>
      </c>
      <c r="BN98" s="210">
        <v>0</v>
      </c>
      <c r="BO98" s="210">
        <v>0</v>
      </c>
      <c r="BP98" s="210">
        <v>0</v>
      </c>
      <c r="BQ98" s="211">
        <v>0</v>
      </c>
      <c r="BR98" s="211">
        <v>0</v>
      </c>
      <c r="BS98" s="211">
        <v>0</v>
      </c>
      <c r="BT98" s="212">
        <v>0</v>
      </c>
      <c r="BU98" s="212">
        <v>0</v>
      </c>
      <c r="BV98" s="212">
        <v>0</v>
      </c>
      <c r="BW98" s="212">
        <v>0</v>
      </c>
      <c r="BX98" s="212">
        <v>0</v>
      </c>
      <c r="BY98" s="212">
        <v>0</v>
      </c>
      <c r="BZ98" s="212">
        <v>0</v>
      </c>
      <c r="CA98" s="212">
        <v>0</v>
      </c>
      <c r="CB98" s="212">
        <v>0</v>
      </c>
      <c r="CC98" s="224">
        <v>0</v>
      </c>
      <c r="CD98" s="213"/>
      <c r="CE98" s="211"/>
      <c r="CF98" s="211"/>
      <c r="CG98" s="211"/>
      <c r="CH98" s="211"/>
      <c r="CI98" s="211"/>
      <c r="CJ98" s="211"/>
      <c r="CK98" s="211"/>
      <c r="CL98" s="201"/>
      <c r="CM98" s="201">
        <f t="shared" si="25"/>
        <v>0</v>
      </c>
      <c r="CN98" s="340">
        <f t="shared" si="18"/>
        <v>0</v>
      </c>
      <c r="CO98" s="340">
        <f t="shared" si="19"/>
        <v>0</v>
      </c>
      <c r="CP98" s="340">
        <f t="shared" si="20"/>
        <v>0</v>
      </c>
      <c r="CQ98" s="340">
        <f t="shared" si="21"/>
        <v>0</v>
      </c>
      <c r="CR98" s="340">
        <f t="shared" si="22"/>
        <v>0</v>
      </c>
      <c r="CS98" s="340">
        <f t="shared" si="23"/>
        <v>0</v>
      </c>
      <c r="CT98" s="90">
        <f t="shared" si="17"/>
        <v>0</v>
      </c>
      <c r="CV98" s="90">
        <f t="shared" si="24"/>
        <v>0</v>
      </c>
    </row>
    <row r="99" spans="1:100">
      <c r="A99" s="325">
        <v>735</v>
      </c>
      <c r="B99" s="327" t="s">
        <v>211</v>
      </c>
      <c r="C99" s="209">
        <v>-53530.3</v>
      </c>
      <c r="D99" s="209">
        <v>-4593</v>
      </c>
      <c r="E99" s="209">
        <v>0</v>
      </c>
      <c r="F99" s="209">
        <v>0</v>
      </c>
      <c r="G99" s="209">
        <v>0</v>
      </c>
      <c r="H99" s="209">
        <v>0</v>
      </c>
      <c r="I99" s="223">
        <v>-294340.90999999997</v>
      </c>
      <c r="J99" s="223">
        <v>0</v>
      </c>
      <c r="K99" s="223">
        <v>-3398</v>
      </c>
      <c r="L99" s="223">
        <v>0</v>
      </c>
      <c r="M99" s="223">
        <v>-7010</v>
      </c>
      <c r="N99" s="223">
        <v>0</v>
      </c>
      <c r="O99" s="223">
        <v>0</v>
      </c>
      <c r="P99" s="223">
        <v>0</v>
      </c>
      <c r="Q99" s="223">
        <v>-3857.31</v>
      </c>
      <c r="R99" s="223">
        <v>0</v>
      </c>
      <c r="S99" s="223">
        <v>0</v>
      </c>
      <c r="T99" s="223">
        <v>-567</v>
      </c>
      <c r="U99" s="223">
        <v>-5278.37</v>
      </c>
      <c r="V99" s="223">
        <v>-2465.7799999999997</v>
      </c>
      <c r="W99" s="223">
        <v>0</v>
      </c>
      <c r="X99" s="223">
        <v>0</v>
      </c>
      <c r="Y99" s="223">
        <v>0</v>
      </c>
      <c r="Z99" s="223">
        <v>0</v>
      </c>
      <c r="AA99" s="223">
        <v>0</v>
      </c>
      <c r="AB99" s="223">
        <v>-640.63</v>
      </c>
      <c r="AC99" s="223">
        <v>-20435</v>
      </c>
      <c r="AD99" s="210">
        <v>165585.76999999999</v>
      </c>
      <c r="AE99" s="210">
        <v>11884.23</v>
      </c>
      <c r="AF99" s="210">
        <v>64742.400000000001</v>
      </c>
      <c r="AG99" s="210">
        <v>0</v>
      </c>
      <c r="AH99" s="210">
        <v>21321.78</v>
      </c>
      <c r="AI99" s="210">
        <v>0</v>
      </c>
      <c r="AJ99" s="210">
        <v>11715.980000000001</v>
      </c>
      <c r="AK99" s="210">
        <v>202.94</v>
      </c>
      <c r="AL99" s="210">
        <v>557.25</v>
      </c>
      <c r="AM99" s="210">
        <v>968.99</v>
      </c>
      <c r="AN99" s="210">
        <v>500</v>
      </c>
      <c r="AO99" s="210">
        <v>5932.92</v>
      </c>
      <c r="AP99" s="210">
        <v>0</v>
      </c>
      <c r="AQ99" s="210">
        <v>6490.3300000000008</v>
      </c>
      <c r="AR99" s="210">
        <v>552.61</v>
      </c>
      <c r="AS99" s="210">
        <v>9620.2199999999993</v>
      </c>
      <c r="AT99" s="210">
        <v>519.34</v>
      </c>
      <c r="AU99" s="210">
        <v>802.84</v>
      </c>
      <c r="AV99" s="210">
        <v>17327.78</v>
      </c>
      <c r="AW99" s="312">
        <v>0</v>
      </c>
      <c r="AX99" s="210">
        <v>2065.3000000000002</v>
      </c>
      <c r="AY99" s="210">
        <v>0</v>
      </c>
      <c r="AZ99" s="210">
        <v>426.5</v>
      </c>
      <c r="BA99" s="210">
        <v>0</v>
      </c>
      <c r="BB99" s="210">
        <v>0</v>
      </c>
      <c r="BC99" s="210">
        <v>0</v>
      </c>
      <c r="BD99" s="210">
        <v>3066.5</v>
      </c>
      <c r="BE99" s="210">
        <v>0</v>
      </c>
      <c r="BF99" s="210">
        <v>1308.1500000000001</v>
      </c>
      <c r="BG99" s="210">
        <v>1100.19</v>
      </c>
      <c r="BH99" s="210">
        <v>0</v>
      </c>
      <c r="BI99" s="210">
        <v>5491.83</v>
      </c>
      <c r="BJ99" s="210">
        <v>0</v>
      </c>
      <c r="BK99" s="210">
        <v>12327.34</v>
      </c>
      <c r="BL99" s="210">
        <v>9639.5300000000007</v>
      </c>
      <c r="BM99" s="210">
        <v>0</v>
      </c>
      <c r="BN99" s="210">
        <v>0</v>
      </c>
      <c r="BO99" s="210">
        <v>0</v>
      </c>
      <c r="BP99" s="210">
        <v>0</v>
      </c>
      <c r="BQ99" s="211">
        <v>0</v>
      </c>
      <c r="BR99" s="211">
        <v>0</v>
      </c>
      <c r="BS99" s="211">
        <v>0</v>
      </c>
      <c r="BT99" s="212">
        <v>0</v>
      </c>
      <c r="BU99" s="212">
        <v>0</v>
      </c>
      <c r="BV99" s="212">
        <v>0</v>
      </c>
      <c r="BW99" s="212">
        <v>0</v>
      </c>
      <c r="BX99" s="212">
        <v>0</v>
      </c>
      <c r="BY99" s="212">
        <v>0</v>
      </c>
      <c r="BZ99" s="212">
        <v>0</v>
      </c>
      <c r="CA99" s="212">
        <v>0</v>
      </c>
      <c r="CB99" s="212">
        <v>0</v>
      </c>
      <c r="CC99" s="224">
        <v>-41965.58</v>
      </c>
      <c r="CD99" s="213"/>
      <c r="CE99" s="211">
        <v>38148.580000000031</v>
      </c>
      <c r="CF99" s="211">
        <v>3817</v>
      </c>
      <c r="CG99" s="211">
        <v>0</v>
      </c>
      <c r="CH99" s="211">
        <v>0</v>
      </c>
      <c r="CI99" s="211">
        <v>0</v>
      </c>
      <c r="CJ99" s="211">
        <v>0</v>
      </c>
      <c r="CK99" s="211">
        <v>41965.580000000031</v>
      </c>
      <c r="CL99" s="201"/>
      <c r="CM99" s="201">
        <f t="shared" si="25"/>
        <v>0</v>
      </c>
      <c r="CN99" s="340">
        <f t="shared" si="18"/>
        <v>38148.580000000031</v>
      </c>
      <c r="CO99" s="340">
        <f t="shared" si="19"/>
        <v>3817</v>
      </c>
      <c r="CP99" s="340">
        <f t="shared" si="20"/>
        <v>0</v>
      </c>
      <c r="CQ99" s="340">
        <f t="shared" si="21"/>
        <v>0</v>
      </c>
      <c r="CR99" s="340">
        <f t="shared" si="22"/>
        <v>0</v>
      </c>
      <c r="CS99" s="340">
        <f t="shared" si="23"/>
        <v>0</v>
      </c>
      <c r="CT99" s="90">
        <f t="shared" si="17"/>
        <v>41965.580000000031</v>
      </c>
      <c r="CV99" s="90">
        <f t="shared" si="24"/>
        <v>0</v>
      </c>
    </row>
    <row r="100" spans="1:100">
      <c r="A100" s="325">
        <v>742</v>
      </c>
      <c r="B100" s="325" t="s">
        <v>400</v>
      </c>
      <c r="C100" s="209">
        <v>-29079.14</v>
      </c>
      <c r="D100" s="209">
        <v>-6291.36</v>
      </c>
      <c r="E100" s="209">
        <v>0</v>
      </c>
      <c r="F100" s="209">
        <v>-3357.59</v>
      </c>
      <c r="G100" s="209">
        <v>0</v>
      </c>
      <c r="H100" s="209">
        <v>0</v>
      </c>
      <c r="I100" s="223">
        <v>-772988.52</v>
      </c>
      <c r="J100" s="223">
        <v>0</v>
      </c>
      <c r="K100" s="223">
        <v>-18170</v>
      </c>
      <c r="L100" s="223">
        <v>0</v>
      </c>
      <c r="M100" s="223">
        <v>-28070</v>
      </c>
      <c r="N100" s="223">
        <v>-22393.13</v>
      </c>
      <c r="O100" s="223">
        <v>-1000</v>
      </c>
      <c r="P100" s="223">
        <v>-945</v>
      </c>
      <c r="Q100" s="223">
        <v>-28367.420000000006</v>
      </c>
      <c r="R100" s="223">
        <v>0</v>
      </c>
      <c r="S100" s="223">
        <v>0</v>
      </c>
      <c r="T100" s="223">
        <v>0</v>
      </c>
      <c r="U100" s="223">
        <v>-13782.169999999998</v>
      </c>
      <c r="V100" s="223">
        <v>-7586</v>
      </c>
      <c r="W100" s="223">
        <v>0</v>
      </c>
      <c r="X100" s="223">
        <v>0</v>
      </c>
      <c r="Y100" s="223">
        <v>0</v>
      </c>
      <c r="Z100" s="223">
        <v>0</v>
      </c>
      <c r="AA100" s="223">
        <v>0</v>
      </c>
      <c r="AB100" s="223">
        <v>16.869999999999891</v>
      </c>
      <c r="AC100" s="223">
        <v>-44419</v>
      </c>
      <c r="AD100" s="210">
        <v>543308.42000000004</v>
      </c>
      <c r="AE100" s="210">
        <v>10850.91</v>
      </c>
      <c r="AF100" s="210">
        <v>72827.319999999992</v>
      </c>
      <c r="AG100" s="210">
        <v>0</v>
      </c>
      <c r="AH100" s="210">
        <v>39892.719999999994</v>
      </c>
      <c r="AI100" s="210">
        <v>0</v>
      </c>
      <c r="AJ100" s="210">
        <v>40661.780000000006</v>
      </c>
      <c r="AK100" s="210">
        <v>2537</v>
      </c>
      <c r="AL100" s="210">
        <v>4531.5</v>
      </c>
      <c r="AM100" s="210">
        <v>2364.25</v>
      </c>
      <c r="AN100" s="210">
        <v>0</v>
      </c>
      <c r="AO100" s="210">
        <v>8360.06</v>
      </c>
      <c r="AP100" s="210">
        <v>5667.2999999999993</v>
      </c>
      <c r="AQ100" s="210">
        <v>21130.560000000001</v>
      </c>
      <c r="AR100" s="210">
        <v>2039.96</v>
      </c>
      <c r="AS100" s="210">
        <v>17291.91</v>
      </c>
      <c r="AT100" s="210">
        <v>19554.830000000002</v>
      </c>
      <c r="AU100" s="210">
        <v>2184.2700000000004</v>
      </c>
      <c r="AV100" s="210">
        <v>43848.849999999984</v>
      </c>
      <c r="AW100" s="312">
        <v>0</v>
      </c>
      <c r="AX100" s="210">
        <v>1923</v>
      </c>
      <c r="AY100" s="210">
        <v>0</v>
      </c>
      <c r="AZ100" s="210">
        <v>0</v>
      </c>
      <c r="BA100" s="210">
        <v>0</v>
      </c>
      <c r="BB100" s="210">
        <v>0</v>
      </c>
      <c r="BC100" s="210">
        <v>4101</v>
      </c>
      <c r="BD100" s="210">
        <v>1450</v>
      </c>
      <c r="BE100" s="210">
        <v>0</v>
      </c>
      <c r="BF100" s="210">
        <v>2012.6100000000001</v>
      </c>
      <c r="BG100" s="210">
        <v>7596.55</v>
      </c>
      <c r="BH100" s="210">
        <v>0</v>
      </c>
      <c r="BI100" s="210">
        <v>37923.130000000005</v>
      </c>
      <c r="BJ100" s="210">
        <v>12632</v>
      </c>
      <c r="BK100" s="210">
        <v>7236.4</v>
      </c>
      <c r="BL100" s="210">
        <v>14647.53</v>
      </c>
      <c r="BM100" s="210">
        <v>0</v>
      </c>
      <c r="BN100" s="210">
        <v>0</v>
      </c>
      <c r="BO100" s="210">
        <v>0</v>
      </c>
      <c r="BP100" s="210">
        <v>0</v>
      </c>
      <c r="BQ100" s="211">
        <v>-5462.5</v>
      </c>
      <c r="BR100" s="211">
        <v>0</v>
      </c>
      <c r="BS100" s="211">
        <v>0</v>
      </c>
      <c r="BT100" s="212">
        <v>0</v>
      </c>
      <c r="BU100" s="212">
        <v>325</v>
      </c>
      <c r="BV100" s="212">
        <v>0</v>
      </c>
      <c r="BW100" s="212">
        <v>0</v>
      </c>
      <c r="BX100" s="212">
        <v>0</v>
      </c>
      <c r="BY100" s="212">
        <v>0</v>
      </c>
      <c r="BZ100" s="212">
        <v>0</v>
      </c>
      <c r="CA100" s="212">
        <v>533.75</v>
      </c>
      <c r="CB100" s="212">
        <v>0</v>
      </c>
      <c r="CC100" s="224">
        <v>-54462.350000000086</v>
      </c>
      <c r="CD100" s="213"/>
      <c r="CE100" s="211">
        <v>5371.9999999998909</v>
      </c>
      <c r="CF100" s="211">
        <v>41129.01</v>
      </c>
      <c r="CG100" s="211">
        <v>0</v>
      </c>
      <c r="CH100" s="211">
        <v>7961.34</v>
      </c>
      <c r="CI100" s="211">
        <v>0</v>
      </c>
      <c r="CJ100" s="211">
        <v>0</v>
      </c>
      <c r="CK100" s="211">
        <v>54462.349999999889</v>
      </c>
      <c r="CL100" s="201"/>
      <c r="CM100" s="201">
        <f t="shared" si="25"/>
        <v>-1.964508555829525E-10</v>
      </c>
      <c r="CN100" s="340">
        <f t="shared" ref="CN100:CN131" si="26">CE100-(CL100)</f>
        <v>5371.9999999998909</v>
      </c>
      <c r="CO100" s="340">
        <f t="shared" ref="CO100:CO131" si="27">CF100</f>
        <v>41129.01</v>
      </c>
      <c r="CP100" s="340">
        <f t="shared" ref="CP100:CP131" si="28">CG100</f>
        <v>0</v>
      </c>
      <c r="CQ100" s="340">
        <f t="shared" ref="CQ100:CQ131" si="29">CH100</f>
        <v>7961.34</v>
      </c>
      <c r="CR100" s="340">
        <f t="shared" ref="CR100:CR131" si="30">CI100</f>
        <v>0</v>
      </c>
      <c r="CS100" s="340">
        <f t="shared" ref="CS100:CS131" si="31">CJ100</f>
        <v>0</v>
      </c>
      <c r="CT100" s="90">
        <f t="shared" si="17"/>
        <v>54462.349999999889</v>
      </c>
      <c r="CV100" s="90">
        <f t="shared" si="24"/>
        <v>0</v>
      </c>
    </row>
    <row r="101" spans="1:100">
      <c r="A101" s="325">
        <v>743</v>
      </c>
      <c r="B101" s="325" t="s">
        <v>254</v>
      </c>
      <c r="C101" s="209">
        <v>-45042.96</v>
      </c>
      <c r="D101" s="209">
        <v>-8484.41</v>
      </c>
      <c r="E101" s="209">
        <v>0</v>
      </c>
      <c r="F101" s="209">
        <v>-2464.37</v>
      </c>
      <c r="G101" s="209">
        <v>0</v>
      </c>
      <c r="H101" s="209">
        <v>0</v>
      </c>
      <c r="I101" s="223">
        <v>-447622.7</v>
      </c>
      <c r="J101" s="223">
        <v>0</v>
      </c>
      <c r="K101" s="223">
        <v>-18377</v>
      </c>
      <c r="L101" s="223">
        <v>0</v>
      </c>
      <c r="M101" s="223">
        <v>-20720</v>
      </c>
      <c r="N101" s="223">
        <v>0</v>
      </c>
      <c r="O101" s="223">
        <v>-17107.68</v>
      </c>
      <c r="P101" s="223">
        <v>-172</v>
      </c>
      <c r="Q101" s="223">
        <v>-6229.4400000000005</v>
      </c>
      <c r="R101" s="223">
        <v>0</v>
      </c>
      <c r="S101" s="223">
        <v>0</v>
      </c>
      <c r="T101" s="223">
        <v>0</v>
      </c>
      <c r="U101" s="223">
        <v>-3839.35</v>
      </c>
      <c r="V101" s="223">
        <v>-719.44</v>
      </c>
      <c r="W101" s="223">
        <v>0</v>
      </c>
      <c r="X101" s="223">
        <v>0</v>
      </c>
      <c r="Y101" s="223">
        <v>0</v>
      </c>
      <c r="Z101" s="223">
        <v>0</v>
      </c>
      <c r="AA101" s="223">
        <v>0</v>
      </c>
      <c r="AB101" s="223">
        <v>43.75</v>
      </c>
      <c r="AC101" s="223">
        <v>-24786</v>
      </c>
      <c r="AD101" s="210">
        <v>285038.98000000004</v>
      </c>
      <c r="AE101" s="210">
        <v>766.89</v>
      </c>
      <c r="AF101" s="210">
        <v>104472.22</v>
      </c>
      <c r="AG101" s="210">
        <v>13547.520000000002</v>
      </c>
      <c r="AH101" s="210">
        <v>35824.85</v>
      </c>
      <c r="AI101" s="210">
        <v>0</v>
      </c>
      <c r="AJ101" s="210">
        <v>13191.98</v>
      </c>
      <c r="AK101" s="210">
        <v>1108.21</v>
      </c>
      <c r="AL101" s="210">
        <v>625</v>
      </c>
      <c r="AM101" s="210">
        <v>170.8</v>
      </c>
      <c r="AN101" s="210">
        <v>0</v>
      </c>
      <c r="AO101" s="210">
        <v>5711.29</v>
      </c>
      <c r="AP101" s="210">
        <v>1250.75</v>
      </c>
      <c r="AQ101" s="210">
        <v>1345.6499999999999</v>
      </c>
      <c r="AR101" s="210">
        <v>853.1</v>
      </c>
      <c r="AS101" s="210">
        <v>10672</v>
      </c>
      <c r="AT101" s="210">
        <v>6929.81</v>
      </c>
      <c r="AU101" s="210">
        <v>1575.44</v>
      </c>
      <c r="AV101" s="210">
        <v>19338.739999999998</v>
      </c>
      <c r="AW101" s="312">
        <v>0</v>
      </c>
      <c r="AX101" s="210">
        <v>2513.42</v>
      </c>
      <c r="AY101" s="210">
        <v>0</v>
      </c>
      <c r="AZ101" s="210">
        <v>317.60000000000002</v>
      </c>
      <c r="BA101" s="210">
        <v>2922.5299999999997</v>
      </c>
      <c r="BB101" s="210">
        <v>0</v>
      </c>
      <c r="BC101" s="210">
        <v>29.43</v>
      </c>
      <c r="BD101" s="210">
        <v>2460</v>
      </c>
      <c r="BE101" s="210">
        <v>0</v>
      </c>
      <c r="BF101" s="210">
        <v>1337.4</v>
      </c>
      <c r="BG101" s="210">
        <v>2933.84</v>
      </c>
      <c r="BH101" s="210">
        <v>0</v>
      </c>
      <c r="BI101" s="210">
        <v>13772.710000000001</v>
      </c>
      <c r="BJ101" s="210">
        <v>4534.5</v>
      </c>
      <c r="BK101" s="210">
        <v>13817</v>
      </c>
      <c r="BL101" s="210">
        <v>9443.25</v>
      </c>
      <c r="BM101" s="210">
        <v>0</v>
      </c>
      <c r="BN101" s="210">
        <v>0</v>
      </c>
      <c r="BO101" s="210">
        <v>0</v>
      </c>
      <c r="BP101" s="210">
        <v>0</v>
      </c>
      <c r="BQ101" s="211">
        <v>-4618.75</v>
      </c>
      <c r="BR101" s="211">
        <v>0</v>
      </c>
      <c r="BS101" s="211">
        <v>0</v>
      </c>
      <c r="BT101" s="212">
        <v>0</v>
      </c>
      <c r="BU101" s="212">
        <v>1998.75</v>
      </c>
      <c r="BV101" s="212">
        <v>0</v>
      </c>
      <c r="BW101" s="212">
        <v>0</v>
      </c>
      <c r="BX101" s="212">
        <v>0</v>
      </c>
      <c r="BY101" s="212">
        <v>0</v>
      </c>
      <c r="BZ101" s="212">
        <v>0</v>
      </c>
      <c r="CA101" s="212">
        <v>0</v>
      </c>
      <c r="CB101" s="212">
        <v>3964</v>
      </c>
      <c r="CC101" s="224">
        <v>-37672.689999999828</v>
      </c>
      <c r="CD101" s="213"/>
      <c r="CE101" s="211">
        <v>24937.319999999949</v>
      </c>
      <c r="CF101" s="211">
        <v>11615</v>
      </c>
      <c r="CG101" s="211">
        <v>0</v>
      </c>
      <c r="CH101" s="211">
        <v>1120.3699999999999</v>
      </c>
      <c r="CI101" s="211">
        <v>0</v>
      </c>
      <c r="CJ101" s="211">
        <v>0</v>
      </c>
      <c r="CK101" s="211">
        <v>37672.689999999951</v>
      </c>
      <c r="CL101" s="201"/>
      <c r="CM101" s="201">
        <f t="shared" si="25"/>
        <v>1.2369127944111824E-10</v>
      </c>
      <c r="CN101" s="340">
        <f t="shared" si="26"/>
        <v>24937.319999999949</v>
      </c>
      <c r="CO101" s="340">
        <f t="shared" si="27"/>
        <v>11615</v>
      </c>
      <c r="CP101" s="340">
        <f t="shared" si="28"/>
        <v>0</v>
      </c>
      <c r="CQ101" s="340">
        <f t="shared" si="29"/>
        <v>1120.3699999999999</v>
      </c>
      <c r="CR101" s="340">
        <f t="shared" si="30"/>
        <v>0</v>
      </c>
      <c r="CS101" s="340">
        <f t="shared" si="31"/>
        <v>0</v>
      </c>
      <c r="CT101" s="90">
        <f t="shared" si="17"/>
        <v>37672.689999999951</v>
      </c>
      <c r="CV101" s="90">
        <f t="shared" si="24"/>
        <v>0</v>
      </c>
    </row>
    <row r="102" spans="1:100">
      <c r="A102" s="325">
        <v>749</v>
      </c>
      <c r="B102" s="325" t="s">
        <v>184</v>
      </c>
      <c r="C102" s="209">
        <v>-101490.01</v>
      </c>
      <c r="D102" s="209">
        <v>-15771.99</v>
      </c>
      <c r="E102" s="209">
        <v>0</v>
      </c>
      <c r="F102" s="209">
        <v>-5870.27</v>
      </c>
      <c r="G102" s="209">
        <v>0</v>
      </c>
      <c r="H102" s="209">
        <v>0</v>
      </c>
      <c r="I102" s="223">
        <v>-370140.98</v>
      </c>
      <c r="J102" s="223">
        <v>0</v>
      </c>
      <c r="K102" s="223">
        <v>-10175</v>
      </c>
      <c r="L102" s="223">
        <v>0</v>
      </c>
      <c r="M102" s="223">
        <v>-9510</v>
      </c>
      <c r="N102" s="223">
        <v>0</v>
      </c>
      <c r="O102" s="223">
        <v>0</v>
      </c>
      <c r="P102" s="223">
        <v>0</v>
      </c>
      <c r="Q102" s="223">
        <v>-11019.689999999999</v>
      </c>
      <c r="R102" s="223">
        <v>0</v>
      </c>
      <c r="S102" s="223">
        <v>0</v>
      </c>
      <c r="T102" s="223">
        <v>0</v>
      </c>
      <c r="U102" s="223">
        <v>-1178.4100000000001</v>
      </c>
      <c r="V102" s="223">
        <v>-912.31000000000006</v>
      </c>
      <c r="W102" s="223">
        <v>0</v>
      </c>
      <c r="X102" s="223">
        <v>0</v>
      </c>
      <c r="Y102" s="223">
        <v>-552.36</v>
      </c>
      <c r="Z102" s="223">
        <v>0</v>
      </c>
      <c r="AA102" s="223">
        <v>0</v>
      </c>
      <c r="AB102" s="223">
        <v>-263.75</v>
      </c>
      <c r="AC102" s="223">
        <v>-22183</v>
      </c>
      <c r="AD102" s="210">
        <v>131122.47000000003</v>
      </c>
      <c r="AE102" s="210">
        <v>2102.27</v>
      </c>
      <c r="AF102" s="210">
        <v>31980.45</v>
      </c>
      <c r="AG102" s="210">
        <v>9067.1700000000019</v>
      </c>
      <c r="AH102" s="210">
        <v>32147.170000000002</v>
      </c>
      <c r="AI102" s="210">
        <v>0</v>
      </c>
      <c r="AJ102" s="210">
        <v>2922.7400000000002</v>
      </c>
      <c r="AK102" s="210">
        <v>1455.5</v>
      </c>
      <c r="AL102" s="210">
        <v>2408.04</v>
      </c>
      <c r="AM102" s="210">
        <v>1425.77</v>
      </c>
      <c r="AN102" s="210">
        <v>0</v>
      </c>
      <c r="AO102" s="210">
        <v>5210.16</v>
      </c>
      <c r="AP102" s="210">
        <v>2136.1999999999998</v>
      </c>
      <c r="AQ102" s="210">
        <v>1679.9700000000005</v>
      </c>
      <c r="AR102" s="210">
        <v>300.77</v>
      </c>
      <c r="AS102" s="210">
        <v>10948.27</v>
      </c>
      <c r="AT102" s="210">
        <v>6933.75</v>
      </c>
      <c r="AU102" s="210">
        <v>381.35</v>
      </c>
      <c r="AV102" s="210">
        <v>15160.839999999993</v>
      </c>
      <c r="AW102" s="312">
        <v>150</v>
      </c>
      <c r="AX102" s="210">
        <v>1475</v>
      </c>
      <c r="AY102" s="210">
        <v>0</v>
      </c>
      <c r="AZ102" s="210">
        <v>0</v>
      </c>
      <c r="BA102" s="210">
        <v>53.420000000000073</v>
      </c>
      <c r="BB102" s="210">
        <v>339</v>
      </c>
      <c r="BC102" s="210">
        <v>821</v>
      </c>
      <c r="BD102" s="210">
        <v>1982.06</v>
      </c>
      <c r="BE102" s="210">
        <v>0</v>
      </c>
      <c r="BF102" s="210">
        <v>2692.8200000000006</v>
      </c>
      <c r="BG102" s="210">
        <v>1938.4299999999998</v>
      </c>
      <c r="BH102" s="210">
        <v>0</v>
      </c>
      <c r="BI102" s="210">
        <v>8318.4500000000007</v>
      </c>
      <c r="BJ102" s="210">
        <v>29692</v>
      </c>
      <c r="BK102" s="210">
        <v>6191.67</v>
      </c>
      <c r="BL102" s="210">
        <v>22050.660000000003</v>
      </c>
      <c r="BM102" s="210">
        <v>0</v>
      </c>
      <c r="BN102" s="210">
        <v>0</v>
      </c>
      <c r="BO102" s="210">
        <v>0</v>
      </c>
      <c r="BP102" s="210">
        <v>0</v>
      </c>
      <c r="BQ102" s="211">
        <v>-4348.75</v>
      </c>
      <c r="BR102" s="211">
        <v>0</v>
      </c>
      <c r="BS102" s="211">
        <v>0</v>
      </c>
      <c r="BT102" s="212">
        <v>0</v>
      </c>
      <c r="BU102" s="212">
        <v>4330.8899999999994</v>
      </c>
      <c r="BV102" s="212">
        <v>0</v>
      </c>
      <c r="BW102" s="212">
        <v>0</v>
      </c>
      <c r="BX102" s="212">
        <v>0</v>
      </c>
      <c r="BY102" s="212">
        <v>0</v>
      </c>
      <c r="BZ102" s="212">
        <v>0</v>
      </c>
      <c r="CA102" s="212">
        <v>0</v>
      </c>
      <c r="CB102" s="212">
        <v>0</v>
      </c>
      <c r="CC102" s="224">
        <v>-215998.23000000004</v>
      </c>
      <c r="CD102" s="213"/>
      <c r="CE102" s="211">
        <v>203868.63999999993</v>
      </c>
      <c r="CF102" s="211">
        <v>7807.1</v>
      </c>
      <c r="CG102" s="211">
        <v>0</v>
      </c>
      <c r="CH102" s="211">
        <v>4322.130000000001</v>
      </c>
      <c r="CI102" s="211">
        <v>0</v>
      </c>
      <c r="CJ102" s="211">
        <v>0.36000000000001364</v>
      </c>
      <c r="CK102" s="211">
        <v>215998.22999999992</v>
      </c>
      <c r="CL102" s="201"/>
      <c r="CM102" s="201">
        <f t="shared" si="25"/>
        <v>0</v>
      </c>
      <c r="CN102" s="340">
        <f t="shared" si="26"/>
        <v>203868.63999999993</v>
      </c>
      <c r="CO102" s="340">
        <f t="shared" si="27"/>
        <v>7807.1</v>
      </c>
      <c r="CP102" s="340">
        <f t="shared" si="28"/>
        <v>0</v>
      </c>
      <c r="CQ102" s="340">
        <f t="shared" si="29"/>
        <v>4322.130000000001</v>
      </c>
      <c r="CR102" s="340">
        <f t="shared" si="30"/>
        <v>0</v>
      </c>
      <c r="CS102" s="340">
        <f t="shared" si="31"/>
        <v>0.36000000000001364</v>
      </c>
      <c r="CT102" s="90">
        <f t="shared" si="17"/>
        <v>215998.22999999992</v>
      </c>
      <c r="CV102" s="90">
        <f t="shared" si="24"/>
        <v>0</v>
      </c>
    </row>
    <row r="103" spans="1:100">
      <c r="A103" s="325">
        <v>754</v>
      </c>
      <c r="B103" s="325" t="s">
        <v>401</v>
      </c>
      <c r="C103" s="209">
        <v>-24201.18</v>
      </c>
      <c r="D103" s="209">
        <v>-20980.23</v>
      </c>
      <c r="E103" s="209">
        <v>0</v>
      </c>
      <c r="F103" s="209">
        <v>0</v>
      </c>
      <c r="G103" s="209">
        <v>0</v>
      </c>
      <c r="H103" s="209">
        <v>0</v>
      </c>
      <c r="I103" s="223">
        <v>-1327319.21</v>
      </c>
      <c r="J103" s="223">
        <v>0</v>
      </c>
      <c r="K103" s="223">
        <v>-53600</v>
      </c>
      <c r="L103" s="223">
        <v>0</v>
      </c>
      <c r="M103" s="223">
        <v>-62330</v>
      </c>
      <c r="N103" s="223">
        <v>-400</v>
      </c>
      <c r="O103" s="223">
        <v>-1700</v>
      </c>
      <c r="P103" s="223">
        <v>0</v>
      </c>
      <c r="Q103" s="223">
        <v>-44252</v>
      </c>
      <c r="R103" s="223">
        <v>0</v>
      </c>
      <c r="S103" s="223">
        <v>0</v>
      </c>
      <c r="T103" s="223">
        <v>0</v>
      </c>
      <c r="U103" s="223">
        <v>-33109.340000000026</v>
      </c>
      <c r="V103" s="223">
        <v>-3640.5000000000005</v>
      </c>
      <c r="W103" s="223">
        <v>0</v>
      </c>
      <c r="X103" s="223">
        <v>0</v>
      </c>
      <c r="Y103" s="223">
        <v>0</v>
      </c>
      <c r="Z103" s="223">
        <v>0</v>
      </c>
      <c r="AA103" s="223">
        <v>0</v>
      </c>
      <c r="AB103" s="223">
        <v>-111.25</v>
      </c>
      <c r="AC103" s="223">
        <v>-18678</v>
      </c>
      <c r="AD103" s="210">
        <v>872943.60000000021</v>
      </c>
      <c r="AE103" s="210">
        <v>28500.190000000002</v>
      </c>
      <c r="AF103" s="210">
        <v>258299.3</v>
      </c>
      <c r="AG103" s="210">
        <v>15946.830000000002</v>
      </c>
      <c r="AH103" s="210">
        <v>58643.22</v>
      </c>
      <c r="AI103" s="210">
        <v>0</v>
      </c>
      <c r="AJ103" s="210">
        <v>73244.070000000007</v>
      </c>
      <c r="AK103" s="210">
        <v>720.68000000000006</v>
      </c>
      <c r="AL103" s="210">
        <v>3913.5</v>
      </c>
      <c r="AM103" s="210">
        <v>820.45</v>
      </c>
      <c r="AN103" s="210">
        <v>0</v>
      </c>
      <c r="AO103" s="210">
        <v>21718.89000000001</v>
      </c>
      <c r="AP103" s="210">
        <v>5599.3999999999987</v>
      </c>
      <c r="AQ103" s="210">
        <v>4922.4500000000007</v>
      </c>
      <c r="AR103" s="210">
        <v>2777.2200000000003</v>
      </c>
      <c r="AS103" s="210">
        <v>18682.5</v>
      </c>
      <c r="AT103" s="210">
        <v>5922.69</v>
      </c>
      <c r="AU103" s="210">
        <v>2537.0899999999997</v>
      </c>
      <c r="AV103" s="210">
        <v>97309.01999999996</v>
      </c>
      <c r="AW103" s="312">
        <v>273</v>
      </c>
      <c r="AX103" s="210">
        <v>2048.19</v>
      </c>
      <c r="AY103" s="210">
        <v>0</v>
      </c>
      <c r="AZ103" s="210">
        <v>7487.76</v>
      </c>
      <c r="BA103" s="210">
        <v>0</v>
      </c>
      <c r="BB103" s="210">
        <v>0</v>
      </c>
      <c r="BC103" s="210">
        <v>0</v>
      </c>
      <c r="BD103" s="210">
        <v>3356.67</v>
      </c>
      <c r="BE103" s="210">
        <v>0</v>
      </c>
      <c r="BF103" s="210">
        <v>2556.8299999999995</v>
      </c>
      <c r="BG103" s="210">
        <v>14092.91</v>
      </c>
      <c r="BH103" s="210">
        <v>0</v>
      </c>
      <c r="BI103" s="210">
        <v>15610.6</v>
      </c>
      <c r="BJ103" s="210">
        <v>12067.5</v>
      </c>
      <c r="BK103" s="210">
        <v>21603.1</v>
      </c>
      <c r="BL103" s="210">
        <v>15156.310000000001</v>
      </c>
      <c r="BM103" s="210">
        <v>0</v>
      </c>
      <c r="BN103" s="210">
        <v>0</v>
      </c>
      <c r="BO103" s="210">
        <v>0</v>
      </c>
      <c r="BP103" s="210">
        <v>0</v>
      </c>
      <c r="BQ103" s="211">
        <v>0</v>
      </c>
      <c r="BR103" s="211">
        <v>0</v>
      </c>
      <c r="BS103" s="211">
        <v>0</v>
      </c>
      <c r="BT103" s="212">
        <v>0</v>
      </c>
      <c r="BU103" s="212">
        <v>0</v>
      </c>
      <c r="BV103" s="212">
        <v>0</v>
      </c>
      <c r="BW103" s="212">
        <v>0</v>
      </c>
      <c r="BX103" s="212">
        <v>0</v>
      </c>
      <c r="BY103" s="212">
        <v>0</v>
      </c>
      <c r="BZ103" s="212">
        <v>0</v>
      </c>
      <c r="CA103" s="212">
        <v>0</v>
      </c>
      <c r="CB103" s="212">
        <v>0</v>
      </c>
      <c r="CC103" s="224">
        <v>-23567.739999999718</v>
      </c>
      <c r="CD103" s="213"/>
      <c r="CE103" s="211">
        <v>20350.739999999845</v>
      </c>
      <c r="CF103" s="211">
        <v>3217</v>
      </c>
      <c r="CG103" s="211">
        <v>0</v>
      </c>
      <c r="CH103" s="211">
        <v>0</v>
      </c>
      <c r="CI103" s="211">
        <v>0</v>
      </c>
      <c r="CJ103" s="211">
        <v>0</v>
      </c>
      <c r="CK103" s="211">
        <v>23567.739999999845</v>
      </c>
      <c r="CL103" s="201"/>
      <c r="CM103" s="201">
        <f t="shared" si="25"/>
        <v>1.2732925824820995E-10</v>
      </c>
      <c r="CN103" s="340">
        <f t="shared" si="26"/>
        <v>20350.739999999845</v>
      </c>
      <c r="CO103" s="340">
        <f t="shared" si="27"/>
        <v>3217</v>
      </c>
      <c r="CP103" s="340">
        <f t="shared" si="28"/>
        <v>0</v>
      </c>
      <c r="CQ103" s="340">
        <f t="shared" si="29"/>
        <v>0</v>
      </c>
      <c r="CR103" s="340">
        <f t="shared" si="30"/>
        <v>0</v>
      </c>
      <c r="CS103" s="340">
        <f t="shared" si="31"/>
        <v>0</v>
      </c>
      <c r="CT103" s="90">
        <f t="shared" si="17"/>
        <v>23567.739999999845</v>
      </c>
      <c r="CV103" s="90">
        <f t="shared" si="24"/>
        <v>0</v>
      </c>
    </row>
    <row r="104" spans="1:100">
      <c r="A104" s="325">
        <v>759</v>
      </c>
      <c r="B104" s="325" t="s">
        <v>270</v>
      </c>
      <c r="C104" s="209">
        <v>7775.79</v>
      </c>
      <c r="D104" s="209">
        <v>-5902.87</v>
      </c>
      <c r="E104" s="209">
        <v>0</v>
      </c>
      <c r="F104" s="209">
        <v>-2964.75</v>
      </c>
      <c r="G104" s="209">
        <v>0</v>
      </c>
      <c r="H104" s="209">
        <v>0</v>
      </c>
      <c r="I104" s="223">
        <v>-503421.32</v>
      </c>
      <c r="J104" s="223">
        <v>0</v>
      </c>
      <c r="K104" s="223">
        <v>-51457</v>
      </c>
      <c r="L104" s="223">
        <v>0</v>
      </c>
      <c r="M104" s="223">
        <v>-18850</v>
      </c>
      <c r="N104" s="223">
        <v>-22914</v>
      </c>
      <c r="O104" s="223">
        <v>0</v>
      </c>
      <c r="P104" s="223">
        <v>0</v>
      </c>
      <c r="Q104" s="223">
        <v>-21721.75</v>
      </c>
      <c r="R104" s="223">
        <v>-6348.5099999999984</v>
      </c>
      <c r="S104" s="223">
        <v>0</v>
      </c>
      <c r="T104" s="223">
        <v>0</v>
      </c>
      <c r="U104" s="223">
        <v>-6199.869999999999</v>
      </c>
      <c r="V104" s="223">
        <v>-5970.1</v>
      </c>
      <c r="W104" s="223">
        <v>0</v>
      </c>
      <c r="X104" s="223">
        <v>0</v>
      </c>
      <c r="Y104" s="223">
        <v>0</v>
      </c>
      <c r="Z104" s="223">
        <v>0</v>
      </c>
      <c r="AA104" s="223">
        <v>0</v>
      </c>
      <c r="AB104" s="223">
        <v>-741.88</v>
      </c>
      <c r="AC104" s="223">
        <v>-31806</v>
      </c>
      <c r="AD104" s="210">
        <v>324075.94999999995</v>
      </c>
      <c r="AE104" s="210">
        <v>5467.56</v>
      </c>
      <c r="AF104" s="210">
        <v>130966.33</v>
      </c>
      <c r="AG104" s="210">
        <v>1168.6100000000001</v>
      </c>
      <c r="AH104" s="210">
        <v>45780.9</v>
      </c>
      <c r="AI104" s="210">
        <v>14750.820000000003</v>
      </c>
      <c r="AJ104" s="210">
        <v>20074.34</v>
      </c>
      <c r="AK104" s="210">
        <v>1986</v>
      </c>
      <c r="AL104" s="210">
        <v>5699.3600000000006</v>
      </c>
      <c r="AM104" s="210">
        <v>3656.02</v>
      </c>
      <c r="AN104" s="210">
        <v>0</v>
      </c>
      <c r="AO104" s="210">
        <v>8106.3</v>
      </c>
      <c r="AP104" s="210">
        <v>773.97</v>
      </c>
      <c r="AQ104" s="210">
        <v>13869.62</v>
      </c>
      <c r="AR104" s="210">
        <v>2146.1999999999998</v>
      </c>
      <c r="AS104" s="210">
        <v>8332.59</v>
      </c>
      <c r="AT104" s="210">
        <v>5354.86</v>
      </c>
      <c r="AU104" s="210">
        <v>1693.3000000000002</v>
      </c>
      <c r="AV104" s="210">
        <v>30192.82</v>
      </c>
      <c r="AW104" s="312">
        <v>0</v>
      </c>
      <c r="AX104" s="210">
        <v>198</v>
      </c>
      <c r="AY104" s="210">
        <v>0</v>
      </c>
      <c r="AZ104" s="210">
        <v>0</v>
      </c>
      <c r="BA104" s="210">
        <v>720</v>
      </c>
      <c r="BB104" s="210">
        <v>1041.68</v>
      </c>
      <c r="BC104" s="210">
        <v>0</v>
      </c>
      <c r="BD104" s="210">
        <v>3305</v>
      </c>
      <c r="BE104" s="210">
        <v>0</v>
      </c>
      <c r="BF104" s="210">
        <v>860.96</v>
      </c>
      <c r="BG104" s="210">
        <v>4243.59</v>
      </c>
      <c r="BH104" s="210">
        <v>0</v>
      </c>
      <c r="BI104" s="210">
        <v>19832.520000000008</v>
      </c>
      <c r="BJ104" s="210">
        <v>2279</v>
      </c>
      <c r="BK104" s="210">
        <v>14786.06</v>
      </c>
      <c r="BL104" s="210">
        <v>12901.640000000003</v>
      </c>
      <c r="BM104" s="210">
        <v>0</v>
      </c>
      <c r="BN104" s="210">
        <v>0</v>
      </c>
      <c r="BO104" s="210">
        <v>0</v>
      </c>
      <c r="BP104" s="210">
        <v>0</v>
      </c>
      <c r="BQ104" s="211">
        <v>-4978.75</v>
      </c>
      <c r="BR104" s="211">
        <v>0</v>
      </c>
      <c r="BS104" s="211">
        <v>0</v>
      </c>
      <c r="BT104" s="212">
        <v>0</v>
      </c>
      <c r="BU104" s="212">
        <v>2321</v>
      </c>
      <c r="BV104" s="212">
        <v>0</v>
      </c>
      <c r="BW104" s="212">
        <v>0</v>
      </c>
      <c r="BX104" s="212">
        <v>0</v>
      </c>
      <c r="BY104" s="212">
        <v>0</v>
      </c>
      <c r="BZ104" s="212">
        <v>0</v>
      </c>
      <c r="CA104" s="212">
        <v>697.99</v>
      </c>
      <c r="CB104" s="212">
        <v>284.99</v>
      </c>
      <c r="CC104" s="224">
        <v>12066.969999999956</v>
      </c>
      <c r="CD104" s="213"/>
      <c r="CE104" s="211">
        <v>-22128.490000000063</v>
      </c>
      <c r="CF104" s="211">
        <v>5422</v>
      </c>
      <c r="CG104" s="211">
        <v>0</v>
      </c>
      <c r="CH104" s="211">
        <v>4639.5200000000004</v>
      </c>
      <c r="CI104" s="211">
        <v>0</v>
      </c>
      <c r="CJ104" s="211">
        <v>0</v>
      </c>
      <c r="CK104" s="211">
        <v>-12066.970000000063</v>
      </c>
      <c r="CL104" s="201"/>
      <c r="CM104" s="201">
        <f t="shared" si="25"/>
        <v>-1.0732037480920553E-10</v>
      </c>
      <c r="CN104" s="340">
        <f t="shared" si="26"/>
        <v>-22128.490000000063</v>
      </c>
      <c r="CO104" s="340">
        <f t="shared" si="27"/>
        <v>5422</v>
      </c>
      <c r="CP104" s="340">
        <f t="shared" si="28"/>
        <v>0</v>
      </c>
      <c r="CQ104" s="340">
        <f t="shared" si="29"/>
        <v>4639.5200000000004</v>
      </c>
      <c r="CR104" s="340">
        <f t="shared" si="30"/>
        <v>0</v>
      </c>
      <c r="CS104" s="340">
        <f t="shared" si="31"/>
        <v>0</v>
      </c>
      <c r="CT104" s="90">
        <f t="shared" si="17"/>
        <v>-12066.970000000063</v>
      </c>
      <c r="CV104" s="90">
        <f t="shared" si="24"/>
        <v>0</v>
      </c>
    </row>
    <row r="105" spans="1:100">
      <c r="A105" s="325">
        <v>763</v>
      </c>
      <c r="B105" s="325" t="s">
        <v>261</v>
      </c>
      <c r="C105" s="209">
        <v>-59334.71</v>
      </c>
      <c r="D105" s="209">
        <v>-1596</v>
      </c>
      <c r="E105" s="209">
        <v>0</v>
      </c>
      <c r="F105" s="209">
        <v>-22183.62</v>
      </c>
      <c r="G105" s="209">
        <v>0</v>
      </c>
      <c r="H105" s="209">
        <v>0</v>
      </c>
      <c r="I105" s="223">
        <v>-983676.52999999991</v>
      </c>
      <c r="J105" s="223">
        <v>0</v>
      </c>
      <c r="K105" s="223">
        <v>-90069</v>
      </c>
      <c r="L105" s="223">
        <v>0</v>
      </c>
      <c r="M105" s="223">
        <v>-26140</v>
      </c>
      <c r="N105" s="223">
        <v>0</v>
      </c>
      <c r="O105" s="223">
        <v>-2000</v>
      </c>
      <c r="P105" s="223">
        <v>0</v>
      </c>
      <c r="Q105" s="223">
        <v>-17270.900000000001</v>
      </c>
      <c r="R105" s="223">
        <v>-1819.08</v>
      </c>
      <c r="S105" s="223">
        <v>-200</v>
      </c>
      <c r="T105" s="223">
        <v>0</v>
      </c>
      <c r="U105" s="223">
        <v>-20123.12</v>
      </c>
      <c r="V105" s="223">
        <v>-22217.25</v>
      </c>
      <c r="W105" s="223">
        <v>0</v>
      </c>
      <c r="X105" s="223">
        <v>0</v>
      </c>
      <c r="Y105" s="223">
        <v>0</v>
      </c>
      <c r="Z105" s="223">
        <v>0</v>
      </c>
      <c r="AA105" s="223">
        <v>0</v>
      </c>
      <c r="AB105" s="223">
        <v>-50.129999999999995</v>
      </c>
      <c r="AC105" s="223">
        <v>-44295</v>
      </c>
      <c r="AD105" s="210">
        <v>585187.79</v>
      </c>
      <c r="AE105" s="210">
        <v>26696.31</v>
      </c>
      <c r="AF105" s="210">
        <v>200583.44999999998</v>
      </c>
      <c r="AG105" s="210">
        <v>22846.909999999996</v>
      </c>
      <c r="AH105" s="210">
        <v>68957.890000000014</v>
      </c>
      <c r="AI105" s="210">
        <v>0</v>
      </c>
      <c r="AJ105" s="210">
        <v>31750.69</v>
      </c>
      <c r="AK105" s="210">
        <v>3439.61</v>
      </c>
      <c r="AL105" s="210">
        <v>5471.71</v>
      </c>
      <c r="AM105" s="210">
        <v>5468.73</v>
      </c>
      <c r="AN105" s="210">
        <v>1802.1499999999999</v>
      </c>
      <c r="AO105" s="210">
        <v>17932.429999999997</v>
      </c>
      <c r="AP105" s="210">
        <v>17986.669999999998</v>
      </c>
      <c r="AQ105" s="210">
        <v>3247.5099999999998</v>
      </c>
      <c r="AR105" s="210">
        <v>4381.3600000000006</v>
      </c>
      <c r="AS105" s="210">
        <v>23506.969999999998</v>
      </c>
      <c r="AT105" s="210">
        <v>12467.84</v>
      </c>
      <c r="AU105" s="210">
        <v>10545.88</v>
      </c>
      <c r="AV105" s="210">
        <v>52408.260000000024</v>
      </c>
      <c r="AW105" s="312">
        <v>0</v>
      </c>
      <c r="AX105" s="210">
        <v>2876.8</v>
      </c>
      <c r="AY105" s="210">
        <v>0</v>
      </c>
      <c r="AZ105" s="210">
        <v>7272.69</v>
      </c>
      <c r="BA105" s="210">
        <v>5051.88</v>
      </c>
      <c r="BB105" s="210">
        <v>15.72</v>
      </c>
      <c r="BC105" s="210">
        <v>316.91999999999996</v>
      </c>
      <c r="BD105" s="210">
        <v>5825</v>
      </c>
      <c r="BE105" s="210">
        <v>0</v>
      </c>
      <c r="BF105" s="210">
        <v>6513.08</v>
      </c>
      <c r="BG105" s="210">
        <v>10478</v>
      </c>
      <c r="BH105" s="210">
        <v>0</v>
      </c>
      <c r="BI105" s="210">
        <v>33122.300000000003</v>
      </c>
      <c r="BJ105" s="210">
        <v>3431.4700000000003</v>
      </c>
      <c r="BK105" s="210">
        <v>43097.25</v>
      </c>
      <c r="BL105" s="210">
        <v>13363.580000000002</v>
      </c>
      <c r="BM105" s="210">
        <v>0</v>
      </c>
      <c r="BN105" s="210">
        <v>0</v>
      </c>
      <c r="BO105" s="210">
        <v>0</v>
      </c>
      <c r="BP105" s="210">
        <v>0</v>
      </c>
      <c r="BQ105" s="211">
        <v>-6306.25</v>
      </c>
      <c r="BR105" s="211">
        <v>0</v>
      </c>
      <c r="BS105" s="211">
        <v>0</v>
      </c>
      <c r="BT105" s="212">
        <v>0</v>
      </c>
      <c r="BU105" s="212">
        <v>20522.099999999999</v>
      </c>
      <c r="BV105" s="212">
        <v>0</v>
      </c>
      <c r="BW105" s="212">
        <v>0</v>
      </c>
      <c r="BX105" s="212">
        <v>0</v>
      </c>
      <c r="BY105" s="212">
        <v>0</v>
      </c>
      <c r="BZ105" s="212">
        <v>0</v>
      </c>
      <c r="CA105" s="212">
        <v>439</v>
      </c>
      <c r="CB105" s="212">
        <v>108</v>
      </c>
      <c r="CC105" s="224">
        <v>-50165.639999999818</v>
      </c>
      <c r="CD105" s="213"/>
      <c r="CE105" s="211">
        <v>45300.869999999915</v>
      </c>
      <c r="CF105" s="211">
        <v>-2556</v>
      </c>
      <c r="CG105" s="211">
        <v>0</v>
      </c>
      <c r="CH105" s="211">
        <v>7420.77</v>
      </c>
      <c r="CI105" s="211">
        <v>0</v>
      </c>
      <c r="CJ105" s="211">
        <v>0</v>
      </c>
      <c r="CK105" s="211">
        <v>50165.639999999912</v>
      </c>
      <c r="CL105" s="201"/>
      <c r="CM105" s="201">
        <f t="shared" si="25"/>
        <v>9.4587448984384537E-11</v>
      </c>
      <c r="CN105" s="340">
        <f t="shared" si="26"/>
        <v>45300.869999999915</v>
      </c>
      <c r="CO105" s="340">
        <f t="shared" si="27"/>
        <v>-2556</v>
      </c>
      <c r="CP105" s="340">
        <f t="shared" si="28"/>
        <v>0</v>
      </c>
      <c r="CQ105" s="340">
        <f t="shared" si="29"/>
        <v>7420.77</v>
      </c>
      <c r="CR105" s="340">
        <f t="shared" si="30"/>
        <v>0</v>
      </c>
      <c r="CS105" s="340">
        <f t="shared" si="31"/>
        <v>0</v>
      </c>
      <c r="CT105" s="90">
        <f t="shared" si="17"/>
        <v>50165.639999999912</v>
      </c>
      <c r="CV105" s="90">
        <f t="shared" si="24"/>
        <v>0</v>
      </c>
    </row>
    <row r="106" spans="1:100">
      <c r="A106" s="325">
        <v>764</v>
      </c>
      <c r="B106" s="325" t="s">
        <v>251</v>
      </c>
      <c r="C106" s="209">
        <v>136740.43</v>
      </c>
      <c r="D106" s="209">
        <v>-5060.3</v>
      </c>
      <c r="E106" s="209">
        <v>0</v>
      </c>
      <c r="F106" s="209">
        <v>-23972.240000000002</v>
      </c>
      <c r="G106" s="209">
        <v>0</v>
      </c>
      <c r="H106" s="209">
        <v>0</v>
      </c>
      <c r="I106" s="223">
        <v>-480162.94</v>
      </c>
      <c r="J106" s="223">
        <v>0</v>
      </c>
      <c r="K106" s="223">
        <v>-25532</v>
      </c>
      <c r="L106" s="223">
        <v>0</v>
      </c>
      <c r="M106" s="223">
        <v>-11060</v>
      </c>
      <c r="N106" s="223">
        <v>0</v>
      </c>
      <c r="O106" s="223">
        <v>-195</v>
      </c>
      <c r="P106" s="223">
        <v>0</v>
      </c>
      <c r="Q106" s="223">
        <v>-36841.930000000037</v>
      </c>
      <c r="R106" s="223">
        <v>0</v>
      </c>
      <c r="S106" s="223">
        <v>0</v>
      </c>
      <c r="T106" s="223">
        <v>0</v>
      </c>
      <c r="U106" s="223">
        <v>-6741.36</v>
      </c>
      <c r="V106" s="223">
        <v>-40110.950000000012</v>
      </c>
      <c r="W106" s="223">
        <v>0</v>
      </c>
      <c r="X106" s="223">
        <v>0</v>
      </c>
      <c r="Y106" s="223">
        <v>0</v>
      </c>
      <c r="Z106" s="223">
        <v>0</v>
      </c>
      <c r="AA106" s="223">
        <v>0</v>
      </c>
      <c r="AB106" s="223">
        <v>-342.5</v>
      </c>
      <c r="AC106" s="223">
        <v>-30127</v>
      </c>
      <c r="AD106" s="210">
        <v>283571.23000000004</v>
      </c>
      <c r="AE106" s="210">
        <v>12571.17</v>
      </c>
      <c r="AF106" s="210">
        <v>107074.88999999998</v>
      </c>
      <c r="AG106" s="210">
        <v>0</v>
      </c>
      <c r="AH106" s="210">
        <v>29855.610000000004</v>
      </c>
      <c r="AI106" s="210">
        <v>0</v>
      </c>
      <c r="AJ106" s="210">
        <v>27520.66</v>
      </c>
      <c r="AK106" s="210">
        <v>1910.81</v>
      </c>
      <c r="AL106" s="210">
        <v>1942</v>
      </c>
      <c r="AM106" s="210">
        <v>5007.13</v>
      </c>
      <c r="AN106" s="210">
        <v>-341.04</v>
      </c>
      <c r="AO106" s="210">
        <v>3330.71</v>
      </c>
      <c r="AP106" s="210">
        <v>2166.58</v>
      </c>
      <c r="AQ106" s="210">
        <v>12189.68</v>
      </c>
      <c r="AR106" s="210">
        <v>273.51</v>
      </c>
      <c r="AS106" s="210">
        <v>6358.55</v>
      </c>
      <c r="AT106" s="210">
        <v>4913.8599999999997</v>
      </c>
      <c r="AU106" s="210">
        <v>18780.629999999997</v>
      </c>
      <c r="AV106" s="210">
        <v>45007.39</v>
      </c>
      <c r="AW106" s="312">
        <v>255.55000000000109</v>
      </c>
      <c r="AX106" s="210">
        <v>96.47</v>
      </c>
      <c r="AY106" s="210">
        <v>0</v>
      </c>
      <c r="AZ106" s="210">
        <v>0</v>
      </c>
      <c r="BA106" s="210">
        <v>0</v>
      </c>
      <c r="BB106" s="210">
        <v>330</v>
      </c>
      <c r="BC106" s="210">
        <v>465</v>
      </c>
      <c r="BD106" s="210">
        <v>3527.82</v>
      </c>
      <c r="BE106" s="210">
        <v>0</v>
      </c>
      <c r="BF106" s="210">
        <v>3677.93</v>
      </c>
      <c r="BG106" s="210">
        <v>3195.79</v>
      </c>
      <c r="BH106" s="210">
        <v>0</v>
      </c>
      <c r="BI106" s="210">
        <v>17024.89</v>
      </c>
      <c r="BJ106" s="210">
        <v>756</v>
      </c>
      <c r="BK106" s="210">
        <v>41983.490000000005</v>
      </c>
      <c r="BL106" s="210">
        <v>11556.920000000002</v>
      </c>
      <c r="BM106" s="210">
        <v>0</v>
      </c>
      <c r="BN106" s="210">
        <v>0</v>
      </c>
      <c r="BO106" s="210">
        <v>0</v>
      </c>
      <c r="BP106" s="210">
        <v>0</v>
      </c>
      <c r="BQ106" s="211">
        <v>-4658.13</v>
      </c>
      <c r="BR106" s="211">
        <v>0</v>
      </c>
      <c r="BS106" s="211">
        <v>0</v>
      </c>
      <c r="BT106" s="212">
        <v>0</v>
      </c>
      <c r="BU106" s="212">
        <v>0</v>
      </c>
      <c r="BV106" s="212">
        <v>0</v>
      </c>
      <c r="BW106" s="212">
        <v>0</v>
      </c>
      <c r="BX106" s="212">
        <v>0</v>
      </c>
      <c r="BY106" s="212">
        <v>0</v>
      </c>
      <c r="BZ106" s="212">
        <v>0</v>
      </c>
      <c r="CA106" s="212">
        <v>0</v>
      </c>
      <c r="CB106" s="212">
        <v>3420</v>
      </c>
      <c r="CC106" s="224">
        <v>120359.31</v>
      </c>
      <c r="CD106" s="213"/>
      <c r="CE106" s="211">
        <v>-154172.21999999994</v>
      </c>
      <c r="CF106" s="211">
        <v>5182.5400000000009</v>
      </c>
      <c r="CG106" s="211">
        <v>0</v>
      </c>
      <c r="CH106" s="211">
        <v>28630.370000000003</v>
      </c>
      <c r="CI106" s="211">
        <v>0</v>
      </c>
      <c r="CJ106" s="211">
        <v>0</v>
      </c>
      <c r="CK106" s="211">
        <v>-120359.30999999994</v>
      </c>
      <c r="CL106" s="201"/>
      <c r="CM106" s="201">
        <f t="shared" si="25"/>
        <v>0</v>
      </c>
      <c r="CN106" s="340">
        <f t="shared" si="26"/>
        <v>-154172.21999999994</v>
      </c>
      <c r="CO106" s="340">
        <f t="shared" si="27"/>
        <v>5182.5400000000009</v>
      </c>
      <c r="CP106" s="340">
        <f t="shared" si="28"/>
        <v>0</v>
      </c>
      <c r="CQ106" s="340">
        <f t="shared" si="29"/>
        <v>28630.370000000003</v>
      </c>
      <c r="CR106" s="340">
        <f t="shared" si="30"/>
        <v>0</v>
      </c>
      <c r="CS106" s="340">
        <f t="shared" si="31"/>
        <v>0</v>
      </c>
      <c r="CT106" s="90">
        <f t="shared" si="17"/>
        <v>-120359.30999999994</v>
      </c>
      <c r="CV106" s="90">
        <f t="shared" si="24"/>
        <v>0</v>
      </c>
    </row>
    <row r="107" spans="1:100">
      <c r="A107" s="325">
        <v>765</v>
      </c>
      <c r="B107" s="325" t="s">
        <v>236</v>
      </c>
      <c r="C107" s="209">
        <v>-51769.61</v>
      </c>
      <c r="D107" s="209">
        <v>-6972.38</v>
      </c>
      <c r="E107" s="209">
        <v>0</v>
      </c>
      <c r="F107" s="209">
        <v>-3911.53</v>
      </c>
      <c r="G107" s="209">
        <v>0</v>
      </c>
      <c r="H107" s="209">
        <v>0</v>
      </c>
      <c r="I107" s="223">
        <v>-644653.07999999996</v>
      </c>
      <c r="J107" s="223">
        <v>0</v>
      </c>
      <c r="K107" s="223">
        <v>-97166</v>
      </c>
      <c r="L107" s="223">
        <v>0</v>
      </c>
      <c r="M107" s="223">
        <v>-34040</v>
      </c>
      <c r="N107" s="223">
        <v>-44052.23</v>
      </c>
      <c r="O107" s="223">
        <v>-450</v>
      </c>
      <c r="P107" s="223">
        <v>-386</v>
      </c>
      <c r="Q107" s="223">
        <v>-3088.6100000000006</v>
      </c>
      <c r="R107" s="223">
        <v>0</v>
      </c>
      <c r="S107" s="223">
        <v>0</v>
      </c>
      <c r="T107" s="223">
        <v>0</v>
      </c>
      <c r="U107" s="223">
        <v>-3277.8899999999994</v>
      </c>
      <c r="V107" s="223">
        <v>-13689.119999999995</v>
      </c>
      <c r="W107" s="223">
        <v>0</v>
      </c>
      <c r="X107" s="223">
        <v>0</v>
      </c>
      <c r="Y107" s="223">
        <v>0</v>
      </c>
      <c r="Z107" s="223">
        <v>0</v>
      </c>
      <c r="AA107" s="223">
        <v>0</v>
      </c>
      <c r="AB107" s="223">
        <v>-147.55999999999995</v>
      </c>
      <c r="AC107" s="223">
        <v>-30760</v>
      </c>
      <c r="AD107" s="210">
        <v>331613.0400000001</v>
      </c>
      <c r="AE107" s="210">
        <v>8731.130000000001</v>
      </c>
      <c r="AF107" s="210">
        <v>131705.19999999998</v>
      </c>
      <c r="AG107" s="210">
        <v>6139.18</v>
      </c>
      <c r="AH107" s="210">
        <v>45267.95</v>
      </c>
      <c r="AI107" s="210">
        <v>0</v>
      </c>
      <c r="AJ107" s="210">
        <v>17018.490000000002</v>
      </c>
      <c r="AK107" s="210">
        <v>20134.34</v>
      </c>
      <c r="AL107" s="210">
        <v>2442</v>
      </c>
      <c r="AM107" s="210">
        <v>3197.4700000000003</v>
      </c>
      <c r="AN107" s="210">
        <v>0</v>
      </c>
      <c r="AO107" s="210">
        <v>9663.5599999999977</v>
      </c>
      <c r="AP107" s="210">
        <v>4804.6599999999989</v>
      </c>
      <c r="AQ107" s="210">
        <v>16029.47</v>
      </c>
      <c r="AR107" s="210">
        <v>3078.9199999999996</v>
      </c>
      <c r="AS107" s="210">
        <v>26267.499999999996</v>
      </c>
      <c r="AT107" s="210">
        <v>8977.25</v>
      </c>
      <c r="AU107" s="210">
        <v>2890.34</v>
      </c>
      <c r="AV107" s="210">
        <v>19923.169999999998</v>
      </c>
      <c r="AW107" s="312">
        <v>0</v>
      </c>
      <c r="AX107" s="210">
        <v>6244.87</v>
      </c>
      <c r="AY107" s="210">
        <v>0</v>
      </c>
      <c r="AZ107" s="210">
        <v>0</v>
      </c>
      <c r="BA107" s="210">
        <v>5202.6600000000008</v>
      </c>
      <c r="BB107" s="210">
        <v>0</v>
      </c>
      <c r="BC107" s="210">
        <v>0</v>
      </c>
      <c r="BD107" s="210">
        <v>3280</v>
      </c>
      <c r="BE107" s="210">
        <v>0</v>
      </c>
      <c r="BF107" s="210">
        <v>7544.76</v>
      </c>
      <c r="BG107" s="210">
        <v>4610.32</v>
      </c>
      <c r="BH107" s="210">
        <v>0</v>
      </c>
      <c r="BI107" s="210">
        <v>21504.68</v>
      </c>
      <c r="BJ107" s="210">
        <v>24285.399999999998</v>
      </c>
      <c r="BK107" s="210">
        <v>57406.299999999974</v>
      </c>
      <c r="BL107" s="210">
        <v>18750.770000000004</v>
      </c>
      <c r="BM107" s="210">
        <v>0</v>
      </c>
      <c r="BN107" s="210">
        <v>0</v>
      </c>
      <c r="BO107" s="210">
        <v>0</v>
      </c>
      <c r="BP107" s="210">
        <v>0</v>
      </c>
      <c r="BQ107" s="211">
        <v>-31258.25</v>
      </c>
      <c r="BR107" s="211">
        <v>0</v>
      </c>
      <c r="BS107" s="211">
        <v>0</v>
      </c>
      <c r="BT107" s="212">
        <v>0</v>
      </c>
      <c r="BU107" s="212">
        <v>8842</v>
      </c>
      <c r="BV107" s="212">
        <v>0</v>
      </c>
      <c r="BW107" s="212">
        <v>0</v>
      </c>
      <c r="BX107" s="212">
        <v>0</v>
      </c>
      <c r="BY107" s="212">
        <v>0</v>
      </c>
      <c r="BZ107" s="212">
        <v>0</v>
      </c>
      <c r="CA107" s="212">
        <v>0</v>
      </c>
      <c r="CB107" s="212">
        <v>0</v>
      </c>
      <c r="CC107" s="224">
        <v>-150066.83000000013</v>
      </c>
      <c r="CD107" s="213"/>
      <c r="CE107" s="211">
        <v>71355.860000000044</v>
      </c>
      <c r="CF107" s="211">
        <v>52383.19</v>
      </c>
      <c r="CG107" s="211">
        <v>0</v>
      </c>
      <c r="CH107" s="211">
        <v>25.779999999998836</v>
      </c>
      <c r="CI107" s="211">
        <v>26302</v>
      </c>
      <c r="CJ107" s="211">
        <v>0</v>
      </c>
      <c r="CK107" s="211">
        <v>150066.83000000005</v>
      </c>
      <c r="CL107" s="201"/>
      <c r="CM107" s="201">
        <f t="shared" si="25"/>
        <v>0</v>
      </c>
      <c r="CN107" s="340">
        <f t="shared" si="26"/>
        <v>71355.860000000044</v>
      </c>
      <c r="CO107" s="340">
        <f t="shared" si="27"/>
        <v>52383.19</v>
      </c>
      <c r="CP107" s="340">
        <f t="shared" si="28"/>
        <v>0</v>
      </c>
      <c r="CQ107" s="340">
        <f t="shared" si="29"/>
        <v>25.779999999998836</v>
      </c>
      <c r="CR107" s="340">
        <f t="shared" si="30"/>
        <v>26302</v>
      </c>
      <c r="CS107" s="340">
        <f t="shared" si="31"/>
        <v>0</v>
      </c>
      <c r="CT107" s="90">
        <f t="shared" si="17"/>
        <v>150066.83000000005</v>
      </c>
      <c r="CV107" s="90">
        <f t="shared" si="24"/>
        <v>0</v>
      </c>
    </row>
    <row r="108" spans="1:100">
      <c r="A108" s="325">
        <v>766</v>
      </c>
      <c r="B108" s="325" t="s">
        <v>264</v>
      </c>
      <c r="C108" s="209">
        <v>-3229.5</v>
      </c>
      <c r="D108" s="209">
        <v>-465.4</v>
      </c>
      <c r="E108" s="209">
        <v>0</v>
      </c>
      <c r="F108" s="209">
        <v>-5402.13</v>
      </c>
      <c r="G108" s="209">
        <v>0</v>
      </c>
      <c r="H108" s="209">
        <v>0</v>
      </c>
      <c r="I108" s="223">
        <v>-630427.97</v>
      </c>
      <c r="J108" s="223">
        <v>0</v>
      </c>
      <c r="K108" s="223">
        <v>-34020</v>
      </c>
      <c r="L108" s="223">
        <v>0</v>
      </c>
      <c r="M108" s="223">
        <v>-12930</v>
      </c>
      <c r="N108" s="223">
        <v>0</v>
      </c>
      <c r="O108" s="223">
        <v>0</v>
      </c>
      <c r="P108" s="223">
        <v>0</v>
      </c>
      <c r="Q108" s="223">
        <v>-37789.94</v>
      </c>
      <c r="R108" s="223">
        <v>0</v>
      </c>
      <c r="S108" s="223">
        <v>-1191</v>
      </c>
      <c r="T108" s="223">
        <v>0</v>
      </c>
      <c r="U108" s="223">
        <v>-6274.779999999997</v>
      </c>
      <c r="V108" s="223">
        <v>-3933.1899999999996</v>
      </c>
      <c r="W108" s="223">
        <v>0</v>
      </c>
      <c r="X108" s="223">
        <v>-71939.850000000006</v>
      </c>
      <c r="Y108" s="223">
        <v>-8754.93</v>
      </c>
      <c r="Z108" s="223">
        <v>0</v>
      </c>
      <c r="AA108" s="223">
        <v>0</v>
      </c>
      <c r="AB108" s="223">
        <v>-224.38</v>
      </c>
      <c r="AC108" s="223">
        <v>-41858</v>
      </c>
      <c r="AD108" s="210">
        <v>336914.12</v>
      </c>
      <c r="AE108" s="210">
        <v>30505.570000000007</v>
      </c>
      <c r="AF108" s="210">
        <v>103398.54999999999</v>
      </c>
      <c r="AG108" s="210">
        <v>30.82</v>
      </c>
      <c r="AH108" s="210">
        <v>72634.309999999983</v>
      </c>
      <c r="AI108" s="210">
        <v>0</v>
      </c>
      <c r="AJ108" s="210">
        <v>19281.549999999996</v>
      </c>
      <c r="AK108" s="210">
        <v>3104.22</v>
      </c>
      <c r="AL108" s="210">
        <v>2720.1400000000003</v>
      </c>
      <c r="AM108" s="210">
        <v>3896.04</v>
      </c>
      <c r="AN108" s="210">
        <v>268.5</v>
      </c>
      <c r="AO108" s="210">
        <v>8678.92</v>
      </c>
      <c r="AP108" s="210">
        <v>2020.1300000000003</v>
      </c>
      <c r="AQ108" s="210">
        <v>22260.44</v>
      </c>
      <c r="AR108" s="210">
        <v>2435.98</v>
      </c>
      <c r="AS108" s="210">
        <v>15856.7</v>
      </c>
      <c r="AT108" s="210">
        <v>13950.08</v>
      </c>
      <c r="AU108" s="210">
        <v>3212.87</v>
      </c>
      <c r="AV108" s="210">
        <v>29871.17</v>
      </c>
      <c r="AW108" s="312">
        <v>0</v>
      </c>
      <c r="AX108" s="210">
        <v>4091.14</v>
      </c>
      <c r="AY108" s="210">
        <v>0</v>
      </c>
      <c r="AZ108" s="210">
        <v>0</v>
      </c>
      <c r="BA108" s="210">
        <v>360</v>
      </c>
      <c r="BB108" s="210">
        <v>608.02</v>
      </c>
      <c r="BC108" s="210">
        <v>0</v>
      </c>
      <c r="BD108" s="210">
        <v>3460</v>
      </c>
      <c r="BE108" s="210">
        <v>0</v>
      </c>
      <c r="BF108" s="210">
        <v>3770.28</v>
      </c>
      <c r="BG108" s="210">
        <v>5553.34</v>
      </c>
      <c r="BH108" s="210">
        <v>0</v>
      </c>
      <c r="BI108" s="210">
        <v>32257.119999999999</v>
      </c>
      <c r="BJ108" s="210">
        <v>4528.93</v>
      </c>
      <c r="BK108" s="210">
        <v>16024.95</v>
      </c>
      <c r="BL108" s="210">
        <v>10448.84</v>
      </c>
      <c r="BM108" s="210">
        <v>0</v>
      </c>
      <c r="BN108" s="210">
        <v>0</v>
      </c>
      <c r="BO108" s="210">
        <v>95418.72</v>
      </c>
      <c r="BP108" s="210">
        <v>1582.5</v>
      </c>
      <c r="BQ108" s="211">
        <v>-5125</v>
      </c>
      <c r="BR108" s="211">
        <v>0</v>
      </c>
      <c r="BS108" s="211">
        <v>0</v>
      </c>
      <c r="BT108" s="212">
        <v>0</v>
      </c>
      <c r="BU108" s="212">
        <v>10503.97</v>
      </c>
      <c r="BV108" s="212">
        <v>0</v>
      </c>
      <c r="BW108" s="212">
        <v>0</v>
      </c>
      <c r="BX108" s="212">
        <v>0</v>
      </c>
      <c r="BY108" s="212">
        <v>0</v>
      </c>
      <c r="BZ108" s="212">
        <v>0</v>
      </c>
      <c r="CA108" s="212">
        <v>0</v>
      </c>
      <c r="CB108" s="212">
        <v>0</v>
      </c>
      <c r="CC108" s="224">
        <v>-3918.1500000000397</v>
      </c>
      <c r="CD108" s="213"/>
      <c r="CE108" s="211">
        <v>7235.0300000000843</v>
      </c>
      <c r="CF108" s="211">
        <v>185.40000000000146</v>
      </c>
      <c r="CG108" s="211">
        <v>0</v>
      </c>
      <c r="CH108" s="211">
        <v>8.160000000000764</v>
      </c>
      <c r="CI108" s="211">
        <v>0</v>
      </c>
      <c r="CJ108" s="211">
        <v>-3510.4400000000023</v>
      </c>
      <c r="CK108" s="211">
        <v>3918.1500000000842</v>
      </c>
      <c r="CL108" s="201"/>
      <c r="CM108" s="201">
        <f t="shared" si="25"/>
        <v>4.4565240386873484E-11</v>
      </c>
      <c r="CN108" s="340">
        <f t="shared" si="26"/>
        <v>7235.0300000000843</v>
      </c>
      <c r="CO108" s="340">
        <f t="shared" si="27"/>
        <v>185.40000000000146</v>
      </c>
      <c r="CP108" s="340">
        <f t="shared" si="28"/>
        <v>0</v>
      </c>
      <c r="CQ108" s="340">
        <f t="shared" si="29"/>
        <v>8.160000000000764</v>
      </c>
      <c r="CR108" s="340">
        <f t="shared" si="30"/>
        <v>0</v>
      </c>
      <c r="CS108" s="340">
        <f t="shared" si="31"/>
        <v>-3510.4400000000023</v>
      </c>
      <c r="CT108" s="90">
        <f t="shared" si="17"/>
        <v>3918.1500000000842</v>
      </c>
      <c r="CV108" s="90">
        <f t="shared" si="24"/>
        <v>0</v>
      </c>
    </row>
    <row r="109" spans="1:100">
      <c r="A109" s="325">
        <v>767</v>
      </c>
      <c r="B109" s="325" t="s">
        <v>402</v>
      </c>
      <c r="C109" s="209">
        <v>-602652.31000000006</v>
      </c>
      <c r="D109" s="209">
        <v>-5215.37</v>
      </c>
      <c r="E109" s="209">
        <v>0</v>
      </c>
      <c r="F109" s="209">
        <v>-23209.24</v>
      </c>
      <c r="G109" s="209">
        <v>0</v>
      </c>
      <c r="H109" s="209">
        <v>0</v>
      </c>
      <c r="I109" s="223">
        <v>-1437880.98</v>
      </c>
      <c r="J109" s="223">
        <v>0</v>
      </c>
      <c r="K109" s="223">
        <v>-66409</v>
      </c>
      <c r="L109" s="223">
        <v>0</v>
      </c>
      <c r="M109" s="223">
        <v>-88970</v>
      </c>
      <c r="N109" s="223">
        <v>-400</v>
      </c>
      <c r="O109" s="223">
        <v>-2701.6</v>
      </c>
      <c r="P109" s="223">
        <v>-44</v>
      </c>
      <c r="Q109" s="223">
        <v>-79787.899999999994</v>
      </c>
      <c r="R109" s="223">
        <v>-3503.16</v>
      </c>
      <c r="S109" s="223">
        <v>0</v>
      </c>
      <c r="T109" s="223">
        <v>0</v>
      </c>
      <c r="U109" s="223">
        <v>-28620.54</v>
      </c>
      <c r="V109" s="223">
        <v>-960.84</v>
      </c>
      <c r="W109" s="223">
        <v>0</v>
      </c>
      <c r="X109" s="223">
        <v>0</v>
      </c>
      <c r="Y109" s="223">
        <v>0</v>
      </c>
      <c r="Z109" s="223">
        <v>0</v>
      </c>
      <c r="AA109" s="223">
        <v>0</v>
      </c>
      <c r="AB109" s="223">
        <v>102.5</v>
      </c>
      <c r="AC109" s="223">
        <v>-39407</v>
      </c>
      <c r="AD109" s="210">
        <v>790079.35</v>
      </c>
      <c r="AE109" s="210">
        <v>0</v>
      </c>
      <c r="AF109" s="210">
        <v>365379.02999999997</v>
      </c>
      <c r="AG109" s="210">
        <v>47188.27</v>
      </c>
      <c r="AH109" s="210">
        <v>93768.049999999988</v>
      </c>
      <c r="AI109" s="210">
        <v>0</v>
      </c>
      <c r="AJ109" s="210">
        <v>71268.61</v>
      </c>
      <c r="AK109" s="210">
        <v>6250.7</v>
      </c>
      <c r="AL109" s="210">
        <v>7328.3600000000006</v>
      </c>
      <c r="AM109" s="210">
        <v>2845.31</v>
      </c>
      <c r="AN109" s="210">
        <v>0</v>
      </c>
      <c r="AO109" s="210">
        <v>16406.46</v>
      </c>
      <c r="AP109" s="210">
        <v>2334.33</v>
      </c>
      <c r="AQ109" s="210">
        <v>2696.85</v>
      </c>
      <c r="AR109" s="210">
        <v>3754.7000000000003</v>
      </c>
      <c r="AS109" s="210">
        <v>40471.350000000006</v>
      </c>
      <c r="AT109" s="210">
        <v>57118.09</v>
      </c>
      <c r="AU109" s="210">
        <v>5688.5299999999988</v>
      </c>
      <c r="AV109" s="210">
        <v>73814.100000000006</v>
      </c>
      <c r="AW109" s="312">
        <v>0</v>
      </c>
      <c r="AX109" s="210">
        <v>1125.08</v>
      </c>
      <c r="AY109" s="210">
        <v>0</v>
      </c>
      <c r="AZ109" s="210">
        <v>5404</v>
      </c>
      <c r="BA109" s="210">
        <v>5351.21</v>
      </c>
      <c r="BB109" s="210">
        <v>0</v>
      </c>
      <c r="BC109" s="210">
        <v>0</v>
      </c>
      <c r="BD109" s="210">
        <v>6204</v>
      </c>
      <c r="BE109" s="210">
        <v>0</v>
      </c>
      <c r="BF109" s="210">
        <v>12036.06</v>
      </c>
      <c r="BG109" s="210">
        <v>13666.410000000002</v>
      </c>
      <c r="BH109" s="210">
        <v>0</v>
      </c>
      <c r="BI109" s="210">
        <v>51210.609999999993</v>
      </c>
      <c r="BJ109" s="210">
        <v>31512</v>
      </c>
      <c r="BK109" s="210">
        <v>12001.75</v>
      </c>
      <c r="BL109" s="210">
        <v>22734.179999999993</v>
      </c>
      <c r="BM109" s="210">
        <v>0</v>
      </c>
      <c r="BN109" s="210">
        <v>0</v>
      </c>
      <c r="BO109" s="210">
        <v>0</v>
      </c>
      <c r="BP109" s="210">
        <v>0</v>
      </c>
      <c r="BQ109" s="211">
        <v>-7071.25</v>
      </c>
      <c r="BR109" s="211">
        <v>0</v>
      </c>
      <c r="BS109" s="211">
        <v>0</v>
      </c>
      <c r="BT109" s="212">
        <v>0</v>
      </c>
      <c r="BU109" s="212">
        <v>13174.99</v>
      </c>
      <c r="BV109" s="212">
        <v>664.83</v>
      </c>
      <c r="BW109" s="212">
        <v>0</v>
      </c>
      <c r="BX109" s="212">
        <v>0</v>
      </c>
      <c r="BY109" s="212">
        <v>0</v>
      </c>
      <c r="BZ109" s="212">
        <v>0</v>
      </c>
      <c r="CA109" s="212">
        <v>49.05</v>
      </c>
      <c r="CB109" s="212">
        <v>0</v>
      </c>
      <c r="CC109" s="224">
        <v>-625204.43000000005</v>
      </c>
      <c r="CD109" s="213"/>
      <c r="CE109" s="211">
        <v>586601.81000000017</v>
      </c>
      <c r="CF109" s="211">
        <v>21497</v>
      </c>
      <c r="CG109" s="211">
        <v>0</v>
      </c>
      <c r="CH109" s="211">
        <v>17105.620000000003</v>
      </c>
      <c r="CI109" s="211">
        <v>0</v>
      </c>
      <c r="CJ109" s="211">
        <v>0</v>
      </c>
      <c r="CK109" s="211">
        <v>625204.43000000017</v>
      </c>
      <c r="CL109" s="201"/>
      <c r="CM109" s="201">
        <f t="shared" si="25"/>
        <v>0</v>
      </c>
      <c r="CN109" s="340">
        <f t="shared" si="26"/>
        <v>586601.81000000017</v>
      </c>
      <c r="CO109" s="340">
        <f t="shared" si="27"/>
        <v>21497</v>
      </c>
      <c r="CP109" s="340">
        <f t="shared" si="28"/>
        <v>0</v>
      </c>
      <c r="CQ109" s="340">
        <f t="shared" si="29"/>
        <v>17105.620000000003</v>
      </c>
      <c r="CR109" s="340">
        <f t="shared" si="30"/>
        <v>0</v>
      </c>
      <c r="CS109" s="340">
        <f t="shared" si="31"/>
        <v>0</v>
      </c>
      <c r="CT109" s="90">
        <f t="shared" si="17"/>
        <v>625204.43000000017</v>
      </c>
      <c r="CV109" s="90">
        <f t="shared" si="24"/>
        <v>0</v>
      </c>
    </row>
    <row r="110" spans="1:100">
      <c r="A110" s="325">
        <v>768</v>
      </c>
      <c r="B110" s="325" t="s">
        <v>403</v>
      </c>
      <c r="C110" s="209">
        <v>-64388.77</v>
      </c>
      <c r="D110" s="209">
        <v>-13698.06</v>
      </c>
      <c r="E110" s="209">
        <v>0</v>
      </c>
      <c r="F110" s="209">
        <v>479</v>
      </c>
      <c r="G110" s="209">
        <v>0</v>
      </c>
      <c r="H110" s="209">
        <v>0</v>
      </c>
      <c r="I110" s="223">
        <v>-931337.96</v>
      </c>
      <c r="J110" s="223">
        <v>0</v>
      </c>
      <c r="K110" s="223">
        <v>-56661</v>
      </c>
      <c r="L110" s="223">
        <v>0</v>
      </c>
      <c r="M110" s="223">
        <v>-33950</v>
      </c>
      <c r="N110" s="223">
        <v>0</v>
      </c>
      <c r="O110" s="223">
        <v>0</v>
      </c>
      <c r="P110" s="223">
        <v>0</v>
      </c>
      <c r="Q110" s="223">
        <v>-58121.840000000004</v>
      </c>
      <c r="R110" s="223">
        <v>-4295.16</v>
      </c>
      <c r="S110" s="223">
        <v>0</v>
      </c>
      <c r="T110" s="223">
        <v>0</v>
      </c>
      <c r="U110" s="223">
        <v>-2831.6899999999996</v>
      </c>
      <c r="V110" s="223">
        <v>-17289.93</v>
      </c>
      <c r="W110" s="223">
        <v>0</v>
      </c>
      <c r="X110" s="223">
        <v>0</v>
      </c>
      <c r="Y110" s="223">
        <v>0</v>
      </c>
      <c r="Z110" s="223">
        <v>0</v>
      </c>
      <c r="AA110" s="223">
        <v>0</v>
      </c>
      <c r="AB110" s="223">
        <v>-55.630000000000109</v>
      </c>
      <c r="AC110" s="223">
        <v>-82350</v>
      </c>
      <c r="AD110" s="210">
        <v>552405.14999999991</v>
      </c>
      <c r="AE110" s="210">
        <v>13900.529999999999</v>
      </c>
      <c r="AF110" s="210">
        <v>277382.00999999995</v>
      </c>
      <c r="AG110" s="210">
        <v>15534.01</v>
      </c>
      <c r="AH110" s="210">
        <v>43589.499999999993</v>
      </c>
      <c r="AI110" s="210">
        <v>0</v>
      </c>
      <c r="AJ110" s="210">
        <v>27970.850000000002</v>
      </c>
      <c r="AK110" s="210">
        <v>462.37000000000012</v>
      </c>
      <c r="AL110" s="210">
        <v>2401.5</v>
      </c>
      <c r="AM110" s="210">
        <v>545.95000000000005</v>
      </c>
      <c r="AN110" s="210">
        <v>0</v>
      </c>
      <c r="AO110" s="210">
        <v>32904.200000000012</v>
      </c>
      <c r="AP110" s="210">
        <v>1764.0399999999995</v>
      </c>
      <c r="AQ110" s="210">
        <v>15990.400000000001</v>
      </c>
      <c r="AR110" s="210">
        <v>3628.1</v>
      </c>
      <c r="AS110" s="210">
        <v>29257.940000000002</v>
      </c>
      <c r="AT110" s="210">
        <v>3754.08</v>
      </c>
      <c r="AU110" s="210">
        <v>4929.9400000000005</v>
      </c>
      <c r="AV110" s="210">
        <v>46121.119999999995</v>
      </c>
      <c r="AW110" s="312">
        <v>0</v>
      </c>
      <c r="AX110" s="210">
        <v>4279.1900000000005</v>
      </c>
      <c r="AY110" s="210">
        <v>0</v>
      </c>
      <c r="AZ110" s="210">
        <v>5051.55</v>
      </c>
      <c r="BA110" s="210">
        <v>0</v>
      </c>
      <c r="BB110" s="210">
        <v>0</v>
      </c>
      <c r="BC110" s="210">
        <v>0</v>
      </c>
      <c r="BD110" s="210">
        <v>2456.67</v>
      </c>
      <c r="BE110" s="210">
        <v>0</v>
      </c>
      <c r="BF110" s="210">
        <v>8090.1299999999992</v>
      </c>
      <c r="BG110" s="210">
        <v>9377.81</v>
      </c>
      <c r="BH110" s="210">
        <v>0</v>
      </c>
      <c r="BI110" s="210">
        <v>76412.7</v>
      </c>
      <c r="BJ110" s="210">
        <v>1990</v>
      </c>
      <c r="BK110" s="210">
        <v>10837.35</v>
      </c>
      <c r="BL110" s="210">
        <v>11496.86</v>
      </c>
      <c r="BM110" s="210">
        <v>0</v>
      </c>
      <c r="BN110" s="210">
        <v>2033.45</v>
      </c>
      <c r="BO110" s="210">
        <v>0</v>
      </c>
      <c r="BP110" s="210">
        <v>0</v>
      </c>
      <c r="BQ110" s="211">
        <v>0</v>
      </c>
      <c r="BR110" s="211">
        <v>0</v>
      </c>
      <c r="BS110" s="211">
        <v>0</v>
      </c>
      <c r="BT110" s="212">
        <v>0</v>
      </c>
      <c r="BU110" s="212">
        <v>0</v>
      </c>
      <c r="BV110" s="212">
        <v>0</v>
      </c>
      <c r="BW110" s="212">
        <v>0</v>
      </c>
      <c r="BX110" s="212">
        <v>0</v>
      </c>
      <c r="BY110" s="212">
        <v>320.16000000000003</v>
      </c>
      <c r="BZ110" s="212">
        <v>0</v>
      </c>
      <c r="CA110" s="212">
        <v>817.92</v>
      </c>
      <c r="CB110" s="212">
        <v>0</v>
      </c>
      <c r="CC110" s="224">
        <v>-58795.559999999939</v>
      </c>
      <c r="CD110" s="213"/>
      <c r="CE110" s="211">
        <v>60412.640000000058</v>
      </c>
      <c r="CF110" s="211">
        <v>0</v>
      </c>
      <c r="CG110" s="211">
        <v>0</v>
      </c>
      <c r="CH110" s="211">
        <v>-1617.08</v>
      </c>
      <c r="CI110" s="211">
        <v>0</v>
      </c>
      <c r="CJ110" s="211">
        <v>0</v>
      </c>
      <c r="CK110" s="211">
        <v>58795.560000000056</v>
      </c>
      <c r="CL110" s="201"/>
      <c r="CM110" s="201">
        <f t="shared" si="25"/>
        <v>1.1641532182693481E-10</v>
      </c>
      <c r="CN110" s="340">
        <f t="shared" si="26"/>
        <v>60412.640000000058</v>
      </c>
      <c r="CO110" s="340">
        <f t="shared" si="27"/>
        <v>0</v>
      </c>
      <c r="CP110" s="340">
        <f t="shared" si="28"/>
        <v>0</v>
      </c>
      <c r="CQ110" s="340">
        <f t="shared" si="29"/>
        <v>-1617.08</v>
      </c>
      <c r="CR110" s="340">
        <f t="shared" si="30"/>
        <v>0</v>
      </c>
      <c r="CS110" s="340">
        <f t="shared" si="31"/>
        <v>0</v>
      </c>
      <c r="CT110" s="90">
        <f t="shared" si="17"/>
        <v>58795.560000000056</v>
      </c>
      <c r="CV110" s="90">
        <f t="shared" si="24"/>
        <v>0</v>
      </c>
    </row>
    <row r="111" spans="1:100">
      <c r="A111" s="325">
        <v>769</v>
      </c>
      <c r="B111" s="325" t="s">
        <v>404</v>
      </c>
      <c r="C111" s="209">
        <v>-65275.46</v>
      </c>
      <c r="D111" s="209">
        <v>-23540.75</v>
      </c>
      <c r="E111" s="209">
        <v>0</v>
      </c>
      <c r="F111" s="209">
        <v>-8561</v>
      </c>
      <c r="G111" s="209">
        <v>0</v>
      </c>
      <c r="H111" s="209">
        <v>-4897.1499999999996</v>
      </c>
      <c r="I111" s="223">
        <v>-1041278.69</v>
      </c>
      <c r="J111" s="223">
        <v>0</v>
      </c>
      <c r="K111" s="223">
        <v>-22836</v>
      </c>
      <c r="L111" s="223">
        <v>0</v>
      </c>
      <c r="M111" s="223">
        <v>-29160</v>
      </c>
      <c r="N111" s="223">
        <v>-7346</v>
      </c>
      <c r="O111" s="223">
        <v>-500</v>
      </c>
      <c r="P111" s="223">
        <v>0</v>
      </c>
      <c r="Q111" s="223">
        <v>-30240.649999999998</v>
      </c>
      <c r="R111" s="223">
        <v>-20132.43</v>
      </c>
      <c r="S111" s="223">
        <v>0</v>
      </c>
      <c r="T111" s="223">
        <v>0</v>
      </c>
      <c r="U111" s="223">
        <v>-18718.129999999997</v>
      </c>
      <c r="V111" s="223">
        <v>-878.36</v>
      </c>
      <c r="W111" s="223">
        <v>0</v>
      </c>
      <c r="X111" s="223">
        <v>-88614.050000000017</v>
      </c>
      <c r="Y111" s="223">
        <v>-18832.009999999998</v>
      </c>
      <c r="Z111" s="223">
        <v>0</v>
      </c>
      <c r="AA111" s="223">
        <v>0</v>
      </c>
      <c r="AB111" s="223">
        <v>-295.63000000000011</v>
      </c>
      <c r="AC111" s="223">
        <v>-60701</v>
      </c>
      <c r="AD111" s="210">
        <v>562407.24</v>
      </c>
      <c r="AE111" s="210">
        <v>24347.170000000002</v>
      </c>
      <c r="AF111" s="210">
        <v>198544.31</v>
      </c>
      <c r="AG111" s="210">
        <v>29077.87</v>
      </c>
      <c r="AH111" s="210">
        <v>76013.960000000006</v>
      </c>
      <c r="AI111" s="210">
        <v>34974.75</v>
      </c>
      <c r="AJ111" s="210">
        <v>44644.619999999995</v>
      </c>
      <c r="AK111" s="210">
        <v>680.96</v>
      </c>
      <c r="AL111" s="210">
        <v>6308.5</v>
      </c>
      <c r="AM111" s="210">
        <v>481.9</v>
      </c>
      <c r="AN111" s="210">
        <v>0</v>
      </c>
      <c r="AO111" s="210">
        <v>13247.6</v>
      </c>
      <c r="AP111" s="210">
        <v>3422.3900000000003</v>
      </c>
      <c r="AQ111" s="210">
        <v>3436.04</v>
      </c>
      <c r="AR111" s="210">
        <v>3909.5700000000006</v>
      </c>
      <c r="AS111" s="210">
        <v>19125.989999999998</v>
      </c>
      <c r="AT111" s="210">
        <v>5288.05</v>
      </c>
      <c r="AU111" s="210">
        <v>4640.07</v>
      </c>
      <c r="AV111" s="210">
        <v>47285.929999999993</v>
      </c>
      <c r="AW111" s="312">
        <v>0</v>
      </c>
      <c r="AX111" s="210">
        <v>4848.3500000000013</v>
      </c>
      <c r="AY111" s="210">
        <v>1255.99</v>
      </c>
      <c r="AZ111" s="210">
        <v>0</v>
      </c>
      <c r="BA111" s="210">
        <v>4407.53</v>
      </c>
      <c r="BB111" s="210">
        <v>3226.43</v>
      </c>
      <c r="BC111" s="210">
        <v>1470</v>
      </c>
      <c r="BD111" s="210">
        <v>5865</v>
      </c>
      <c r="BE111" s="210">
        <v>0</v>
      </c>
      <c r="BF111" s="210">
        <v>12185.769999999991</v>
      </c>
      <c r="BG111" s="210">
        <v>8277.6200000000008</v>
      </c>
      <c r="BH111" s="210">
        <v>0</v>
      </c>
      <c r="BI111" s="210">
        <v>28981.420000000002</v>
      </c>
      <c r="BJ111" s="210">
        <v>0</v>
      </c>
      <c r="BK111" s="210">
        <v>15252.6</v>
      </c>
      <c r="BL111" s="210">
        <v>14791.84</v>
      </c>
      <c r="BM111" s="210">
        <v>0</v>
      </c>
      <c r="BN111" s="210">
        <v>0</v>
      </c>
      <c r="BO111" s="210">
        <v>83079.44</v>
      </c>
      <c r="BP111" s="210">
        <v>2042.4700000000003</v>
      </c>
      <c r="BQ111" s="211">
        <v>-4281.25</v>
      </c>
      <c r="BR111" s="211">
        <v>0</v>
      </c>
      <c r="BS111" s="211">
        <v>0</v>
      </c>
      <c r="BT111" s="212">
        <v>0</v>
      </c>
      <c r="BU111" s="212">
        <v>17883.03</v>
      </c>
      <c r="BV111" s="212">
        <v>0</v>
      </c>
      <c r="BW111" s="212">
        <v>0</v>
      </c>
      <c r="BX111" s="212">
        <v>0</v>
      </c>
      <c r="BY111" s="212">
        <v>0</v>
      </c>
      <c r="BZ111" s="212">
        <v>0</v>
      </c>
      <c r="CA111" s="212">
        <v>0</v>
      </c>
      <c r="CB111" s="212">
        <v>0</v>
      </c>
      <c r="CC111" s="224">
        <v>-164684.14999999967</v>
      </c>
      <c r="CD111" s="213"/>
      <c r="CE111" s="211">
        <v>125593.75000000012</v>
      </c>
      <c r="CF111" s="211">
        <v>13250.739999999998</v>
      </c>
      <c r="CG111" s="211">
        <v>0</v>
      </c>
      <c r="CH111" s="211">
        <v>550.65999999999985</v>
      </c>
      <c r="CI111" s="211">
        <v>0</v>
      </c>
      <c r="CJ111" s="211">
        <v>25289.000000000015</v>
      </c>
      <c r="CK111" s="211">
        <v>164684.15000000014</v>
      </c>
      <c r="CL111" s="201"/>
      <c r="CM111" s="201">
        <f t="shared" si="25"/>
        <v>4.6566128730773926E-10</v>
      </c>
      <c r="CN111" s="340">
        <f t="shared" si="26"/>
        <v>125593.75000000012</v>
      </c>
      <c r="CO111" s="340">
        <f t="shared" si="27"/>
        <v>13250.739999999998</v>
      </c>
      <c r="CP111" s="340">
        <f t="shared" si="28"/>
        <v>0</v>
      </c>
      <c r="CQ111" s="340">
        <f t="shared" si="29"/>
        <v>550.65999999999985</v>
      </c>
      <c r="CR111" s="340">
        <f t="shared" si="30"/>
        <v>0</v>
      </c>
      <c r="CS111" s="340">
        <f t="shared" si="31"/>
        <v>25289.000000000015</v>
      </c>
      <c r="CT111" s="90">
        <f t="shared" si="17"/>
        <v>164684.15000000014</v>
      </c>
      <c r="CV111" s="90">
        <f t="shared" si="24"/>
        <v>0</v>
      </c>
    </row>
    <row r="112" spans="1:100">
      <c r="A112" s="325">
        <v>771</v>
      </c>
      <c r="B112" s="325" t="s">
        <v>186</v>
      </c>
      <c r="C112" s="209">
        <v>-103459.07</v>
      </c>
      <c r="D112" s="209">
        <v>-29777.79</v>
      </c>
      <c r="E112" s="209">
        <v>0</v>
      </c>
      <c r="F112" s="209">
        <v>0</v>
      </c>
      <c r="G112" s="209">
        <v>0</v>
      </c>
      <c r="H112" s="209">
        <v>0</v>
      </c>
      <c r="I112" s="223">
        <v>-461461.46</v>
      </c>
      <c r="J112" s="223">
        <v>0</v>
      </c>
      <c r="K112" s="223">
        <v>-11588</v>
      </c>
      <c r="L112" s="223">
        <v>0</v>
      </c>
      <c r="M112" s="223">
        <v>-23290</v>
      </c>
      <c r="N112" s="223">
        <v>0</v>
      </c>
      <c r="O112" s="223">
        <v>0</v>
      </c>
      <c r="P112" s="223">
        <v>0</v>
      </c>
      <c r="Q112" s="223">
        <v>-19021.670000000006</v>
      </c>
      <c r="R112" s="223">
        <v>0</v>
      </c>
      <c r="S112" s="223">
        <v>0</v>
      </c>
      <c r="T112" s="223">
        <v>0</v>
      </c>
      <c r="U112" s="223">
        <v>-6281.0999999999976</v>
      </c>
      <c r="V112" s="223">
        <v>-1548.25</v>
      </c>
      <c r="W112" s="223">
        <v>0</v>
      </c>
      <c r="X112" s="223">
        <v>0</v>
      </c>
      <c r="Y112" s="223">
        <v>0</v>
      </c>
      <c r="Z112" s="223">
        <v>0</v>
      </c>
      <c r="AA112" s="223">
        <v>0</v>
      </c>
      <c r="AB112" s="223">
        <v>7.5</v>
      </c>
      <c r="AC112" s="223">
        <v>-21871</v>
      </c>
      <c r="AD112" s="210">
        <v>260704.1</v>
      </c>
      <c r="AE112" s="210">
        <v>12078.960000000003</v>
      </c>
      <c r="AF112" s="210">
        <v>110743.71999999997</v>
      </c>
      <c r="AG112" s="210">
        <v>9046.17</v>
      </c>
      <c r="AH112" s="210">
        <v>49113.96</v>
      </c>
      <c r="AI112" s="210">
        <v>0</v>
      </c>
      <c r="AJ112" s="210">
        <v>20412.690000000002</v>
      </c>
      <c r="AK112" s="210">
        <v>3083.53</v>
      </c>
      <c r="AL112" s="210">
        <v>4251</v>
      </c>
      <c r="AM112" s="210">
        <v>173.85</v>
      </c>
      <c r="AN112" s="210">
        <v>3052.58</v>
      </c>
      <c r="AO112" s="210">
        <v>6231.03</v>
      </c>
      <c r="AP112" s="210">
        <v>3218.74</v>
      </c>
      <c r="AQ112" s="210">
        <v>524.03</v>
      </c>
      <c r="AR112" s="210">
        <v>796.1</v>
      </c>
      <c r="AS112" s="210">
        <v>10754.320000000002</v>
      </c>
      <c r="AT112" s="210">
        <v>969.42</v>
      </c>
      <c r="AU112" s="210">
        <v>2775.29</v>
      </c>
      <c r="AV112" s="210">
        <v>25809.18</v>
      </c>
      <c r="AW112" s="312">
        <v>557.48999999999887</v>
      </c>
      <c r="AX112" s="210">
        <v>900</v>
      </c>
      <c r="AY112" s="210">
        <v>0</v>
      </c>
      <c r="AZ112" s="210">
        <v>1231.53</v>
      </c>
      <c r="BA112" s="210">
        <v>2772.12</v>
      </c>
      <c r="BB112" s="210">
        <v>0</v>
      </c>
      <c r="BC112" s="210">
        <v>0</v>
      </c>
      <c r="BD112" s="210">
        <v>8221.0600000000013</v>
      </c>
      <c r="BE112" s="210">
        <v>0</v>
      </c>
      <c r="BF112" s="210">
        <v>3721.88</v>
      </c>
      <c r="BG112" s="210">
        <v>2986.23</v>
      </c>
      <c r="BH112" s="210">
        <v>0</v>
      </c>
      <c r="BI112" s="210">
        <v>11427.39</v>
      </c>
      <c r="BJ112" s="210">
        <v>0</v>
      </c>
      <c r="BK112" s="210">
        <v>10534.119999999999</v>
      </c>
      <c r="BL112" s="210">
        <v>16966.55</v>
      </c>
      <c r="BM112" s="210">
        <v>0</v>
      </c>
      <c r="BN112" s="210">
        <v>0</v>
      </c>
      <c r="BO112" s="210">
        <v>0</v>
      </c>
      <c r="BP112" s="210">
        <v>0</v>
      </c>
      <c r="BQ112" s="211">
        <v>0</v>
      </c>
      <c r="BR112" s="211">
        <v>0</v>
      </c>
      <c r="BS112" s="211">
        <v>0</v>
      </c>
      <c r="BT112" s="212">
        <v>0</v>
      </c>
      <c r="BU112" s="212">
        <v>0</v>
      </c>
      <c r="BV112" s="212">
        <v>0</v>
      </c>
      <c r="BW112" s="212">
        <v>0</v>
      </c>
      <c r="BX112" s="212">
        <v>0</v>
      </c>
      <c r="BY112" s="212">
        <v>0</v>
      </c>
      <c r="BZ112" s="212">
        <v>0</v>
      </c>
      <c r="CA112" s="212">
        <v>0</v>
      </c>
      <c r="CB112" s="212">
        <v>0</v>
      </c>
      <c r="CC112" s="224">
        <v>-95233.800000000134</v>
      </c>
      <c r="CD112" s="213"/>
      <c r="CE112" s="211">
        <v>83788.729999999952</v>
      </c>
      <c r="CF112" s="211">
        <v>11445.07</v>
      </c>
      <c r="CG112" s="211">
        <v>0</v>
      </c>
      <c r="CH112" s="211">
        <v>0</v>
      </c>
      <c r="CI112" s="211">
        <v>0</v>
      </c>
      <c r="CJ112" s="211">
        <v>0</v>
      </c>
      <c r="CK112" s="211">
        <v>95233.799999999959</v>
      </c>
      <c r="CL112" s="201"/>
      <c r="CM112" s="201">
        <f t="shared" si="25"/>
        <v>-1.7462298274040222E-10</v>
      </c>
      <c r="CN112" s="340">
        <f t="shared" si="26"/>
        <v>83788.729999999952</v>
      </c>
      <c r="CO112" s="340">
        <f t="shared" si="27"/>
        <v>11445.07</v>
      </c>
      <c r="CP112" s="340">
        <f t="shared" si="28"/>
        <v>0</v>
      </c>
      <c r="CQ112" s="340">
        <f t="shared" si="29"/>
        <v>0</v>
      </c>
      <c r="CR112" s="340">
        <f t="shared" si="30"/>
        <v>0</v>
      </c>
      <c r="CS112" s="340">
        <f t="shared" si="31"/>
        <v>0</v>
      </c>
      <c r="CT112" s="90">
        <f t="shared" si="17"/>
        <v>95233.799999999959</v>
      </c>
      <c r="CV112" s="90">
        <f t="shared" si="24"/>
        <v>0</v>
      </c>
    </row>
    <row r="113" spans="1:100">
      <c r="A113" s="325">
        <v>775</v>
      </c>
      <c r="B113" s="325" t="s">
        <v>230</v>
      </c>
      <c r="C113" s="209">
        <v>-118016.06</v>
      </c>
      <c r="D113" s="209">
        <v>-10048.18</v>
      </c>
      <c r="E113" s="209">
        <v>0</v>
      </c>
      <c r="F113" s="209">
        <v>-19954.22</v>
      </c>
      <c r="G113" s="209">
        <v>0</v>
      </c>
      <c r="H113" s="209">
        <v>0</v>
      </c>
      <c r="I113" s="223">
        <v>-672009.6</v>
      </c>
      <c r="J113" s="223">
        <v>0</v>
      </c>
      <c r="K113" s="223">
        <v>-52891</v>
      </c>
      <c r="L113" s="223">
        <v>0</v>
      </c>
      <c r="M113" s="223">
        <v>-30690</v>
      </c>
      <c r="N113" s="223">
        <v>-2800</v>
      </c>
      <c r="O113" s="223">
        <v>0</v>
      </c>
      <c r="P113" s="223">
        <v>0</v>
      </c>
      <c r="Q113" s="223">
        <v>-13195.01</v>
      </c>
      <c r="R113" s="223">
        <v>-8115.4300000000021</v>
      </c>
      <c r="S113" s="223">
        <v>0</v>
      </c>
      <c r="T113" s="223">
        <v>0</v>
      </c>
      <c r="U113" s="223">
        <v>-13675.539999999997</v>
      </c>
      <c r="V113" s="223">
        <v>0</v>
      </c>
      <c r="W113" s="223">
        <v>0</v>
      </c>
      <c r="X113" s="223">
        <v>0</v>
      </c>
      <c r="Y113" s="223">
        <v>0</v>
      </c>
      <c r="Z113" s="223">
        <v>0</v>
      </c>
      <c r="AA113" s="223">
        <v>0</v>
      </c>
      <c r="AB113" s="223">
        <v>-291.88000000000011</v>
      </c>
      <c r="AC113" s="223">
        <v>-31539</v>
      </c>
      <c r="AD113" s="210">
        <v>394526.06000000006</v>
      </c>
      <c r="AE113" s="210">
        <v>6748.3</v>
      </c>
      <c r="AF113" s="210">
        <v>170225.94</v>
      </c>
      <c r="AG113" s="210">
        <v>20041.589999999997</v>
      </c>
      <c r="AH113" s="210">
        <v>34388.82</v>
      </c>
      <c r="AI113" s="210">
        <v>0</v>
      </c>
      <c r="AJ113" s="210">
        <v>21910.080000000002</v>
      </c>
      <c r="AK113" s="210">
        <v>2351</v>
      </c>
      <c r="AL113" s="210">
        <v>3917.5</v>
      </c>
      <c r="AM113" s="210">
        <v>1148.55</v>
      </c>
      <c r="AN113" s="210">
        <v>0</v>
      </c>
      <c r="AO113" s="210">
        <v>3097.34</v>
      </c>
      <c r="AP113" s="210">
        <v>3652.4700000000003</v>
      </c>
      <c r="AQ113" s="210">
        <v>915.1400000000001</v>
      </c>
      <c r="AR113" s="210">
        <v>3396.73</v>
      </c>
      <c r="AS113" s="210">
        <v>18744.539999999997</v>
      </c>
      <c r="AT113" s="210">
        <v>12836.91</v>
      </c>
      <c r="AU113" s="210">
        <v>2437.1799999999998</v>
      </c>
      <c r="AV113" s="210">
        <v>39953.990000000005</v>
      </c>
      <c r="AW113" s="312">
        <v>2800</v>
      </c>
      <c r="AX113" s="210">
        <v>353.4</v>
      </c>
      <c r="AY113" s="210">
        <v>0</v>
      </c>
      <c r="AZ113" s="210">
        <v>197.1</v>
      </c>
      <c r="BA113" s="210">
        <v>0</v>
      </c>
      <c r="BB113" s="210">
        <v>621.5</v>
      </c>
      <c r="BC113" s="210">
        <v>0</v>
      </c>
      <c r="BD113" s="210">
        <v>2442</v>
      </c>
      <c r="BE113" s="210">
        <v>0</v>
      </c>
      <c r="BF113" s="210">
        <v>6440.03</v>
      </c>
      <c r="BG113" s="210">
        <v>5815.29</v>
      </c>
      <c r="BH113" s="210">
        <v>0</v>
      </c>
      <c r="BI113" s="210">
        <v>23465.89</v>
      </c>
      <c r="BJ113" s="210">
        <v>16773.5</v>
      </c>
      <c r="BK113" s="210">
        <v>734</v>
      </c>
      <c r="BL113" s="210">
        <v>17816.72</v>
      </c>
      <c r="BM113" s="210">
        <v>0</v>
      </c>
      <c r="BN113" s="210">
        <v>0</v>
      </c>
      <c r="BO113" s="210">
        <v>0</v>
      </c>
      <c r="BP113" s="210">
        <v>0</v>
      </c>
      <c r="BQ113" s="211">
        <v>-5282.5</v>
      </c>
      <c r="BR113" s="211">
        <v>0</v>
      </c>
      <c r="BS113" s="211">
        <v>0</v>
      </c>
      <c r="BT113" s="212">
        <v>0</v>
      </c>
      <c r="BU113" s="212">
        <v>-5321.5</v>
      </c>
      <c r="BV113" s="212">
        <v>0</v>
      </c>
      <c r="BW113" s="212">
        <v>-15850.52</v>
      </c>
      <c r="BX113" s="212">
        <v>0</v>
      </c>
      <c r="BY113" s="212">
        <v>0</v>
      </c>
      <c r="BZ113" s="212">
        <v>16980.52</v>
      </c>
      <c r="CA113" s="212">
        <v>0</v>
      </c>
      <c r="CB113" s="212">
        <v>0</v>
      </c>
      <c r="CC113" s="224">
        <v>-164948.34999999995</v>
      </c>
      <c r="CD113" s="213"/>
      <c r="CE113" s="211">
        <v>119525.83999999989</v>
      </c>
      <c r="CF113" s="211">
        <v>15994.289999999999</v>
      </c>
      <c r="CG113" s="211">
        <v>0</v>
      </c>
      <c r="CH113" s="211">
        <v>29428.22</v>
      </c>
      <c r="CI113" s="211">
        <v>0</v>
      </c>
      <c r="CJ113" s="211">
        <v>0</v>
      </c>
      <c r="CK113" s="211">
        <v>164948.34999999989</v>
      </c>
      <c r="CL113" s="201"/>
      <c r="CM113" s="201">
        <f t="shared" si="25"/>
        <v>0</v>
      </c>
      <c r="CN113" s="340">
        <f t="shared" si="26"/>
        <v>119525.83999999989</v>
      </c>
      <c r="CO113" s="340">
        <f t="shared" si="27"/>
        <v>15994.289999999999</v>
      </c>
      <c r="CP113" s="340">
        <f t="shared" si="28"/>
        <v>0</v>
      </c>
      <c r="CQ113" s="340">
        <f t="shared" si="29"/>
        <v>29428.22</v>
      </c>
      <c r="CR113" s="340">
        <f t="shared" si="30"/>
        <v>0</v>
      </c>
      <c r="CS113" s="340">
        <f t="shared" si="31"/>
        <v>0</v>
      </c>
      <c r="CT113" s="90">
        <f t="shared" ref="CT113:CT176" si="32">SUM(CN113:CS113)</f>
        <v>164948.34999999989</v>
      </c>
      <c r="CV113" s="90">
        <f t="shared" si="24"/>
        <v>0</v>
      </c>
    </row>
    <row r="114" spans="1:100">
      <c r="A114" s="325">
        <v>776</v>
      </c>
      <c r="B114" s="325" t="s">
        <v>405</v>
      </c>
      <c r="C114" s="209">
        <v>-17624.72</v>
      </c>
      <c r="D114" s="209">
        <v>-5491.2</v>
      </c>
      <c r="E114" s="209">
        <v>0</v>
      </c>
      <c r="F114" s="209">
        <v>-9770.32</v>
      </c>
      <c r="G114" s="209">
        <v>0</v>
      </c>
      <c r="H114" s="209">
        <v>0</v>
      </c>
      <c r="I114" s="223">
        <v>-490562.36</v>
      </c>
      <c r="J114" s="223">
        <v>0</v>
      </c>
      <c r="K114" s="223">
        <v>-30693</v>
      </c>
      <c r="L114" s="223">
        <v>0</v>
      </c>
      <c r="M114" s="223">
        <v>-4440</v>
      </c>
      <c r="N114" s="223">
        <v>-3200</v>
      </c>
      <c r="O114" s="223">
        <v>0</v>
      </c>
      <c r="P114" s="223">
        <v>0</v>
      </c>
      <c r="Q114" s="223">
        <v>-4150.6000000000004</v>
      </c>
      <c r="R114" s="223">
        <v>-47.64</v>
      </c>
      <c r="S114" s="223">
        <v>0</v>
      </c>
      <c r="T114" s="223">
        <v>0</v>
      </c>
      <c r="U114" s="223">
        <v>-13403.849999999999</v>
      </c>
      <c r="V114" s="223">
        <v>-6028.76</v>
      </c>
      <c r="W114" s="223">
        <v>0</v>
      </c>
      <c r="X114" s="223">
        <v>-30618.780000000002</v>
      </c>
      <c r="Y114" s="223">
        <v>-6084.9800000000005</v>
      </c>
      <c r="Z114" s="223">
        <v>0</v>
      </c>
      <c r="AA114" s="223">
        <v>0</v>
      </c>
      <c r="AB114" s="223">
        <v>-556.25</v>
      </c>
      <c r="AC114" s="223">
        <v>-30863</v>
      </c>
      <c r="AD114" s="210">
        <v>344908.95</v>
      </c>
      <c r="AE114" s="210">
        <v>11729.930000000002</v>
      </c>
      <c r="AF114" s="210">
        <v>82286.78</v>
      </c>
      <c r="AG114" s="210">
        <v>0</v>
      </c>
      <c r="AH114" s="210">
        <v>40891.329999999994</v>
      </c>
      <c r="AI114" s="210">
        <v>0</v>
      </c>
      <c r="AJ114" s="210">
        <v>4933.0399999999991</v>
      </c>
      <c r="AK114" s="210">
        <v>1768</v>
      </c>
      <c r="AL114" s="210">
        <v>1812.96</v>
      </c>
      <c r="AM114" s="210">
        <v>6172.32</v>
      </c>
      <c r="AN114" s="210">
        <v>0</v>
      </c>
      <c r="AO114" s="210">
        <v>4956.99</v>
      </c>
      <c r="AP114" s="210">
        <v>0</v>
      </c>
      <c r="AQ114" s="210">
        <v>8383.9400000000023</v>
      </c>
      <c r="AR114" s="210">
        <v>456.21000000000004</v>
      </c>
      <c r="AS114" s="210">
        <v>9033.5799999999981</v>
      </c>
      <c r="AT114" s="210">
        <v>3149.91</v>
      </c>
      <c r="AU114" s="210">
        <v>1933.9399999999996</v>
      </c>
      <c r="AV114" s="210">
        <v>30703.809999999998</v>
      </c>
      <c r="AW114" s="312">
        <v>0</v>
      </c>
      <c r="AX114" s="210">
        <v>2330.59</v>
      </c>
      <c r="AY114" s="210">
        <v>0</v>
      </c>
      <c r="AZ114" s="210">
        <v>2169.1</v>
      </c>
      <c r="BA114" s="210">
        <v>180</v>
      </c>
      <c r="BB114" s="210">
        <v>0</v>
      </c>
      <c r="BC114" s="210">
        <v>0</v>
      </c>
      <c r="BD114" s="210">
        <v>715</v>
      </c>
      <c r="BE114" s="210">
        <v>0</v>
      </c>
      <c r="BF114" s="210">
        <v>1968.81</v>
      </c>
      <c r="BG114" s="210">
        <v>3667.3</v>
      </c>
      <c r="BH114" s="210">
        <v>0</v>
      </c>
      <c r="BI114" s="210">
        <v>20124.22</v>
      </c>
      <c r="BJ114" s="210">
        <v>0</v>
      </c>
      <c r="BK114" s="210">
        <v>25373.670000000002</v>
      </c>
      <c r="BL114" s="210">
        <v>13743.95</v>
      </c>
      <c r="BM114" s="210">
        <v>0</v>
      </c>
      <c r="BN114" s="210">
        <v>0</v>
      </c>
      <c r="BO114" s="210">
        <v>0</v>
      </c>
      <c r="BP114" s="210">
        <v>0</v>
      </c>
      <c r="BQ114" s="211">
        <v>-4798.75</v>
      </c>
      <c r="BR114" s="211">
        <v>0</v>
      </c>
      <c r="BS114" s="211">
        <v>0</v>
      </c>
      <c r="BT114" s="212">
        <v>0</v>
      </c>
      <c r="BU114" s="212">
        <v>1602.25</v>
      </c>
      <c r="BV114" s="212">
        <v>0</v>
      </c>
      <c r="BW114" s="212">
        <v>0</v>
      </c>
      <c r="BX114" s="212">
        <v>0</v>
      </c>
      <c r="BY114" s="212">
        <v>0</v>
      </c>
      <c r="BZ114" s="212">
        <v>0</v>
      </c>
      <c r="CA114" s="212">
        <v>0</v>
      </c>
      <c r="CB114" s="212">
        <v>0</v>
      </c>
      <c r="CC114" s="224">
        <v>-33337.62999999999</v>
      </c>
      <c r="CD114" s="213"/>
      <c r="CE114" s="211">
        <v>11047.510000000017</v>
      </c>
      <c r="CF114" s="211">
        <v>9323.2999999999993</v>
      </c>
      <c r="CG114" s="211">
        <v>0</v>
      </c>
      <c r="CH114" s="211">
        <v>12966.82</v>
      </c>
      <c r="CI114" s="211">
        <v>0</v>
      </c>
      <c r="CJ114" s="211">
        <v>0</v>
      </c>
      <c r="CK114" s="211">
        <v>33337.630000000019</v>
      </c>
      <c r="CL114" s="201"/>
      <c r="CM114" s="201">
        <f t="shared" si="25"/>
        <v>0</v>
      </c>
      <c r="CN114" s="340">
        <f t="shared" si="26"/>
        <v>11047.510000000017</v>
      </c>
      <c r="CO114" s="340">
        <f t="shared" si="27"/>
        <v>9323.2999999999993</v>
      </c>
      <c r="CP114" s="340">
        <f t="shared" si="28"/>
        <v>0</v>
      </c>
      <c r="CQ114" s="340">
        <f t="shared" si="29"/>
        <v>12966.82</v>
      </c>
      <c r="CR114" s="340">
        <f t="shared" si="30"/>
        <v>0</v>
      </c>
      <c r="CS114" s="340">
        <f t="shared" si="31"/>
        <v>0</v>
      </c>
      <c r="CT114" s="90">
        <f t="shared" si="32"/>
        <v>33337.630000000019</v>
      </c>
      <c r="CV114" s="90">
        <f t="shared" si="24"/>
        <v>0</v>
      </c>
    </row>
    <row r="115" spans="1:100">
      <c r="A115" s="325">
        <v>777</v>
      </c>
      <c r="B115" s="325" t="s">
        <v>995</v>
      </c>
      <c r="C115" s="209">
        <v>-6758.54</v>
      </c>
      <c r="D115" s="209">
        <v>-127</v>
      </c>
      <c r="E115" s="209">
        <v>0</v>
      </c>
      <c r="F115" s="209">
        <v>-1371.13</v>
      </c>
      <c r="G115" s="209">
        <v>0</v>
      </c>
      <c r="H115" s="209">
        <v>0</v>
      </c>
      <c r="I115" s="223">
        <v>-378701.06000000006</v>
      </c>
      <c r="J115" s="223">
        <v>0</v>
      </c>
      <c r="K115" s="223">
        <v>-15140</v>
      </c>
      <c r="L115" s="223">
        <v>0</v>
      </c>
      <c r="M115" s="223">
        <v>-5460</v>
      </c>
      <c r="N115" s="223">
        <v>-2400</v>
      </c>
      <c r="O115" s="223">
        <v>0</v>
      </c>
      <c r="P115" s="223">
        <v>0</v>
      </c>
      <c r="Q115" s="223">
        <v>-7239.8599999999988</v>
      </c>
      <c r="R115" s="223">
        <v>-33.860000000000014</v>
      </c>
      <c r="S115" s="223">
        <v>0</v>
      </c>
      <c r="T115" s="223">
        <v>0</v>
      </c>
      <c r="U115" s="223">
        <v>-4627.83</v>
      </c>
      <c r="V115" s="223">
        <v>-2355.81</v>
      </c>
      <c r="W115" s="223">
        <v>0</v>
      </c>
      <c r="X115" s="223">
        <v>0</v>
      </c>
      <c r="Y115" s="223">
        <v>0</v>
      </c>
      <c r="Z115" s="223">
        <v>0</v>
      </c>
      <c r="AA115" s="223">
        <v>0</v>
      </c>
      <c r="AB115" s="223">
        <v>-381.88</v>
      </c>
      <c r="AC115" s="223">
        <v>-26721</v>
      </c>
      <c r="AD115" s="210">
        <v>229953.00999999995</v>
      </c>
      <c r="AE115" s="210">
        <v>0</v>
      </c>
      <c r="AF115" s="210">
        <v>61960.320000000022</v>
      </c>
      <c r="AG115" s="210">
        <v>0</v>
      </c>
      <c r="AH115" s="210">
        <v>20770.439999999999</v>
      </c>
      <c r="AI115" s="210">
        <v>0</v>
      </c>
      <c r="AJ115" s="210">
        <v>9967.7199999999993</v>
      </c>
      <c r="AK115" s="210">
        <v>864.05</v>
      </c>
      <c r="AL115" s="210">
        <v>1753</v>
      </c>
      <c r="AM115" s="210">
        <v>167.75</v>
      </c>
      <c r="AN115" s="210">
        <v>0</v>
      </c>
      <c r="AO115" s="210">
        <v>5672.25</v>
      </c>
      <c r="AP115" s="210">
        <v>2038.19</v>
      </c>
      <c r="AQ115" s="210">
        <v>8323.5</v>
      </c>
      <c r="AR115" s="210">
        <v>3567.93</v>
      </c>
      <c r="AS115" s="210">
        <v>6508.33</v>
      </c>
      <c r="AT115" s="210">
        <v>4348</v>
      </c>
      <c r="AU115" s="210">
        <v>4293.5199999999995</v>
      </c>
      <c r="AV115" s="210">
        <v>15128.169999999998</v>
      </c>
      <c r="AW115" s="312">
        <v>0</v>
      </c>
      <c r="AX115" s="210">
        <v>2430</v>
      </c>
      <c r="AY115" s="210">
        <v>0</v>
      </c>
      <c r="AZ115" s="210">
        <v>0</v>
      </c>
      <c r="BA115" s="210">
        <v>354.55</v>
      </c>
      <c r="BB115" s="210">
        <v>0</v>
      </c>
      <c r="BC115" s="210">
        <v>0</v>
      </c>
      <c r="BD115" s="210">
        <v>802.99</v>
      </c>
      <c r="BE115" s="210">
        <v>0</v>
      </c>
      <c r="BF115" s="210">
        <v>838.04</v>
      </c>
      <c r="BG115" s="210">
        <v>2589.9499999999998</v>
      </c>
      <c r="BH115" s="210">
        <v>0</v>
      </c>
      <c r="BI115" s="210">
        <v>10380.25</v>
      </c>
      <c r="BJ115" s="210">
        <v>2652</v>
      </c>
      <c r="BK115" s="210">
        <v>9853.5</v>
      </c>
      <c r="BL115" s="210">
        <v>15836.130000000003</v>
      </c>
      <c r="BM115" s="210">
        <v>0</v>
      </c>
      <c r="BN115" s="210">
        <v>0</v>
      </c>
      <c r="BO115" s="210">
        <v>0</v>
      </c>
      <c r="BP115" s="210">
        <v>0</v>
      </c>
      <c r="BQ115" s="211">
        <v>-4618.75</v>
      </c>
      <c r="BR115" s="211">
        <v>0</v>
      </c>
      <c r="BS115" s="211">
        <v>0</v>
      </c>
      <c r="BT115" s="212">
        <v>0</v>
      </c>
      <c r="BU115" s="212">
        <v>725</v>
      </c>
      <c r="BV115" s="212">
        <v>0</v>
      </c>
      <c r="BW115" s="212">
        <v>0</v>
      </c>
      <c r="BX115" s="212">
        <v>2150</v>
      </c>
      <c r="BY115" s="212">
        <v>2610</v>
      </c>
      <c r="BZ115" s="212">
        <v>0</v>
      </c>
      <c r="CA115" s="212">
        <v>0</v>
      </c>
      <c r="CB115" s="212">
        <v>0</v>
      </c>
      <c r="CC115" s="224">
        <v>-29398.130000000063</v>
      </c>
      <c r="CD115" s="213"/>
      <c r="CE115" s="211"/>
      <c r="CF115" s="211"/>
      <c r="CG115" s="211"/>
      <c r="CH115" s="211"/>
      <c r="CI115" s="211"/>
      <c r="CJ115" s="211"/>
      <c r="CK115" s="211"/>
      <c r="CL115" s="201"/>
      <c r="CM115" s="201">
        <f t="shared" si="25"/>
        <v>-29398.130000000063</v>
      </c>
      <c r="CN115" s="340">
        <f t="shared" si="26"/>
        <v>0</v>
      </c>
      <c r="CO115" s="340">
        <f t="shared" si="27"/>
        <v>0</v>
      </c>
      <c r="CP115" s="340">
        <f t="shared" si="28"/>
        <v>0</v>
      </c>
      <c r="CQ115" s="340">
        <f t="shared" si="29"/>
        <v>0</v>
      </c>
      <c r="CR115" s="340">
        <f t="shared" si="30"/>
        <v>0</v>
      </c>
      <c r="CS115" s="340">
        <f t="shared" si="31"/>
        <v>0</v>
      </c>
      <c r="CT115" s="90">
        <f t="shared" si="32"/>
        <v>0</v>
      </c>
      <c r="CV115" s="90">
        <f t="shared" si="24"/>
        <v>0</v>
      </c>
    </row>
    <row r="116" spans="1:100">
      <c r="A116" s="325">
        <v>779</v>
      </c>
      <c r="B116" s="328" t="s">
        <v>205</v>
      </c>
      <c r="C116" s="209">
        <v>97347.15</v>
      </c>
      <c r="D116" s="209">
        <v>-6136.47</v>
      </c>
      <c r="E116" s="209">
        <v>0</v>
      </c>
      <c r="F116" s="209">
        <v>-10393.85</v>
      </c>
      <c r="G116" s="209">
        <v>0</v>
      </c>
      <c r="H116" s="209">
        <v>0</v>
      </c>
      <c r="I116" s="223">
        <v>-1100162.73</v>
      </c>
      <c r="J116" s="223">
        <v>0</v>
      </c>
      <c r="K116" s="223">
        <v>-63458</v>
      </c>
      <c r="L116" s="223">
        <v>0</v>
      </c>
      <c r="M116" s="223">
        <v>-70230.5</v>
      </c>
      <c r="N116" s="223">
        <v>0</v>
      </c>
      <c r="O116" s="223">
        <v>-13587.560000000001</v>
      </c>
      <c r="P116" s="223">
        <v>-1836</v>
      </c>
      <c r="Q116" s="223">
        <v>-39241.820000000007</v>
      </c>
      <c r="R116" s="223">
        <v>-2557.84</v>
      </c>
      <c r="S116" s="223">
        <v>0</v>
      </c>
      <c r="T116" s="223">
        <v>-6600</v>
      </c>
      <c r="U116" s="223">
        <v>-14629.609999999993</v>
      </c>
      <c r="V116" s="223">
        <v>-4653.0299999999988</v>
      </c>
      <c r="W116" s="223">
        <v>0</v>
      </c>
      <c r="X116" s="223">
        <v>0</v>
      </c>
      <c r="Y116" s="223">
        <v>0</v>
      </c>
      <c r="Z116" s="223">
        <v>0</v>
      </c>
      <c r="AA116" s="223">
        <v>0</v>
      </c>
      <c r="AB116" s="223">
        <v>-59.380000000000109</v>
      </c>
      <c r="AC116" s="223">
        <v>-49632</v>
      </c>
      <c r="AD116" s="210">
        <v>684717.2</v>
      </c>
      <c r="AE116" s="210">
        <v>21991.699999999997</v>
      </c>
      <c r="AF116" s="210">
        <v>244216.66</v>
      </c>
      <c r="AG116" s="210">
        <v>24035.78</v>
      </c>
      <c r="AH116" s="210">
        <v>50016.2</v>
      </c>
      <c r="AI116" s="210">
        <v>0</v>
      </c>
      <c r="AJ116" s="210">
        <v>59018.680000000008</v>
      </c>
      <c r="AK116" s="210">
        <v>4856.1899999999996</v>
      </c>
      <c r="AL116" s="210">
        <v>4836.54</v>
      </c>
      <c r="AM116" s="210">
        <v>6650.53</v>
      </c>
      <c r="AN116" s="210">
        <v>3886.5599999999995</v>
      </c>
      <c r="AO116" s="210">
        <v>7714.4399999999987</v>
      </c>
      <c r="AP116" s="210">
        <v>10089.469999999998</v>
      </c>
      <c r="AQ116" s="210">
        <v>3277.7599999999993</v>
      </c>
      <c r="AR116" s="210">
        <v>7114.45</v>
      </c>
      <c r="AS116" s="210">
        <v>21163.21</v>
      </c>
      <c r="AT116" s="210">
        <v>29296.959999999999</v>
      </c>
      <c r="AU116" s="210">
        <v>4284.3999999999996</v>
      </c>
      <c r="AV116" s="210">
        <v>44243.59</v>
      </c>
      <c r="AW116" s="312">
        <v>2.8421709430404007E-13</v>
      </c>
      <c r="AX116" s="210">
        <v>2483.25</v>
      </c>
      <c r="AY116" s="210">
        <v>0</v>
      </c>
      <c r="AZ116" s="210">
        <v>2045.1</v>
      </c>
      <c r="BA116" s="210">
        <v>2866.32</v>
      </c>
      <c r="BB116" s="210">
        <v>18.359999999999673</v>
      </c>
      <c r="BC116" s="210">
        <v>42.44</v>
      </c>
      <c r="BD116" s="210">
        <v>884.22</v>
      </c>
      <c r="BE116" s="210">
        <v>0</v>
      </c>
      <c r="BF116" s="210">
        <v>2966.0200000000004</v>
      </c>
      <c r="BG116" s="210">
        <v>10687.56</v>
      </c>
      <c r="BH116" s="210">
        <v>0</v>
      </c>
      <c r="BI116" s="210">
        <v>42783.649999999994</v>
      </c>
      <c r="BJ116" s="210">
        <v>7555</v>
      </c>
      <c r="BK116" s="210">
        <v>6996</v>
      </c>
      <c r="BL116" s="210">
        <v>43702.11</v>
      </c>
      <c r="BM116" s="210">
        <v>0</v>
      </c>
      <c r="BN116" s="210">
        <v>0</v>
      </c>
      <c r="BO116" s="210">
        <v>0</v>
      </c>
      <c r="BP116" s="210">
        <v>0</v>
      </c>
      <c r="BQ116" s="211">
        <v>-6216.25</v>
      </c>
      <c r="BR116" s="211">
        <v>0</v>
      </c>
      <c r="BS116" s="211">
        <v>0</v>
      </c>
      <c r="BT116" s="212">
        <v>0</v>
      </c>
      <c r="BU116" s="212">
        <v>11827.79</v>
      </c>
      <c r="BV116" s="212">
        <v>0</v>
      </c>
      <c r="BW116" s="212">
        <v>0</v>
      </c>
      <c r="BX116" s="212">
        <v>0</v>
      </c>
      <c r="BY116" s="212">
        <v>0</v>
      </c>
      <c r="BZ116" s="212">
        <v>0</v>
      </c>
      <c r="CA116" s="212">
        <v>4529.29</v>
      </c>
      <c r="CB116" s="212">
        <v>0</v>
      </c>
      <c r="CC116" s="224">
        <v>78749.539999999848</v>
      </c>
      <c r="CD116" s="213"/>
      <c r="CE116" s="211">
        <v>-83901.929999999877</v>
      </c>
      <c r="CF116" s="211">
        <v>4899.37</v>
      </c>
      <c r="CG116" s="211">
        <v>0</v>
      </c>
      <c r="CH116" s="211">
        <v>253.01999999999862</v>
      </c>
      <c r="CI116" s="211">
        <v>0</v>
      </c>
      <c r="CJ116" s="211">
        <v>0</v>
      </c>
      <c r="CK116" s="211">
        <v>-78749.539999999877</v>
      </c>
      <c r="CL116" s="201"/>
      <c r="CM116" s="201">
        <f t="shared" si="25"/>
        <v>0</v>
      </c>
      <c r="CN116" s="340">
        <f t="shared" si="26"/>
        <v>-83901.929999999877</v>
      </c>
      <c r="CO116" s="340">
        <f t="shared" si="27"/>
        <v>4899.37</v>
      </c>
      <c r="CP116" s="340">
        <f t="shared" si="28"/>
        <v>0</v>
      </c>
      <c r="CQ116" s="340">
        <f t="shared" si="29"/>
        <v>253.01999999999862</v>
      </c>
      <c r="CR116" s="340">
        <f t="shared" si="30"/>
        <v>0</v>
      </c>
      <c r="CS116" s="340">
        <f t="shared" si="31"/>
        <v>0</v>
      </c>
      <c r="CT116" s="90">
        <f t="shared" si="32"/>
        <v>-78749.539999999877</v>
      </c>
      <c r="CV116" s="90">
        <f t="shared" si="24"/>
        <v>0</v>
      </c>
    </row>
    <row r="117" spans="1:100">
      <c r="A117" s="325">
        <v>781</v>
      </c>
      <c r="B117" s="325" t="s">
        <v>247</v>
      </c>
      <c r="C117" s="209">
        <v>-164669.1</v>
      </c>
      <c r="D117" s="209">
        <v>-4807.87</v>
      </c>
      <c r="E117" s="209">
        <v>0</v>
      </c>
      <c r="F117" s="209">
        <v>0</v>
      </c>
      <c r="G117" s="209">
        <v>0</v>
      </c>
      <c r="H117" s="209">
        <v>0</v>
      </c>
      <c r="I117" s="223">
        <v>-1037494.9299999999</v>
      </c>
      <c r="J117" s="223">
        <v>0</v>
      </c>
      <c r="K117" s="223">
        <v>-222580</v>
      </c>
      <c r="L117" s="223">
        <v>0</v>
      </c>
      <c r="M117" s="223">
        <v>-35070</v>
      </c>
      <c r="N117" s="223">
        <v>-856.93</v>
      </c>
      <c r="O117" s="223">
        <v>-4852.6000000000004</v>
      </c>
      <c r="P117" s="223">
        <v>-1278</v>
      </c>
      <c r="Q117" s="223">
        <v>-36307.99</v>
      </c>
      <c r="R117" s="223">
        <v>0</v>
      </c>
      <c r="S117" s="223">
        <v>-3600</v>
      </c>
      <c r="T117" s="223">
        <v>-2480.88</v>
      </c>
      <c r="U117" s="223">
        <v>-24062.449999999997</v>
      </c>
      <c r="V117" s="223">
        <v>-19802.59</v>
      </c>
      <c r="W117" s="223">
        <v>0</v>
      </c>
      <c r="X117" s="223">
        <v>0</v>
      </c>
      <c r="Y117" s="223">
        <v>0</v>
      </c>
      <c r="Z117" s="223">
        <v>0</v>
      </c>
      <c r="AA117" s="223">
        <v>0</v>
      </c>
      <c r="AB117" s="223">
        <v>-398.05999999999995</v>
      </c>
      <c r="AC117" s="223">
        <v>-42678</v>
      </c>
      <c r="AD117" s="210">
        <v>597904.34</v>
      </c>
      <c r="AE117" s="210">
        <v>20162.109999999997</v>
      </c>
      <c r="AF117" s="210">
        <v>351341.97000000003</v>
      </c>
      <c r="AG117" s="210">
        <v>0</v>
      </c>
      <c r="AH117" s="210">
        <v>56023.939999999995</v>
      </c>
      <c r="AI117" s="210">
        <v>0</v>
      </c>
      <c r="AJ117" s="210">
        <v>51939.950000000004</v>
      </c>
      <c r="AK117" s="210">
        <v>4661.7699999999995</v>
      </c>
      <c r="AL117" s="210">
        <v>7621</v>
      </c>
      <c r="AM117" s="210">
        <v>7573.17</v>
      </c>
      <c r="AN117" s="210">
        <v>3521.9</v>
      </c>
      <c r="AO117" s="210">
        <v>22514.5</v>
      </c>
      <c r="AP117" s="210">
        <v>7271.9499999999971</v>
      </c>
      <c r="AQ117" s="210">
        <v>45099.299999999996</v>
      </c>
      <c r="AR117" s="210">
        <v>5527.3799999999992</v>
      </c>
      <c r="AS117" s="210">
        <v>22352.959999999999</v>
      </c>
      <c r="AT117" s="210">
        <v>25815.25</v>
      </c>
      <c r="AU117" s="210">
        <v>3637.15</v>
      </c>
      <c r="AV117" s="210">
        <v>73580.009999999995</v>
      </c>
      <c r="AW117" s="312">
        <v>120</v>
      </c>
      <c r="AX117" s="210">
        <v>2355.63</v>
      </c>
      <c r="AY117" s="210">
        <v>0</v>
      </c>
      <c r="AZ117" s="210">
        <v>1004.6</v>
      </c>
      <c r="BA117" s="210">
        <v>5466.51</v>
      </c>
      <c r="BB117" s="210">
        <v>912.22</v>
      </c>
      <c r="BC117" s="210">
        <v>3491.43</v>
      </c>
      <c r="BD117" s="210">
        <v>2625</v>
      </c>
      <c r="BE117" s="210">
        <v>0</v>
      </c>
      <c r="BF117" s="210">
        <v>8278.44</v>
      </c>
      <c r="BG117" s="210">
        <v>9220.64</v>
      </c>
      <c r="BH117" s="210">
        <v>0</v>
      </c>
      <c r="BI117" s="210">
        <v>30743.609999999997</v>
      </c>
      <c r="BJ117" s="210">
        <v>9323.7000000000007</v>
      </c>
      <c r="BK117" s="210">
        <v>13462.33</v>
      </c>
      <c r="BL117" s="210">
        <v>47088.37</v>
      </c>
      <c r="BM117" s="210">
        <v>0</v>
      </c>
      <c r="BN117" s="210">
        <v>0</v>
      </c>
      <c r="BO117" s="210">
        <v>0</v>
      </c>
      <c r="BP117" s="210">
        <v>0</v>
      </c>
      <c r="BQ117" s="211">
        <v>-6092.5</v>
      </c>
      <c r="BR117" s="211">
        <v>0</v>
      </c>
      <c r="BS117" s="211">
        <v>0</v>
      </c>
      <c r="BT117" s="212">
        <v>0</v>
      </c>
      <c r="BU117" s="212">
        <v>5186.82</v>
      </c>
      <c r="BV117" s="212">
        <v>0</v>
      </c>
      <c r="BW117" s="212">
        <v>0</v>
      </c>
      <c r="BX117" s="212">
        <v>0</v>
      </c>
      <c r="BY117" s="212">
        <v>0</v>
      </c>
      <c r="BZ117" s="212">
        <v>0</v>
      </c>
      <c r="CA117" s="212">
        <v>0</v>
      </c>
      <c r="CB117" s="212">
        <v>1500</v>
      </c>
      <c r="CC117" s="224">
        <v>-159703.94999999998</v>
      </c>
      <c r="CD117" s="213"/>
      <c r="CE117" s="211">
        <v>159555.44999999998</v>
      </c>
      <c r="CF117" s="211">
        <v>47</v>
      </c>
      <c r="CG117" s="211">
        <v>0</v>
      </c>
      <c r="CH117" s="211">
        <v>101.5</v>
      </c>
      <c r="CI117" s="211">
        <v>0</v>
      </c>
      <c r="CJ117" s="211">
        <v>0</v>
      </c>
      <c r="CK117" s="211">
        <v>159703.94999999998</v>
      </c>
      <c r="CL117" s="201"/>
      <c r="CM117" s="201">
        <f t="shared" si="25"/>
        <v>0</v>
      </c>
      <c r="CN117" s="340">
        <f t="shared" si="26"/>
        <v>159555.44999999998</v>
      </c>
      <c r="CO117" s="340">
        <f t="shared" si="27"/>
        <v>47</v>
      </c>
      <c r="CP117" s="340">
        <f t="shared" si="28"/>
        <v>0</v>
      </c>
      <c r="CQ117" s="340">
        <f t="shared" si="29"/>
        <v>101.5</v>
      </c>
      <c r="CR117" s="340">
        <f t="shared" si="30"/>
        <v>0</v>
      </c>
      <c r="CS117" s="340">
        <f t="shared" si="31"/>
        <v>0</v>
      </c>
      <c r="CT117" s="90">
        <f t="shared" si="32"/>
        <v>159703.94999999998</v>
      </c>
      <c r="CV117" s="90">
        <f t="shared" si="24"/>
        <v>0</v>
      </c>
    </row>
    <row r="118" spans="1:100">
      <c r="A118" s="325">
        <v>782</v>
      </c>
      <c r="B118" s="325" t="s">
        <v>283</v>
      </c>
      <c r="C118" s="209">
        <v>-66655.75</v>
      </c>
      <c r="D118" s="209">
        <v>-6238.42</v>
      </c>
      <c r="E118" s="209">
        <v>0</v>
      </c>
      <c r="F118" s="209">
        <v>-19834.07</v>
      </c>
      <c r="G118" s="209">
        <v>0</v>
      </c>
      <c r="H118" s="209">
        <v>-15707.8</v>
      </c>
      <c r="I118" s="223">
        <v>-751639.24</v>
      </c>
      <c r="J118" s="223">
        <v>0</v>
      </c>
      <c r="K118" s="223">
        <v>-95227</v>
      </c>
      <c r="L118" s="223">
        <v>0</v>
      </c>
      <c r="M118" s="223">
        <v>-51670</v>
      </c>
      <c r="N118" s="223">
        <v>-46124</v>
      </c>
      <c r="O118" s="223">
        <v>-18550</v>
      </c>
      <c r="P118" s="223">
        <v>0</v>
      </c>
      <c r="Q118" s="223">
        <v>-30604.400000000001</v>
      </c>
      <c r="R118" s="223">
        <v>-8805.4000000000015</v>
      </c>
      <c r="S118" s="223">
        <v>0</v>
      </c>
      <c r="T118" s="223">
        <v>0</v>
      </c>
      <c r="U118" s="223">
        <v>-7502.6599999999971</v>
      </c>
      <c r="V118" s="223">
        <v>-8918.4599999999991</v>
      </c>
      <c r="W118" s="223">
        <v>0</v>
      </c>
      <c r="X118" s="223">
        <v>-89161.55</v>
      </c>
      <c r="Y118" s="223">
        <v>-6474.369999999999</v>
      </c>
      <c r="Z118" s="223">
        <v>0</v>
      </c>
      <c r="AA118" s="223">
        <v>0</v>
      </c>
      <c r="AB118" s="223">
        <v>-2051.88</v>
      </c>
      <c r="AC118" s="223">
        <v>-38242</v>
      </c>
      <c r="AD118" s="210">
        <v>449343.29000000004</v>
      </c>
      <c r="AE118" s="210">
        <v>9519.74</v>
      </c>
      <c r="AF118" s="210">
        <v>220914.86000000002</v>
      </c>
      <c r="AG118" s="210">
        <v>16300.58</v>
      </c>
      <c r="AH118" s="210">
        <v>51471.630000000005</v>
      </c>
      <c r="AI118" s="210">
        <v>7393.9400000000005</v>
      </c>
      <c r="AJ118" s="210">
        <v>51023.07</v>
      </c>
      <c r="AK118" s="210">
        <v>3687.3</v>
      </c>
      <c r="AL118" s="210">
        <v>4144</v>
      </c>
      <c r="AM118" s="210">
        <v>896.5</v>
      </c>
      <c r="AN118" s="210">
        <v>0</v>
      </c>
      <c r="AO118" s="210">
        <v>9990.4500000000007</v>
      </c>
      <c r="AP118" s="210">
        <v>3738.6000000000004</v>
      </c>
      <c r="AQ118" s="210">
        <v>3605.0199999999995</v>
      </c>
      <c r="AR118" s="210">
        <v>183.16</v>
      </c>
      <c r="AS118" s="210">
        <v>11986.400000000001</v>
      </c>
      <c r="AT118" s="210">
        <v>11250.81</v>
      </c>
      <c r="AU118" s="210">
        <v>4315.09</v>
      </c>
      <c r="AV118" s="210">
        <v>35438.959999999999</v>
      </c>
      <c r="AW118" s="312">
        <v>0</v>
      </c>
      <c r="AX118" s="210">
        <v>0</v>
      </c>
      <c r="AY118" s="210">
        <v>0</v>
      </c>
      <c r="AZ118" s="210">
        <v>1355.4</v>
      </c>
      <c r="BA118" s="210">
        <v>0</v>
      </c>
      <c r="BB118" s="210">
        <v>0</v>
      </c>
      <c r="BC118" s="210">
        <v>87.89</v>
      </c>
      <c r="BD118" s="210">
        <v>4595.5</v>
      </c>
      <c r="BE118" s="210">
        <v>0</v>
      </c>
      <c r="BF118" s="210">
        <v>1319.54</v>
      </c>
      <c r="BG118" s="210">
        <v>6810.7</v>
      </c>
      <c r="BH118" s="210">
        <v>0</v>
      </c>
      <c r="BI118" s="210">
        <v>37521.599999999999</v>
      </c>
      <c r="BJ118" s="210">
        <v>0</v>
      </c>
      <c r="BK118" s="210">
        <v>23941.96</v>
      </c>
      <c r="BL118" s="210">
        <v>16989.440000000002</v>
      </c>
      <c r="BM118" s="210">
        <v>0</v>
      </c>
      <c r="BN118" s="210">
        <v>0</v>
      </c>
      <c r="BO118" s="210">
        <v>70637.259999999995</v>
      </c>
      <c r="BP118" s="210">
        <v>1238.3600000000001</v>
      </c>
      <c r="BQ118" s="211">
        <v>-11421.75</v>
      </c>
      <c r="BR118" s="211">
        <v>0</v>
      </c>
      <c r="BS118" s="211">
        <v>0</v>
      </c>
      <c r="BT118" s="212">
        <v>0</v>
      </c>
      <c r="BU118" s="212">
        <v>6672.66</v>
      </c>
      <c r="BV118" s="212">
        <v>0</v>
      </c>
      <c r="BW118" s="212">
        <v>0</v>
      </c>
      <c r="BX118" s="212">
        <v>0</v>
      </c>
      <c r="BY118" s="212">
        <v>0</v>
      </c>
      <c r="BZ118" s="212">
        <v>0</v>
      </c>
      <c r="CA118" s="212">
        <v>2475</v>
      </c>
      <c r="CB118" s="212">
        <v>0</v>
      </c>
      <c r="CC118" s="224">
        <v>-205980.03999999972</v>
      </c>
      <c r="CD118" s="213"/>
      <c r="CE118" s="211">
        <v>157384.17999999964</v>
      </c>
      <c r="CF118" s="211">
        <v>8887.8300000000017</v>
      </c>
      <c r="CG118" s="211">
        <v>0</v>
      </c>
      <c r="CH118" s="211">
        <v>16160.16</v>
      </c>
      <c r="CI118" s="211">
        <v>0</v>
      </c>
      <c r="CJ118" s="211">
        <v>23547.87000000001</v>
      </c>
      <c r="CK118" s="211">
        <v>205980.03999999969</v>
      </c>
      <c r="CL118" s="201"/>
      <c r="CM118" s="201">
        <f t="shared" si="25"/>
        <v>0</v>
      </c>
      <c r="CN118" s="340">
        <f t="shared" si="26"/>
        <v>157384.17999999964</v>
      </c>
      <c r="CO118" s="340">
        <f t="shared" si="27"/>
        <v>8887.8300000000017</v>
      </c>
      <c r="CP118" s="340">
        <f t="shared" si="28"/>
        <v>0</v>
      </c>
      <c r="CQ118" s="340">
        <f t="shared" si="29"/>
        <v>16160.16</v>
      </c>
      <c r="CR118" s="340">
        <f t="shared" si="30"/>
        <v>0</v>
      </c>
      <c r="CS118" s="340">
        <f t="shared" si="31"/>
        <v>23547.87000000001</v>
      </c>
      <c r="CT118" s="90">
        <f t="shared" si="32"/>
        <v>205980.03999999969</v>
      </c>
      <c r="CV118" s="90">
        <f t="shared" si="24"/>
        <v>0</v>
      </c>
    </row>
    <row r="119" spans="1:100">
      <c r="A119" s="325">
        <v>784</v>
      </c>
      <c r="B119" s="325" t="s">
        <v>228</v>
      </c>
      <c r="C119" s="209">
        <v>-30560.48</v>
      </c>
      <c r="D119" s="209">
        <v>-11975.31</v>
      </c>
      <c r="E119" s="209">
        <v>0</v>
      </c>
      <c r="F119" s="209">
        <v>-20017.21</v>
      </c>
      <c r="G119" s="209">
        <v>0</v>
      </c>
      <c r="H119" s="209">
        <v>0</v>
      </c>
      <c r="I119" s="223">
        <v>-498440.66</v>
      </c>
      <c r="J119" s="223">
        <v>0</v>
      </c>
      <c r="K119" s="223">
        <v>-64651</v>
      </c>
      <c r="L119" s="223">
        <v>0</v>
      </c>
      <c r="M119" s="223">
        <v>-21010</v>
      </c>
      <c r="N119" s="223">
        <v>-2400</v>
      </c>
      <c r="O119" s="223">
        <v>0</v>
      </c>
      <c r="P119" s="223">
        <v>0</v>
      </c>
      <c r="Q119" s="223">
        <v>-6336.84</v>
      </c>
      <c r="R119" s="223">
        <v>0</v>
      </c>
      <c r="S119" s="223">
        <v>0</v>
      </c>
      <c r="T119" s="223">
        <v>0</v>
      </c>
      <c r="U119" s="223">
        <v>-2589.31</v>
      </c>
      <c r="V119" s="223">
        <v>-730</v>
      </c>
      <c r="W119" s="223">
        <v>0</v>
      </c>
      <c r="X119" s="223">
        <v>-14839.039999999999</v>
      </c>
      <c r="Y119" s="223">
        <v>-91.330000000000013</v>
      </c>
      <c r="Z119" s="223">
        <v>0</v>
      </c>
      <c r="AA119" s="223">
        <v>0</v>
      </c>
      <c r="AB119" s="223">
        <v>-106.25</v>
      </c>
      <c r="AC119" s="223">
        <v>-26781</v>
      </c>
      <c r="AD119" s="210">
        <v>252773.79999999996</v>
      </c>
      <c r="AE119" s="210">
        <v>11347.78</v>
      </c>
      <c r="AF119" s="210">
        <v>137913.63</v>
      </c>
      <c r="AG119" s="210">
        <v>19355.63</v>
      </c>
      <c r="AH119" s="210">
        <v>37013.490000000005</v>
      </c>
      <c r="AI119" s="210">
        <v>0</v>
      </c>
      <c r="AJ119" s="210">
        <v>18938.82</v>
      </c>
      <c r="AK119" s="210">
        <v>1601.79</v>
      </c>
      <c r="AL119" s="210">
        <v>3421.93</v>
      </c>
      <c r="AM119" s="210">
        <v>186.05</v>
      </c>
      <c r="AN119" s="210">
        <v>0</v>
      </c>
      <c r="AO119" s="210">
        <v>10058.259999999998</v>
      </c>
      <c r="AP119" s="210">
        <v>2519.2300000000005</v>
      </c>
      <c r="AQ119" s="210">
        <v>0</v>
      </c>
      <c r="AR119" s="210">
        <v>1884.47</v>
      </c>
      <c r="AS119" s="210">
        <v>9449.1399999999976</v>
      </c>
      <c r="AT119" s="210">
        <v>7883.75</v>
      </c>
      <c r="AU119" s="210">
        <v>1292.24</v>
      </c>
      <c r="AV119" s="210">
        <v>32294.18</v>
      </c>
      <c r="AW119" s="312">
        <v>0</v>
      </c>
      <c r="AX119" s="210">
        <v>4952.12</v>
      </c>
      <c r="AY119" s="210">
        <v>0</v>
      </c>
      <c r="AZ119" s="210">
        <v>324</v>
      </c>
      <c r="BA119" s="210">
        <v>0</v>
      </c>
      <c r="BB119" s="210">
        <v>762.98</v>
      </c>
      <c r="BC119" s="210">
        <v>819.49</v>
      </c>
      <c r="BD119" s="210">
        <v>3115</v>
      </c>
      <c r="BE119" s="210">
        <v>0</v>
      </c>
      <c r="BF119" s="210">
        <v>1093.72</v>
      </c>
      <c r="BG119" s="210">
        <v>3195.79</v>
      </c>
      <c r="BH119" s="210">
        <v>0</v>
      </c>
      <c r="BI119" s="210">
        <v>15051.390000000001</v>
      </c>
      <c r="BJ119" s="210">
        <v>4387.71</v>
      </c>
      <c r="BK119" s="210">
        <v>15827.1</v>
      </c>
      <c r="BL119" s="210">
        <v>12104.05</v>
      </c>
      <c r="BM119" s="210">
        <v>0</v>
      </c>
      <c r="BN119" s="210">
        <v>0</v>
      </c>
      <c r="BO119" s="210">
        <v>0</v>
      </c>
      <c r="BP119" s="210">
        <v>23.22</v>
      </c>
      <c r="BQ119" s="211">
        <v>-4720</v>
      </c>
      <c r="BR119" s="211">
        <v>0</v>
      </c>
      <c r="BS119" s="211">
        <v>0</v>
      </c>
      <c r="BT119" s="212">
        <v>0</v>
      </c>
      <c r="BU119" s="212">
        <v>10291</v>
      </c>
      <c r="BV119" s="212">
        <v>0</v>
      </c>
      <c r="BW119" s="212">
        <v>0</v>
      </c>
      <c r="BX119" s="212">
        <v>0</v>
      </c>
      <c r="BY119" s="212">
        <v>0</v>
      </c>
      <c r="BZ119" s="212">
        <v>0</v>
      </c>
      <c r="CA119" s="212">
        <v>0</v>
      </c>
      <c r="CB119" s="212">
        <v>0</v>
      </c>
      <c r="CC119" s="224">
        <v>-85366.669999999969</v>
      </c>
      <c r="CD119" s="213"/>
      <c r="CE119" s="211">
        <v>67010.739999999932</v>
      </c>
      <c r="CF119" s="211">
        <v>2209.14</v>
      </c>
      <c r="CG119" s="211">
        <v>0</v>
      </c>
      <c r="CH119" s="211">
        <v>14446.21</v>
      </c>
      <c r="CI119" s="211">
        <v>0</v>
      </c>
      <c r="CJ119" s="211">
        <v>1700.5799999999981</v>
      </c>
      <c r="CK119" s="211">
        <v>85366.66999999994</v>
      </c>
      <c r="CL119" s="201"/>
      <c r="CM119" s="201">
        <f t="shared" si="25"/>
        <v>0</v>
      </c>
      <c r="CN119" s="340">
        <f t="shared" si="26"/>
        <v>67010.739999999932</v>
      </c>
      <c r="CO119" s="340">
        <f t="shared" si="27"/>
        <v>2209.14</v>
      </c>
      <c r="CP119" s="340">
        <f t="shared" si="28"/>
        <v>0</v>
      </c>
      <c r="CQ119" s="340">
        <f t="shared" si="29"/>
        <v>14446.21</v>
      </c>
      <c r="CR119" s="340">
        <f t="shared" si="30"/>
        <v>0</v>
      </c>
      <c r="CS119" s="340">
        <f t="shared" si="31"/>
        <v>1700.5799999999981</v>
      </c>
      <c r="CT119" s="90">
        <f t="shared" si="32"/>
        <v>85366.66999999994</v>
      </c>
      <c r="CV119" s="90">
        <f t="shared" si="24"/>
        <v>0</v>
      </c>
    </row>
    <row r="120" spans="1:100">
      <c r="A120" s="325">
        <v>786</v>
      </c>
      <c r="B120" s="325" t="s">
        <v>259</v>
      </c>
      <c r="C120" s="209">
        <v>332856.44</v>
      </c>
      <c r="D120" s="209">
        <v>-15602.13</v>
      </c>
      <c r="E120" s="209">
        <v>0</v>
      </c>
      <c r="F120" s="209">
        <v>-698.48</v>
      </c>
      <c r="G120" s="209">
        <v>0</v>
      </c>
      <c r="H120" s="209">
        <v>0</v>
      </c>
      <c r="I120" s="223">
        <v>-1196541.3</v>
      </c>
      <c r="J120" s="223">
        <v>0</v>
      </c>
      <c r="K120" s="223">
        <v>-126558</v>
      </c>
      <c r="L120" s="223">
        <v>0</v>
      </c>
      <c r="M120" s="223">
        <v>-72770</v>
      </c>
      <c r="N120" s="223">
        <v>-571.29</v>
      </c>
      <c r="O120" s="223">
        <v>-415</v>
      </c>
      <c r="P120" s="223">
        <v>0</v>
      </c>
      <c r="Q120" s="223">
        <v>-36248.770000000019</v>
      </c>
      <c r="R120" s="223">
        <v>-1355.0399999999997</v>
      </c>
      <c r="S120" s="223">
        <v>-9200</v>
      </c>
      <c r="T120" s="223">
        <v>0</v>
      </c>
      <c r="U120" s="223">
        <v>-24501.250000000004</v>
      </c>
      <c r="V120" s="223">
        <v>-20688.169999999998</v>
      </c>
      <c r="W120" s="223">
        <v>0</v>
      </c>
      <c r="X120" s="223">
        <v>0</v>
      </c>
      <c r="Y120" s="223">
        <v>0</v>
      </c>
      <c r="Z120" s="223">
        <v>0</v>
      </c>
      <c r="AA120" s="223">
        <v>0</v>
      </c>
      <c r="AB120" s="223">
        <v>-1384.38</v>
      </c>
      <c r="AC120" s="223">
        <v>-45862</v>
      </c>
      <c r="AD120" s="210">
        <v>760078.80999999994</v>
      </c>
      <c r="AE120" s="210">
        <v>19439.169999999998</v>
      </c>
      <c r="AF120" s="210">
        <v>373014.98000000004</v>
      </c>
      <c r="AG120" s="210">
        <v>25625.199999999997</v>
      </c>
      <c r="AH120" s="210">
        <v>86793.409999999989</v>
      </c>
      <c r="AI120" s="210">
        <v>0</v>
      </c>
      <c r="AJ120" s="210">
        <v>85069.89</v>
      </c>
      <c r="AK120" s="210">
        <v>5221.5599999999995</v>
      </c>
      <c r="AL120" s="210">
        <v>5029.5</v>
      </c>
      <c r="AM120" s="210">
        <v>8239.01</v>
      </c>
      <c r="AN120" s="210">
        <v>2066</v>
      </c>
      <c r="AO120" s="210">
        <v>19100.399999999994</v>
      </c>
      <c r="AP120" s="210">
        <v>2510.7199999999998</v>
      </c>
      <c r="AQ120" s="210">
        <v>35564.06</v>
      </c>
      <c r="AR120" s="210">
        <v>2099.83</v>
      </c>
      <c r="AS120" s="210">
        <v>30420.11</v>
      </c>
      <c r="AT120" s="210">
        <v>26965.95</v>
      </c>
      <c r="AU120" s="210">
        <v>4476.4399999999987</v>
      </c>
      <c r="AV120" s="210">
        <v>51132.789999999994</v>
      </c>
      <c r="AW120" s="312">
        <v>0</v>
      </c>
      <c r="AX120" s="210">
        <v>3426.7200000000003</v>
      </c>
      <c r="AY120" s="210">
        <v>0</v>
      </c>
      <c r="AZ120" s="210">
        <v>6665.13</v>
      </c>
      <c r="BA120" s="210">
        <v>4434.92</v>
      </c>
      <c r="BB120" s="210">
        <v>6060</v>
      </c>
      <c r="BC120" s="210">
        <v>51.42</v>
      </c>
      <c r="BD120" s="210">
        <v>3868.94</v>
      </c>
      <c r="BE120" s="210">
        <v>0</v>
      </c>
      <c r="BF120" s="210">
        <v>3166.7500000000005</v>
      </c>
      <c r="BG120" s="210">
        <v>12154.48</v>
      </c>
      <c r="BH120" s="210">
        <v>0</v>
      </c>
      <c r="BI120" s="210">
        <v>39086.35</v>
      </c>
      <c r="BJ120" s="210">
        <v>2195</v>
      </c>
      <c r="BK120" s="210">
        <v>20034</v>
      </c>
      <c r="BL120" s="210">
        <v>42395.66</v>
      </c>
      <c r="BM120" s="210">
        <v>0</v>
      </c>
      <c r="BN120" s="210">
        <v>0</v>
      </c>
      <c r="BO120" s="210">
        <v>0</v>
      </c>
      <c r="BP120" s="210">
        <v>0</v>
      </c>
      <c r="BQ120" s="211">
        <v>-6700</v>
      </c>
      <c r="BR120" s="211">
        <v>0</v>
      </c>
      <c r="BS120" s="211">
        <v>0</v>
      </c>
      <c r="BT120" s="212">
        <v>0</v>
      </c>
      <c r="BU120" s="212">
        <v>-2019</v>
      </c>
      <c r="BV120" s="212">
        <v>0</v>
      </c>
      <c r="BW120" s="212">
        <v>0</v>
      </c>
      <c r="BX120" s="212">
        <v>0</v>
      </c>
      <c r="BY120" s="212">
        <v>0</v>
      </c>
      <c r="BZ120" s="212">
        <v>0</v>
      </c>
      <c r="CA120" s="212">
        <v>0</v>
      </c>
      <c r="CB120" s="212">
        <v>0</v>
      </c>
      <c r="CC120" s="224">
        <v>458128.82999999996</v>
      </c>
      <c r="CD120" s="213"/>
      <c r="CE120" s="211">
        <v>-477547.98999999976</v>
      </c>
      <c r="CF120" s="211">
        <v>12020.68</v>
      </c>
      <c r="CG120" s="211">
        <v>0</v>
      </c>
      <c r="CH120" s="211">
        <v>7398.48</v>
      </c>
      <c r="CI120" s="211">
        <v>0</v>
      </c>
      <c r="CJ120" s="211">
        <v>0</v>
      </c>
      <c r="CK120" s="211">
        <v>-458128.82999999978</v>
      </c>
      <c r="CL120" s="201"/>
      <c r="CM120" s="201">
        <f t="shared" si="25"/>
        <v>0</v>
      </c>
      <c r="CN120" s="340">
        <f t="shared" si="26"/>
        <v>-477547.98999999976</v>
      </c>
      <c r="CO120" s="340">
        <f t="shared" si="27"/>
        <v>12020.68</v>
      </c>
      <c r="CP120" s="340">
        <f t="shared" si="28"/>
        <v>0</v>
      </c>
      <c r="CQ120" s="340">
        <f t="shared" si="29"/>
        <v>7398.48</v>
      </c>
      <c r="CR120" s="340">
        <f t="shared" si="30"/>
        <v>0</v>
      </c>
      <c r="CS120" s="340">
        <f t="shared" si="31"/>
        <v>0</v>
      </c>
      <c r="CT120" s="90">
        <f t="shared" si="32"/>
        <v>-458128.82999999978</v>
      </c>
      <c r="CV120" s="90">
        <f t="shared" si="24"/>
        <v>0</v>
      </c>
    </row>
    <row r="121" spans="1:100">
      <c r="A121" s="325">
        <v>787</v>
      </c>
      <c r="B121" s="325" t="s">
        <v>275</v>
      </c>
      <c r="C121" s="209">
        <v>-25009.17</v>
      </c>
      <c r="D121" s="209">
        <v>-9976.17</v>
      </c>
      <c r="E121" s="209">
        <v>0</v>
      </c>
      <c r="F121" s="209">
        <v>-5879.25</v>
      </c>
      <c r="G121" s="209">
        <v>0</v>
      </c>
      <c r="H121" s="209">
        <v>0</v>
      </c>
      <c r="I121" s="223">
        <v>-367469.45</v>
      </c>
      <c r="J121" s="223">
        <v>0</v>
      </c>
      <c r="K121" s="223">
        <v>-28747</v>
      </c>
      <c r="L121" s="223">
        <v>0</v>
      </c>
      <c r="M121" s="223">
        <v>-17510</v>
      </c>
      <c r="N121" s="223">
        <v>-1200</v>
      </c>
      <c r="O121" s="223">
        <v>0</v>
      </c>
      <c r="P121" s="223">
        <v>0</v>
      </c>
      <c r="Q121" s="223">
        <v>-24979.45</v>
      </c>
      <c r="R121" s="223">
        <v>0</v>
      </c>
      <c r="S121" s="223">
        <v>0</v>
      </c>
      <c r="T121" s="223">
        <v>0</v>
      </c>
      <c r="U121" s="223">
        <v>-11951.86</v>
      </c>
      <c r="V121" s="223">
        <v>-3106.87</v>
      </c>
      <c r="W121" s="223">
        <v>0</v>
      </c>
      <c r="X121" s="223">
        <v>0</v>
      </c>
      <c r="Y121" s="223">
        <v>0</v>
      </c>
      <c r="Z121" s="223">
        <v>0</v>
      </c>
      <c r="AA121" s="223">
        <v>0</v>
      </c>
      <c r="AB121" s="223">
        <v>-381.88</v>
      </c>
      <c r="AC121" s="223">
        <v>-19341</v>
      </c>
      <c r="AD121" s="210">
        <v>258194.06999999998</v>
      </c>
      <c r="AE121" s="210">
        <v>7571.4100000000008</v>
      </c>
      <c r="AF121" s="210">
        <v>75889.5</v>
      </c>
      <c r="AG121" s="210">
        <v>0</v>
      </c>
      <c r="AH121" s="210">
        <v>19222.5</v>
      </c>
      <c r="AI121" s="210">
        <v>0</v>
      </c>
      <c r="AJ121" s="210">
        <v>17635.939999999999</v>
      </c>
      <c r="AK121" s="210">
        <v>2523.46</v>
      </c>
      <c r="AL121" s="210">
        <v>3696</v>
      </c>
      <c r="AM121" s="210">
        <v>112.85</v>
      </c>
      <c r="AN121" s="210">
        <v>0</v>
      </c>
      <c r="AO121" s="210">
        <v>5001.6000000000004</v>
      </c>
      <c r="AP121" s="210">
        <v>2648.96</v>
      </c>
      <c r="AQ121" s="210">
        <v>9284.6500000000015</v>
      </c>
      <c r="AR121" s="210">
        <v>245.79</v>
      </c>
      <c r="AS121" s="210">
        <v>3452.5099999999998</v>
      </c>
      <c r="AT121" s="210">
        <v>2771.92</v>
      </c>
      <c r="AU121" s="210">
        <v>2515.17</v>
      </c>
      <c r="AV121" s="210">
        <v>24445.18</v>
      </c>
      <c r="AW121" s="312">
        <v>270.10000000000002</v>
      </c>
      <c r="AX121" s="210">
        <v>641.1</v>
      </c>
      <c r="AY121" s="210">
        <v>2170</v>
      </c>
      <c r="AZ121" s="210">
        <v>1749.6200000000001</v>
      </c>
      <c r="BA121" s="210">
        <v>1497.48</v>
      </c>
      <c r="BB121" s="210">
        <v>6.64</v>
      </c>
      <c r="BC121" s="210">
        <v>0</v>
      </c>
      <c r="BD121" s="210">
        <v>9523.52</v>
      </c>
      <c r="BE121" s="210">
        <v>0</v>
      </c>
      <c r="BF121" s="210">
        <v>2942.86</v>
      </c>
      <c r="BG121" s="210">
        <v>2747.71</v>
      </c>
      <c r="BH121" s="210">
        <v>0</v>
      </c>
      <c r="BI121" s="210">
        <v>5831.4000000000005</v>
      </c>
      <c r="BJ121" s="210">
        <v>0</v>
      </c>
      <c r="BK121" s="210">
        <v>16906.089999999997</v>
      </c>
      <c r="BL121" s="210">
        <v>17858.760000000002</v>
      </c>
      <c r="BM121" s="210">
        <v>0</v>
      </c>
      <c r="BN121" s="210">
        <v>0</v>
      </c>
      <c r="BO121" s="210">
        <v>0</v>
      </c>
      <c r="BP121" s="210">
        <v>0</v>
      </c>
      <c r="BQ121" s="211">
        <v>-4517.5</v>
      </c>
      <c r="BR121" s="211">
        <v>0</v>
      </c>
      <c r="BS121" s="211">
        <v>0</v>
      </c>
      <c r="BT121" s="212">
        <v>0</v>
      </c>
      <c r="BU121" s="212">
        <v>17841</v>
      </c>
      <c r="BV121" s="212">
        <v>0</v>
      </c>
      <c r="BW121" s="212">
        <v>0</v>
      </c>
      <c r="BX121" s="212">
        <v>0</v>
      </c>
      <c r="BY121" s="212">
        <v>0</v>
      </c>
      <c r="BZ121" s="212">
        <v>0</v>
      </c>
      <c r="CA121" s="212">
        <v>0</v>
      </c>
      <c r="CB121" s="212">
        <v>0</v>
      </c>
      <c r="CC121" s="224">
        <v>-4871.8100000000486</v>
      </c>
      <c r="CD121" s="213"/>
      <c r="CE121" s="211">
        <v>-14098.179999999973</v>
      </c>
      <c r="CF121" s="211">
        <v>10314.24</v>
      </c>
      <c r="CG121" s="211">
        <v>0</v>
      </c>
      <c r="CH121" s="211">
        <v>8655.75</v>
      </c>
      <c r="CI121" s="211">
        <v>0</v>
      </c>
      <c r="CJ121" s="211">
        <v>0</v>
      </c>
      <c r="CK121" s="211">
        <v>4871.8100000000268</v>
      </c>
      <c r="CL121" s="201"/>
      <c r="CM121" s="201">
        <f t="shared" si="25"/>
        <v>-2.1827872842550278E-11</v>
      </c>
      <c r="CN121" s="340">
        <f t="shared" si="26"/>
        <v>-14098.179999999973</v>
      </c>
      <c r="CO121" s="340">
        <f t="shared" si="27"/>
        <v>10314.24</v>
      </c>
      <c r="CP121" s="340">
        <f t="shared" si="28"/>
        <v>0</v>
      </c>
      <c r="CQ121" s="340">
        <f t="shared" si="29"/>
        <v>8655.75</v>
      </c>
      <c r="CR121" s="340">
        <f t="shared" si="30"/>
        <v>0</v>
      </c>
      <c r="CS121" s="340">
        <f t="shared" si="31"/>
        <v>0</v>
      </c>
      <c r="CT121" s="90">
        <f t="shared" si="32"/>
        <v>4871.8100000000268</v>
      </c>
      <c r="CV121" s="90">
        <f t="shared" si="24"/>
        <v>0</v>
      </c>
    </row>
    <row r="122" spans="1:100">
      <c r="A122" s="325">
        <v>789</v>
      </c>
      <c r="B122" s="325" t="s">
        <v>406</v>
      </c>
      <c r="C122" s="209">
        <v>-13797.27</v>
      </c>
      <c r="D122" s="209">
        <v>-4757.91</v>
      </c>
      <c r="E122" s="209">
        <v>0</v>
      </c>
      <c r="F122" s="209">
        <v>-23637.89</v>
      </c>
      <c r="G122" s="209">
        <v>0</v>
      </c>
      <c r="H122" s="209">
        <v>0</v>
      </c>
      <c r="I122" s="223">
        <v>-560830.43999999994</v>
      </c>
      <c r="J122" s="223">
        <v>0</v>
      </c>
      <c r="K122" s="223">
        <v>-15255</v>
      </c>
      <c r="L122" s="223">
        <v>0</v>
      </c>
      <c r="M122" s="223">
        <v>-8880</v>
      </c>
      <c r="N122" s="223">
        <v>-1600</v>
      </c>
      <c r="O122" s="223">
        <v>0</v>
      </c>
      <c r="P122" s="223">
        <v>-163.72</v>
      </c>
      <c r="Q122" s="223">
        <v>-2913.88</v>
      </c>
      <c r="R122" s="223">
        <v>0</v>
      </c>
      <c r="S122" s="223">
        <v>0</v>
      </c>
      <c r="T122" s="223">
        <v>0</v>
      </c>
      <c r="U122" s="223">
        <v>-9955.5799999999981</v>
      </c>
      <c r="V122" s="223">
        <v>-2414.98</v>
      </c>
      <c r="W122" s="223">
        <v>0</v>
      </c>
      <c r="X122" s="223">
        <v>0</v>
      </c>
      <c r="Y122" s="223">
        <v>0</v>
      </c>
      <c r="Z122" s="223">
        <v>0</v>
      </c>
      <c r="AA122" s="223">
        <v>0</v>
      </c>
      <c r="AB122" s="223">
        <v>-263.75</v>
      </c>
      <c r="AC122" s="223">
        <v>-31678</v>
      </c>
      <c r="AD122" s="210">
        <v>344727.8899999999</v>
      </c>
      <c r="AE122" s="210">
        <v>9302.77</v>
      </c>
      <c r="AF122" s="210">
        <v>94052.95</v>
      </c>
      <c r="AG122" s="210">
        <v>0</v>
      </c>
      <c r="AH122" s="210">
        <v>31414.959999999999</v>
      </c>
      <c r="AI122" s="210">
        <v>0</v>
      </c>
      <c r="AJ122" s="210">
        <v>15934.310000000001</v>
      </c>
      <c r="AK122" s="210">
        <v>2393.17</v>
      </c>
      <c r="AL122" s="210">
        <v>1872.5</v>
      </c>
      <c r="AM122" s="210">
        <v>256.2</v>
      </c>
      <c r="AN122" s="210">
        <v>0</v>
      </c>
      <c r="AO122" s="210">
        <v>3247.3599999999997</v>
      </c>
      <c r="AP122" s="210">
        <v>4318.5600000000004</v>
      </c>
      <c r="AQ122" s="210">
        <v>16822.109999999997</v>
      </c>
      <c r="AR122" s="210">
        <v>991.65</v>
      </c>
      <c r="AS122" s="210">
        <v>22443.439999999999</v>
      </c>
      <c r="AT122" s="210">
        <v>14496.21</v>
      </c>
      <c r="AU122" s="210">
        <v>3590.64</v>
      </c>
      <c r="AV122" s="210">
        <v>15251.159999999996</v>
      </c>
      <c r="AW122" s="312">
        <v>0</v>
      </c>
      <c r="AX122" s="210">
        <v>0</v>
      </c>
      <c r="AY122" s="210">
        <v>1440</v>
      </c>
      <c r="AZ122" s="210">
        <v>2659.09</v>
      </c>
      <c r="BA122" s="210">
        <v>3877.17</v>
      </c>
      <c r="BB122" s="210">
        <v>23.32</v>
      </c>
      <c r="BC122" s="210">
        <v>0</v>
      </c>
      <c r="BD122" s="210">
        <v>6240</v>
      </c>
      <c r="BE122" s="210">
        <v>0</v>
      </c>
      <c r="BF122" s="210">
        <v>2133.37</v>
      </c>
      <c r="BG122" s="210">
        <v>4400.76</v>
      </c>
      <c r="BH122" s="210">
        <v>0</v>
      </c>
      <c r="BI122" s="210">
        <v>17671.11</v>
      </c>
      <c r="BJ122" s="210">
        <v>7792</v>
      </c>
      <c r="BK122" s="210">
        <v>11559</v>
      </c>
      <c r="BL122" s="210">
        <v>10024.83</v>
      </c>
      <c r="BM122" s="210">
        <v>0</v>
      </c>
      <c r="BN122" s="210">
        <v>0</v>
      </c>
      <c r="BO122" s="210">
        <v>0</v>
      </c>
      <c r="BP122" s="210">
        <v>0</v>
      </c>
      <c r="BQ122" s="211">
        <v>-4922.5</v>
      </c>
      <c r="BR122" s="211">
        <v>0</v>
      </c>
      <c r="BS122" s="211">
        <v>0</v>
      </c>
      <c r="BT122" s="212">
        <v>0</v>
      </c>
      <c r="BU122" s="212">
        <v>13980.22</v>
      </c>
      <c r="BV122" s="212">
        <v>0</v>
      </c>
      <c r="BW122" s="212">
        <v>0</v>
      </c>
      <c r="BX122" s="212">
        <v>0</v>
      </c>
      <c r="BY122" s="212">
        <v>0</v>
      </c>
      <c r="BZ122" s="212">
        <v>0</v>
      </c>
      <c r="CA122" s="212">
        <v>0</v>
      </c>
      <c r="CB122" s="212">
        <v>0</v>
      </c>
      <c r="CC122" s="224">
        <v>-18154.169999999925</v>
      </c>
      <c r="CD122" s="213"/>
      <c r="CE122" s="211">
        <v>2174.5600000000654</v>
      </c>
      <c r="CF122" s="211">
        <v>1399.44</v>
      </c>
      <c r="CG122" s="211">
        <v>0</v>
      </c>
      <c r="CH122" s="211">
        <v>14580.17</v>
      </c>
      <c r="CI122" s="211">
        <v>0</v>
      </c>
      <c r="CJ122" s="211">
        <v>0</v>
      </c>
      <c r="CK122" s="211">
        <v>18154.170000000064</v>
      </c>
      <c r="CL122" s="201"/>
      <c r="CM122" s="201">
        <f t="shared" si="25"/>
        <v>1.3824319466948509E-10</v>
      </c>
      <c r="CN122" s="340">
        <f t="shared" si="26"/>
        <v>2174.5600000000654</v>
      </c>
      <c r="CO122" s="340">
        <f t="shared" si="27"/>
        <v>1399.44</v>
      </c>
      <c r="CP122" s="340">
        <f t="shared" si="28"/>
        <v>0</v>
      </c>
      <c r="CQ122" s="340">
        <f t="shared" si="29"/>
        <v>14580.17</v>
      </c>
      <c r="CR122" s="340">
        <f t="shared" si="30"/>
        <v>0</v>
      </c>
      <c r="CS122" s="340">
        <f t="shared" si="31"/>
        <v>0</v>
      </c>
      <c r="CT122" s="90">
        <f t="shared" si="32"/>
        <v>18154.170000000064</v>
      </c>
      <c r="CV122" s="90">
        <f t="shared" si="24"/>
        <v>0</v>
      </c>
    </row>
    <row r="123" spans="1:100">
      <c r="A123" s="325">
        <v>791</v>
      </c>
      <c r="B123" s="325" t="s">
        <v>407</v>
      </c>
      <c r="C123" s="209">
        <v>171916.03</v>
      </c>
      <c r="D123" s="209">
        <v>-3290.32</v>
      </c>
      <c r="E123" s="209">
        <v>0</v>
      </c>
      <c r="F123" s="209">
        <v>0</v>
      </c>
      <c r="G123" s="209">
        <v>921.94999999999982</v>
      </c>
      <c r="H123" s="209">
        <v>55005.39</v>
      </c>
      <c r="I123" s="223">
        <v>-723222.45</v>
      </c>
      <c r="J123" s="223">
        <v>0</v>
      </c>
      <c r="K123" s="223">
        <v>-38529</v>
      </c>
      <c r="L123" s="223">
        <v>0</v>
      </c>
      <c r="M123" s="223">
        <v>-41846</v>
      </c>
      <c r="N123" s="223">
        <v>-1085.6399999999999</v>
      </c>
      <c r="O123" s="223">
        <v>0</v>
      </c>
      <c r="P123" s="223">
        <v>0</v>
      </c>
      <c r="Q123" s="223">
        <v>-18568.709999999992</v>
      </c>
      <c r="R123" s="223">
        <v>0</v>
      </c>
      <c r="S123" s="223">
        <v>0</v>
      </c>
      <c r="T123" s="223">
        <v>-14616</v>
      </c>
      <c r="U123" s="223">
        <v>-1740.3799999999997</v>
      </c>
      <c r="V123" s="223">
        <v>0</v>
      </c>
      <c r="W123" s="223">
        <v>0</v>
      </c>
      <c r="X123" s="223">
        <v>-255668.09999999995</v>
      </c>
      <c r="Y123" s="223">
        <v>-14447.210000000003</v>
      </c>
      <c r="Z123" s="223">
        <v>0</v>
      </c>
      <c r="AA123" s="223">
        <v>0</v>
      </c>
      <c r="AB123" s="223">
        <v>-1710</v>
      </c>
      <c r="AC123" s="223">
        <v>-50649</v>
      </c>
      <c r="AD123" s="210">
        <v>341768.41</v>
      </c>
      <c r="AE123" s="210">
        <v>16889.36</v>
      </c>
      <c r="AF123" s="210">
        <v>145272.53000000003</v>
      </c>
      <c r="AG123" s="210">
        <v>57795.86</v>
      </c>
      <c r="AH123" s="210">
        <v>63218.840000000011</v>
      </c>
      <c r="AI123" s="210">
        <v>0</v>
      </c>
      <c r="AJ123" s="210">
        <v>27076.370000000003</v>
      </c>
      <c r="AK123" s="210">
        <v>4318.8600000000006</v>
      </c>
      <c r="AL123" s="210">
        <v>2132</v>
      </c>
      <c r="AM123" s="210">
        <v>16984.919999999998</v>
      </c>
      <c r="AN123" s="210">
        <v>0</v>
      </c>
      <c r="AO123" s="210">
        <v>29984.870000000003</v>
      </c>
      <c r="AP123" s="210">
        <v>1036.5900000000001</v>
      </c>
      <c r="AQ123" s="210">
        <v>3080.5800000000004</v>
      </c>
      <c r="AR123" s="210">
        <v>2964.18</v>
      </c>
      <c r="AS123" s="210">
        <v>33040.129999999997</v>
      </c>
      <c r="AT123" s="210">
        <v>16946.93</v>
      </c>
      <c r="AU123" s="210">
        <v>7108.01</v>
      </c>
      <c r="AV123" s="210">
        <v>13937.97</v>
      </c>
      <c r="AW123" s="312">
        <v>0</v>
      </c>
      <c r="AX123" s="210">
        <v>0</v>
      </c>
      <c r="AY123" s="210">
        <v>0</v>
      </c>
      <c r="AZ123" s="210">
        <v>318.89999999999998</v>
      </c>
      <c r="BA123" s="210">
        <v>1875.2599999999998</v>
      </c>
      <c r="BB123" s="210">
        <v>2566.6099999999997</v>
      </c>
      <c r="BC123" s="210">
        <v>3630.48</v>
      </c>
      <c r="BD123" s="210">
        <v>2442</v>
      </c>
      <c r="BE123" s="210">
        <v>0</v>
      </c>
      <c r="BF123" s="210">
        <v>2751.4499999999994</v>
      </c>
      <c r="BG123" s="210">
        <v>5815.29</v>
      </c>
      <c r="BH123" s="210">
        <v>0</v>
      </c>
      <c r="BI123" s="210">
        <v>45037.48</v>
      </c>
      <c r="BJ123" s="210">
        <v>23241.5</v>
      </c>
      <c r="BK123" s="210">
        <v>4004</v>
      </c>
      <c r="BL123" s="210">
        <v>15706.000000000002</v>
      </c>
      <c r="BM123" s="210">
        <v>0</v>
      </c>
      <c r="BN123" s="210">
        <v>0</v>
      </c>
      <c r="BO123" s="210">
        <v>229205.71999999997</v>
      </c>
      <c r="BP123" s="210">
        <v>5378.45</v>
      </c>
      <c r="BQ123" s="211">
        <v>-5316.25</v>
      </c>
      <c r="BR123" s="211">
        <v>0</v>
      </c>
      <c r="BS123" s="211">
        <v>0</v>
      </c>
      <c r="BT123" s="212">
        <v>0</v>
      </c>
      <c r="BU123" s="212">
        <v>2819.92</v>
      </c>
      <c r="BV123" s="212">
        <v>0</v>
      </c>
      <c r="BW123" s="212">
        <v>0</v>
      </c>
      <c r="BX123" s="212">
        <v>0</v>
      </c>
      <c r="BY123" s="212">
        <v>0</v>
      </c>
      <c r="BZ123" s="212">
        <v>0</v>
      </c>
      <c r="CA123" s="212">
        <v>0</v>
      </c>
      <c r="CB123" s="212">
        <v>0</v>
      </c>
      <c r="CC123" s="224">
        <v>185503.7800000002</v>
      </c>
      <c r="CD123" s="213"/>
      <c r="CE123" s="211">
        <v>-168205.30000000022</v>
      </c>
      <c r="CF123" s="211">
        <v>601.39</v>
      </c>
      <c r="CG123" s="211">
        <v>0</v>
      </c>
      <c r="CH123" s="211">
        <v>1574.38</v>
      </c>
      <c r="CI123" s="211">
        <v>0</v>
      </c>
      <c r="CJ123" s="211">
        <v>-19474.250000000058</v>
      </c>
      <c r="CK123" s="211">
        <v>-185503.78000000026</v>
      </c>
      <c r="CL123" s="201"/>
      <c r="CM123" s="201">
        <f t="shared" si="25"/>
        <v>0</v>
      </c>
      <c r="CN123" s="340">
        <f t="shared" si="26"/>
        <v>-168205.30000000022</v>
      </c>
      <c r="CO123" s="340">
        <f t="shared" si="27"/>
        <v>601.39</v>
      </c>
      <c r="CP123" s="340">
        <f t="shared" si="28"/>
        <v>0</v>
      </c>
      <c r="CQ123" s="340">
        <f t="shared" si="29"/>
        <v>1574.38</v>
      </c>
      <c r="CR123" s="340">
        <f t="shared" si="30"/>
        <v>0</v>
      </c>
      <c r="CS123" s="340">
        <f t="shared" si="31"/>
        <v>-19474.250000000058</v>
      </c>
      <c r="CT123" s="90">
        <f t="shared" si="32"/>
        <v>-185503.78000000026</v>
      </c>
      <c r="CV123" s="90">
        <f t="shared" ref="CV123:CV160" si="33">CK123-CT123</f>
        <v>0</v>
      </c>
    </row>
    <row r="124" spans="1:100">
      <c r="A124" s="325">
        <v>793</v>
      </c>
      <c r="B124" s="325" t="s">
        <v>220</v>
      </c>
      <c r="C124" s="209">
        <v>-223142.44</v>
      </c>
      <c r="D124" s="209">
        <v>-19833.79</v>
      </c>
      <c r="E124" s="209">
        <v>0</v>
      </c>
      <c r="F124" s="209">
        <v>-3155.45</v>
      </c>
      <c r="G124" s="209">
        <v>0</v>
      </c>
      <c r="H124" s="209">
        <v>-25773</v>
      </c>
      <c r="I124" s="223">
        <v>-687125.03</v>
      </c>
      <c r="J124" s="223">
        <v>0</v>
      </c>
      <c r="K124" s="223">
        <v>-25030</v>
      </c>
      <c r="L124" s="223">
        <v>0</v>
      </c>
      <c r="M124" s="223">
        <v>-35440</v>
      </c>
      <c r="N124" s="223">
        <v>-800</v>
      </c>
      <c r="O124" s="223">
        <v>0</v>
      </c>
      <c r="P124" s="223">
        <v>0</v>
      </c>
      <c r="Q124" s="223">
        <v>-40677.620000000003</v>
      </c>
      <c r="R124" s="223">
        <v>-8018.2100000000037</v>
      </c>
      <c r="S124" s="223">
        <v>-604</v>
      </c>
      <c r="T124" s="223">
        <v>-163.08000000000001</v>
      </c>
      <c r="U124" s="223">
        <v>-8002.16</v>
      </c>
      <c r="V124" s="223">
        <v>-895.21</v>
      </c>
      <c r="W124" s="223">
        <v>0</v>
      </c>
      <c r="X124" s="223">
        <v>-65461.219999999987</v>
      </c>
      <c r="Y124" s="223">
        <v>-2338.3199999999997</v>
      </c>
      <c r="Z124" s="223">
        <v>0</v>
      </c>
      <c r="AA124" s="223">
        <v>0</v>
      </c>
      <c r="AB124" s="223">
        <v>105</v>
      </c>
      <c r="AC124" s="223">
        <v>-31044</v>
      </c>
      <c r="AD124" s="210">
        <v>372705.02999999997</v>
      </c>
      <c r="AE124" s="210">
        <v>1465.4700000000003</v>
      </c>
      <c r="AF124" s="210">
        <v>142796.18</v>
      </c>
      <c r="AG124" s="210">
        <v>23391.58</v>
      </c>
      <c r="AH124" s="210">
        <v>52175.569999999992</v>
      </c>
      <c r="AI124" s="210">
        <v>0</v>
      </c>
      <c r="AJ124" s="210">
        <v>42524.99</v>
      </c>
      <c r="AK124" s="210">
        <v>2790.75</v>
      </c>
      <c r="AL124" s="210">
        <v>1690.9299999999998</v>
      </c>
      <c r="AM124" s="210">
        <v>5263.31</v>
      </c>
      <c r="AN124" s="210">
        <v>0</v>
      </c>
      <c r="AO124" s="210">
        <v>8122.2800000000016</v>
      </c>
      <c r="AP124" s="210">
        <v>933.64</v>
      </c>
      <c r="AQ124" s="210">
        <v>4484.4399999999996</v>
      </c>
      <c r="AR124" s="210">
        <v>5082.25</v>
      </c>
      <c r="AS124" s="210">
        <v>15258.58</v>
      </c>
      <c r="AT124" s="210">
        <v>8819.76</v>
      </c>
      <c r="AU124" s="210">
        <v>3556.32</v>
      </c>
      <c r="AV124" s="210">
        <v>28930.6</v>
      </c>
      <c r="AW124" s="312">
        <v>0</v>
      </c>
      <c r="AX124" s="210">
        <v>6989.51</v>
      </c>
      <c r="AY124" s="210">
        <v>0</v>
      </c>
      <c r="AZ124" s="210">
        <v>4452.8200000000006</v>
      </c>
      <c r="BA124" s="210">
        <v>5998.9699999999993</v>
      </c>
      <c r="BB124" s="210">
        <v>963</v>
      </c>
      <c r="BC124" s="210">
        <v>126</v>
      </c>
      <c r="BD124" s="210">
        <v>3535</v>
      </c>
      <c r="BE124" s="210">
        <v>0</v>
      </c>
      <c r="BF124" s="210">
        <v>5621.05</v>
      </c>
      <c r="BG124" s="210">
        <v>6077.24</v>
      </c>
      <c r="BH124" s="210">
        <v>0</v>
      </c>
      <c r="BI124" s="210">
        <v>30816.339999999997</v>
      </c>
      <c r="BJ124" s="210">
        <v>8509.98</v>
      </c>
      <c r="BK124" s="210">
        <v>17176.160000000003</v>
      </c>
      <c r="BL124" s="210">
        <v>13850.12</v>
      </c>
      <c r="BM124" s="210">
        <v>0</v>
      </c>
      <c r="BN124" s="210">
        <v>0</v>
      </c>
      <c r="BO124" s="210">
        <v>50421.74</v>
      </c>
      <c r="BP124" s="210">
        <v>4144.2499999999991</v>
      </c>
      <c r="BQ124" s="211">
        <v>-5327.5</v>
      </c>
      <c r="BR124" s="211">
        <v>0</v>
      </c>
      <c r="BS124" s="211">
        <v>0</v>
      </c>
      <c r="BT124" s="212">
        <v>0</v>
      </c>
      <c r="BU124" s="212">
        <v>0</v>
      </c>
      <c r="BV124" s="212">
        <v>0</v>
      </c>
      <c r="BW124" s="212">
        <v>0</v>
      </c>
      <c r="BX124" s="212">
        <v>3285.7</v>
      </c>
      <c r="BY124" s="212">
        <v>0</v>
      </c>
      <c r="BZ124" s="212">
        <v>0</v>
      </c>
      <c r="CA124" s="212">
        <v>0</v>
      </c>
      <c r="CB124" s="212">
        <v>0</v>
      </c>
      <c r="CC124" s="224">
        <v>-300766.47000000003</v>
      </c>
      <c r="CD124" s="213"/>
      <c r="CE124" s="211">
        <v>240864.91000000024</v>
      </c>
      <c r="CF124" s="211">
        <v>18042.68</v>
      </c>
      <c r="CG124" s="211">
        <v>0</v>
      </c>
      <c r="CH124" s="211">
        <v>4689.25</v>
      </c>
      <c r="CI124" s="211">
        <v>0</v>
      </c>
      <c r="CJ124" s="211">
        <v>37169.629999999983</v>
      </c>
      <c r="CK124" s="211">
        <v>300766.4700000002</v>
      </c>
      <c r="CL124" s="201"/>
      <c r="CM124" s="201">
        <f t="shared" si="25"/>
        <v>0</v>
      </c>
      <c r="CN124" s="340">
        <f t="shared" si="26"/>
        <v>240864.91000000024</v>
      </c>
      <c r="CO124" s="340">
        <f t="shared" si="27"/>
        <v>18042.68</v>
      </c>
      <c r="CP124" s="340">
        <f t="shared" si="28"/>
        <v>0</v>
      </c>
      <c r="CQ124" s="340">
        <f t="shared" si="29"/>
        <v>4689.25</v>
      </c>
      <c r="CR124" s="340">
        <f t="shared" si="30"/>
        <v>0</v>
      </c>
      <c r="CS124" s="340">
        <f t="shared" si="31"/>
        <v>37169.629999999983</v>
      </c>
      <c r="CT124" s="90">
        <f t="shared" si="32"/>
        <v>300766.4700000002</v>
      </c>
      <c r="CV124" s="90">
        <f t="shared" si="33"/>
        <v>0</v>
      </c>
    </row>
    <row r="125" spans="1:100">
      <c r="A125" s="325">
        <v>797</v>
      </c>
      <c r="B125" s="325" t="s">
        <v>286</v>
      </c>
      <c r="C125" s="209">
        <v>-142749.32</v>
      </c>
      <c r="D125" s="209">
        <v>-30000</v>
      </c>
      <c r="E125" s="209">
        <v>0</v>
      </c>
      <c r="F125" s="209">
        <v>0</v>
      </c>
      <c r="G125" s="209">
        <v>0</v>
      </c>
      <c r="H125" s="209">
        <v>0</v>
      </c>
      <c r="I125" s="223">
        <v>-1203789.5900000001</v>
      </c>
      <c r="J125" s="223">
        <v>0</v>
      </c>
      <c r="K125" s="223">
        <v>-221242</v>
      </c>
      <c r="L125" s="223">
        <v>0</v>
      </c>
      <c r="M125" s="223">
        <v>-93050</v>
      </c>
      <c r="N125" s="223">
        <v>-7056.93</v>
      </c>
      <c r="O125" s="223">
        <v>-4150</v>
      </c>
      <c r="P125" s="223">
        <v>-2989.21</v>
      </c>
      <c r="Q125" s="223">
        <v>-19273.599999999999</v>
      </c>
      <c r="R125" s="223">
        <v>-1604.8800000000003</v>
      </c>
      <c r="S125" s="223">
        <v>0</v>
      </c>
      <c r="T125" s="223">
        <v>0</v>
      </c>
      <c r="U125" s="223">
        <v>-13390.060000000005</v>
      </c>
      <c r="V125" s="223">
        <v>0</v>
      </c>
      <c r="W125" s="223">
        <v>0</v>
      </c>
      <c r="X125" s="223">
        <v>0</v>
      </c>
      <c r="Y125" s="223">
        <v>0</v>
      </c>
      <c r="Z125" s="223">
        <v>0</v>
      </c>
      <c r="AA125" s="223">
        <v>0</v>
      </c>
      <c r="AB125" s="223">
        <v>-5226.25</v>
      </c>
      <c r="AC125" s="223">
        <v>-18035</v>
      </c>
      <c r="AD125" s="210">
        <v>567662.48</v>
      </c>
      <c r="AE125" s="210">
        <v>49690.979999999996</v>
      </c>
      <c r="AF125" s="210">
        <v>373136.74000000005</v>
      </c>
      <c r="AG125" s="210">
        <v>66782.929999999993</v>
      </c>
      <c r="AH125" s="210">
        <v>71127.749999999985</v>
      </c>
      <c r="AI125" s="210">
        <v>0</v>
      </c>
      <c r="AJ125" s="210">
        <v>24036.81</v>
      </c>
      <c r="AK125" s="210">
        <v>10012.760000000002</v>
      </c>
      <c r="AL125" s="210">
        <v>5744</v>
      </c>
      <c r="AM125" s="210">
        <v>11771.1</v>
      </c>
      <c r="AN125" s="210">
        <v>0</v>
      </c>
      <c r="AO125" s="210">
        <v>15178.970000000001</v>
      </c>
      <c r="AP125" s="210">
        <v>5207.09</v>
      </c>
      <c r="AQ125" s="210">
        <v>3549.8900000000008</v>
      </c>
      <c r="AR125" s="210">
        <v>5276.22</v>
      </c>
      <c r="AS125" s="210">
        <v>26923.269999999997</v>
      </c>
      <c r="AT125" s="210">
        <v>22128.33</v>
      </c>
      <c r="AU125" s="210">
        <v>4680.24</v>
      </c>
      <c r="AV125" s="210">
        <v>71308.110000000015</v>
      </c>
      <c r="AW125" s="312">
        <v>-4.5474735088646412E-13</v>
      </c>
      <c r="AX125" s="210">
        <v>2330.59</v>
      </c>
      <c r="AY125" s="210">
        <v>0</v>
      </c>
      <c r="AZ125" s="210">
        <v>4475.63</v>
      </c>
      <c r="BA125" s="210">
        <v>12823.87</v>
      </c>
      <c r="BB125" s="210">
        <v>2479</v>
      </c>
      <c r="BC125" s="210">
        <v>292.5</v>
      </c>
      <c r="BD125" s="210">
        <v>3000</v>
      </c>
      <c r="BE125" s="210">
        <v>0</v>
      </c>
      <c r="BF125" s="210">
        <v>4938.3999999999996</v>
      </c>
      <c r="BG125" s="210">
        <v>10478</v>
      </c>
      <c r="BH125" s="210">
        <v>0</v>
      </c>
      <c r="BI125" s="210">
        <v>25516.93</v>
      </c>
      <c r="BJ125" s="210">
        <v>22711.88</v>
      </c>
      <c r="BK125" s="210">
        <v>44585.4</v>
      </c>
      <c r="BL125" s="210">
        <v>17148.18</v>
      </c>
      <c r="BM125" s="210">
        <v>0</v>
      </c>
      <c r="BN125" s="210">
        <v>0</v>
      </c>
      <c r="BO125" s="210">
        <v>0</v>
      </c>
      <c r="BP125" s="210">
        <v>0</v>
      </c>
      <c r="BQ125" s="211">
        <v>-6328.75</v>
      </c>
      <c r="BR125" s="211">
        <v>0</v>
      </c>
      <c r="BS125" s="211">
        <v>0</v>
      </c>
      <c r="BT125" s="212">
        <v>0</v>
      </c>
      <c r="BU125" s="212">
        <v>12235</v>
      </c>
      <c r="BV125" s="212">
        <v>2892.9700000000003</v>
      </c>
      <c r="BW125" s="212">
        <v>0</v>
      </c>
      <c r="BX125" s="212">
        <v>0</v>
      </c>
      <c r="BY125" s="212">
        <v>0</v>
      </c>
      <c r="BZ125" s="212">
        <v>0</v>
      </c>
      <c r="CA125" s="212">
        <v>0</v>
      </c>
      <c r="CB125" s="212">
        <v>0</v>
      </c>
      <c r="CC125" s="224">
        <v>-268759.57000000012</v>
      </c>
      <c r="CD125" s="213"/>
      <c r="CE125" s="211">
        <v>268759.78999999998</v>
      </c>
      <c r="CF125" s="211">
        <v>0</v>
      </c>
      <c r="CG125" s="211">
        <v>0</v>
      </c>
      <c r="CH125" s="211">
        <v>-0.22000000000116415</v>
      </c>
      <c r="CI125" s="211">
        <v>0</v>
      </c>
      <c r="CJ125" s="211">
        <v>0</v>
      </c>
      <c r="CK125" s="211">
        <v>268759.56999999995</v>
      </c>
      <c r="CL125" s="201"/>
      <c r="CM125" s="201">
        <f t="shared" si="25"/>
        <v>0</v>
      </c>
      <c r="CN125" s="340">
        <f t="shared" si="26"/>
        <v>268759.78999999998</v>
      </c>
      <c r="CO125" s="340">
        <f t="shared" si="27"/>
        <v>0</v>
      </c>
      <c r="CP125" s="340">
        <f t="shared" si="28"/>
        <v>0</v>
      </c>
      <c r="CQ125" s="340">
        <f t="shared" si="29"/>
        <v>-0.22000000000116415</v>
      </c>
      <c r="CR125" s="340">
        <f t="shared" si="30"/>
        <v>0</v>
      </c>
      <c r="CS125" s="340">
        <f t="shared" si="31"/>
        <v>0</v>
      </c>
      <c r="CT125" s="90">
        <f t="shared" si="32"/>
        <v>268759.56999999995</v>
      </c>
      <c r="CV125" s="90">
        <f t="shared" si="33"/>
        <v>0</v>
      </c>
    </row>
    <row r="126" spans="1:100">
      <c r="A126" s="325">
        <v>798</v>
      </c>
      <c r="B126" s="325" t="s">
        <v>203</v>
      </c>
      <c r="C126" s="209">
        <v>53585.760000000002</v>
      </c>
      <c r="D126" s="209">
        <v>-7051.44</v>
      </c>
      <c r="E126" s="209">
        <v>0</v>
      </c>
      <c r="F126" s="209">
        <v>-3552.83</v>
      </c>
      <c r="G126" s="209">
        <v>0</v>
      </c>
      <c r="H126" s="209">
        <v>55000.92</v>
      </c>
      <c r="I126" s="223">
        <v>-615890.31999999995</v>
      </c>
      <c r="J126" s="223">
        <v>0</v>
      </c>
      <c r="K126" s="223">
        <v>-54602</v>
      </c>
      <c r="L126" s="223">
        <v>0</v>
      </c>
      <c r="M126" s="223">
        <v>-14800</v>
      </c>
      <c r="N126" s="223">
        <v>-800</v>
      </c>
      <c r="O126" s="223">
        <v>0</v>
      </c>
      <c r="P126" s="223">
        <v>-2167</v>
      </c>
      <c r="Q126" s="223">
        <v>-8455.68</v>
      </c>
      <c r="R126" s="223">
        <v>0</v>
      </c>
      <c r="S126" s="223">
        <v>0</v>
      </c>
      <c r="T126" s="223">
        <v>0</v>
      </c>
      <c r="U126" s="223">
        <v>-10219.120000000003</v>
      </c>
      <c r="V126" s="223">
        <v>-812</v>
      </c>
      <c r="W126" s="223">
        <v>0</v>
      </c>
      <c r="X126" s="223">
        <v>-68175.260000000009</v>
      </c>
      <c r="Y126" s="223">
        <v>-1211.3500000000001</v>
      </c>
      <c r="Z126" s="223">
        <v>0</v>
      </c>
      <c r="AA126" s="223">
        <v>0</v>
      </c>
      <c r="AB126" s="223">
        <v>-65.75</v>
      </c>
      <c r="AC126" s="223">
        <v>-33737</v>
      </c>
      <c r="AD126" s="210">
        <v>386879.11</v>
      </c>
      <c r="AE126" s="210">
        <v>19528.16</v>
      </c>
      <c r="AF126" s="210">
        <v>112098.81999999999</v>
      </c>
      <c r="AG126" s="210">
        <v>24879.309999999998</v>
      </c>
      <c r="AH126" s="210">
        <v>45279.420000000006</v>
      </c>
      <c r="AI126" s="210">
        <v>0</v>
      </c>
      <c r="AJ126" s="210">
        <v>25605.829999999994</v>
      </c>
      <c r="AK126" s="210">
        <v>1796.69</v>
      </c>
      <c r="AL126" s="210">
        <v>1026</v>
      </c>
      <c r="AM126" s="210">
        <v>6860.6</v>
      </c>
      <c r="AN126" s="210">
        <v>0</v>
      </c>
      <c r="AO126" s="210">
        <v>20280.189999999999</v>
      </c>
      <c r="AP126" s="210">
        <v>5829.8899999999976</v>
      </c>
      <c r="AQ126" s="210">
        <v>2421.83</v>
      </c>
      <c r="AR126" s="210">
        <v>3485.73</v>
      </c>
      <c r="AS126" s="210">
        <v>18608.629999999997</v>
      </c>
      <c r="AT126" s="210">
        <v>26388.39</v>
      </c>
      <c r="AU126" s="210">
        <v>2942.4500000000007</v>
      </c>
      <c r="AV126" s="210">
        <v>24025.53</v>
      </c>
      <c r="AW126" s="312">
        <v>0</v>
      </c>
      <c r="AX126" s="210">
        <v>0</v>
      </c>
      <c r="AY126" s="210">
        <v>0</v>
      </c>
      <c r="AZ126" s="210">
        <v>4543.46</v>
      </c>
      <c r="BA126" s="210">
        <v>5841.91</v>
      </c>
      <c r="BB126" s="210">
        <v>0</v>
      </c>
      <c r="BC126" s="210">
        <v>0</v>
      </c>
      <c r="BD126" s="210">
        <v>970</v>
      </c>
      <c r="BE126" s="210">
        <v>0</v>
      </c>
      <c r="BF126" s="210">
        <v>5267.1200000000008</v>
      </c>
      <c r="BG126" s="210">
        <v>5081.83</v>
      </c>
      <c r="BH126" s="210">
        <v>0</v>
      </c>
      <c r="BI126" s="210">
        <v>23633.109999999997</v>
      </c>
      <c r="BJ126" s="210">
        <v>0</v>
      </c>
      <c r="BK126" s="210">
        <v>36539.37000000001</v>
      </c>
      <c r="BL126" s="210">
        <v>14895.550000000001</v>
      </c>
      <c r="BM126" s="210">
        <v>0</v>
      </c>
      <c r="BN126" s="210">
        <v>0</v>
      </c>
      <c r="BO126" s="210">
        <v>41736.340000000004</v>
      </c>
      <c r="BP126" s="210">
        <v>6604.9799999999968</v>
      </c>
      <c r="BQ126" s="211">
        <v>-5147.5</v>
      </c>
      <c r="BR126" s="211">
        <v>0</v>
      </c>
      <c r="BS126" s="211">
        <v>0</v>
      </c>
      <c r="BT126" s="212">
        <v>0</v>
      </c>
      <c r="BU126" s="212">
        <v>-6976</v>
      </c>
      <c r="BV126" s="212">
        <v>0</v>
      </c>
      <c r="BW126" s="212">
        <v>0</v>
      </c>
      <c r="BX126" s="212">
        <v>0</v>
      </c>
      <c r="BY126" s="212">
        <v>0</v>
      </c>
      <c r="BZ126" s="212">
        <v>0</v>
      </c>
      <c r="CA126" s="212">
        <v>0</v>
      </c>
      <c r="CB126" s="212">
        <v>0</v>
      </c>
      <c r="CC126" s="224">
        <v>147973.68000000005</v>
      </c>
      <c r="CD126" s="213"/>
      <c r="CE126" s="211">
        <v>-127760.80000000003</v>
      </c>
      <c r="CF126" s="211">
        <v>-1933.58</v>
      </c>
      <c r="CG126" s="211">
        <v>0</v>
      </c>
      <c r="CH126" s="211">
        <v>15676.33</v>
      </c>
      <c r="CI126" s="211">
        <v>0</v>
      </c>
      <c r="CJ126" s="211">
        <v>-33955.629999999983</v>
      </c>
      <c r="CK126" s="211">
        <v>-147973.68000000002</v>
      </c>
      <c r="CL126" s="201"/>
      <c r="CM126" s="201">
        <f t="shared" si="25"/>
        <v>0</v>
      </c>
      <c r="CN126" s="340">
        <f t="shared" si="26"/>
        <v>-127760.80000000003</v>
      </c>
      <c r="CO126" s="340">
        <f t="shared" si="27"/>
        <v>-1933.58</v>
      </c>
      <c r="CP126" s="340">
        <f t="shared" si="28"/>
        <v>0</v>
      </c>
      <c r="CQ126" s="340">
        <f t="shared" si="29"/>
        <v>15676.33</v>
      </c>
      <c r="CR126" s="340">
        <f t="shared" si="30"/>
        <v>0</v>
      </c>
      <c r="CS126" s="340">
        <f t="shared" si="31"/>
        <v>-33955.629999999983</v>
      </c>
      <c r="CT126" s="90">
        <f t="shared" si="32"/>
        <v>-147973.68000000002</v>
      </c>
      <c r="CV126" s="90">
        <f t="shared" si="33"/>
        <v>0</v>
      </c>
    </row>
    <row r="127" spans="1:100">
      <c r="A127" s="325">
        <v>800</v>
      </c>
      <c r="B127" s="325" t="s">
        <v>240</v>
      </c>
      <c r="C127" s="209">
        <v>276768.61</v>
      </c>
      <c r="D127" s="209">
        <v>-6017.15</v>
      </c>
      <c r="E127" s="209">
        <v>0</v>
      </c>
      <c r="F127" s="209">
        <v>-22195.39</v>
      </c>
      <c r="G127" s="209">
        <v>0</v>
      </c>
      <c r="H127" s="209">
        <v>0</v>
      </c>
      <c r="I127" s="223">
        <v>-978269.32</v>
      </c>
      <c r="J127" s="223">
        <v>0</v>
      </c>
      <c r="K127" s="223">
        <v>-121622</v>
      </c>
      <c r="L127" s="223">
        <v>0</v>
      </c>
      <c r="M127" s="223">
        <v>-15820</v>
      </c>
      <c r="N127" s="223">
        <v>-3485.64</v>
      </c>
      <c r="O127" s="223">
        <v>-115</v>
      </c>
      <c r="P127" s="223">
        <v>0</v>
      </c>
      <c r="Q127" s="223">
        <v>-54906.310000000012</v>
      </c>
      <c r="R127" s="223">
        <v>-1884.24</v>
      </c>
      <c r="S127" s="223">
        <v>0</v>
      </c>
      <c r="T127" s="223">
        <v>0</v>
      </c>
      <c r="U127" s="223">
        <v>-22296.12</v>
      </c>
      <c r="V127" s="223">
        <v>-35017.340000000004</v>
      </c>
      <c r="W127" s="223">
        <v>0</v>
      </c>
      <c r="X127" s="223">
        <v>0</v>
      </c>
      <c r="Y127" s="223">
        <v>0</v>
      </c>
      <c r="Z127" s="223">
        <v>0</v>
      </c>
      <c r="AA127" s="223">
        <v>0</v>
      </c>
      <c r="AB127" s="223">
        <v>-66.88</v>
      </c>
      <c r="AC127" s="223">
        <v>-53519</v>
      </c>
      <c r="AD127" s="210">
        <v>603031.61999999988</v>
      </c>
      <c r="AE127" s="210">
        <v>3073.17</v>
      </c>
      <c r="AF127" s="210">
        <v>341677.08</v>
      </c>
      <c r="AG127" s="210">
        <v>22423.95</v>
      </c>
      <c r="AH127" s="210">
        <v>60394.369999999995</v>
      </c>
      <c r="AI127" s="210">
        <v>0</v>
      </c>
      <c r="AJ127" s="210">
        <v>57889.98000000001</v>
      </c>
      <c r="AK127" s="210">
        <v>4005</v>
      </c>
      <c r="AL127" s="210">
        <v>5912.36</v>
      </c>
      <c r="AM127" s="210">
        <v>588.65</v>
      </c>
      <c r="AN127" s="210">
        <v>0</v>
      </c>
      <c r="AO127" s="210">
        <v>19107.14</v>
      </c>
      <c r="AP127" s="210">
        <v>5131.3999999999996</v>
      </c>
      <c r="AQ127" s="210">
        <v>2990.1399999999994</v>
      </c>
      <c r="AR127" s="210">
        <v>2629.56</v>
      </c>
      <c r="AS127" s="210">
        <v>23172.660000000003</v>
      </c>
      <c r="AT127" s="210">
        <v>16879.5</v>
      </c>
      <c r="AU127" s="210">
        <v>1703.42</v>
      </c>
      <c r="AV127" s="210">
        <v>78093.020000000019</v>
      </c>
      <c r="AW127" s="312">
        <v>0</v>
      </c>
      <c r="AX127" s="210">
        <v>3326.4</v>
      </c>
      <c r="AY127" s="210">
        <v>0</v>
      </c>
      <c r="AZ127" s="210">
        <v>1896.26</v>
      </c>
      <c r="BA127" s="210">
        <v>1696.5</v>
      </c>
      <c r="BB127" s="210">
        <v>1139.99</v>
      </c>
      <c r="BC127" s="210">
        <v>0</v>
      </c>
      <c r="BD127" s="210">
        <v>4840</v>
      </c>
      <c r="BE127" s="210">
        <v>0</v>
      </c>
      <c r="BF127" s="210">
        <v>700.44</v>
      </c>
      <c r="BG127" s="210">
        <v>10111.27</v>
      </c>
      <c r="BH127" s="210">
        <v>0</v>
      </c>
      <c r="BI127" s="210">
        <v>44225.11</v>
      </c>
      <c r="BJ127" s="210">
        <v>0</v>
      </c>
      <c r="BK127" s="210">
        <v>29328</v>
      </c>
      <c r="BL127" s="210">
        <v>14883.85</v>
      </c>
      <c r="BM127" s="210">
        <v>0</v>
      </c>
      <c r="BN127" s="210">
        <v>0</v>
      </c>
      <c r="BO127" s="210">
        <v>0</v>
      </c>
      <c r="BP127" s="210">
        <v>0</v>
      </c>
      <c r="BQ127" s="211">
        <v>-6216.25</v>
      </c>
      <c r="BR127" s="211">
        <v>0</v>
      </c>
      <c r="BS127" s="211">
        <v>0</v>
      </c>
      <c r="BT127" s="212">
        <v>0</v>
      </c>
      <c r="BU127" s="212">
        <v>1249</v>
      </c>
      <c r="BV127" s="212">
        <v>0</v>
      </c>
      <c r="BW127" s="212">
        <v>0</v>
      </c>
      <c r="BX127" s="212">
        <v>0</v>
      </c>
      <c r="BY127" s="212">
        <v>0</v>
      </c>
      <c r="BZ127" s="212">
        <v>0</v>
      </c>
      <c r="CA127" s="212">
        <v>0</v>
      </c>
      <c r="CB127" s="212">
        <v>0</v>
      </c>
      <c r="CC127" s="224">
        <v>317437.80999999982</v>
      </c>
      <c r="CD127" s="213"/>
      <c r="CE127" s="211">
        <v>-344600.44999999995</v>
      </c>
      <c r="CF127" s="211">
        <v>0</v>
      </c>
      <c r="CG127" s="211">
        <v>0</v>
      </c>
      <c r="CH127" s="211">
        <v>27162.639999999999</v>
      </c>
      <c r="CI127" s="211">
        <v>0</v>
      </c>
      <c r="CJ127" s="211">
        <v>0</v>
      </c>
      <c r="CK127" s="211">
        <v>-317437.80999999994</v>
      </c>
      <c r="CL127" s="201"/>
      <c r="CM127" s="201">
        <f t="shared" si="25"/>
        <v>0</v>
      </c>
      <c r="CN127" s="340">
        <f t="shared" si="26"/>
        <v>-344600.44999999995</v>
      </c>
      <c r="CO127" s="340">
        <f t="shared" si="27"/>
        <v>0</v>
      </c>
      <c r="CP127" s="340">
        <f t="shared" si="28"/>
        <v>0</v>
      </c>
      <c r="CQ127" s="340">
        <f t="shared" si="29"/>
        <v>27162.639999999999</v>
      </c>
      <c r="CR127" s="340">
        <f t="shared" si="30"/>
        <v>0</v>
      </c>
      <c r="CS127" s="340">
        <f t="shared" si="31"/>
        <v>0</v>
      </c>
      <c r="CT127" s="90">
        <f t="shared" si="32"/>
        <v>-317437.80999999994</v>
      </c>
      <c r="CV127" s="90">
        <f t="shared" si="33"/>
        <v>0</v>
      </c>
    </row>
    <row r="128" spans="1:100">
      <c r="A128" s="325">
        <v>801</v>
      </c>
      <c r="B128" s="325" t="s">
        <v>975</v>
      </c>
      <c r="C128" s="209">
        <v>0</v>
      </c>
      <c r="D128" s="209">
        <v>0</v>
      </c>
      <c r="E128" s="209">
        <v>0</v>
      </c>
      <c r="F128" s="209">
        <v>0</v>
      </c>
      <c r="G128" s="209">
        <v>0</v>
      </c>
      <c r="H128" s="209">
        <v>0</v>
      </c>
      <c r="I128" s="223">
        <v>0</v>
      </c>
      <c r="J128" s="223">
        <v>0</v>
      </c>
      <c r="K128" s="223">
        <v>0</v>
      </c>
      <c r="L128" s="223">
        <v>0</v>
      </c>
      <c r="M128" s="223">
        <v>0</v>
      </c>
      <c r="N128" s="223">
        <v>0</v>
      </c>
      <c r="O128" s="223">
        <v>0</v>
      </c>
      <c r="P128" s="223">
        <v>0</v>
      </c>
      <c r="Q128" s="223">
        <v>0</v>
      </c>
      <c r="R128" s="223">
        <v>0</v>
      </c>
      <c r="S128" s="223">
        <v>0</v>
      </c>
      <c r="T128" s="223">
        <v>0</v>
      </c>
      <c r="U128" s="223">
        <v>0</v>
      </c>
      <c r="V128" s="223">
        <v>0</v>
      </c>
      <c r="W128" s="223">
        <v>0</v>
      </c>
      <c r="X128" s="223">
        <v>0</v>
      </c>
      <c r="Y128" s="223">
        <v>0</v>
      </c>
      <c r="Z128" s="223">
        <v>0</v>
      </c>
      <c r="AA128" s="223">
        <v>0</v>
      </c>
      <c r="AB128" s="223">
        <v>0</v>
      </c>
      <c r="AC128" s="223">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312"/>
      <c r="AX128" s="210">
        <v>0</v>
      </c>
      <c r="AY128" s="210">
        <v>0</v>
      </c>
      <c r="AZ128" s="210">
        <v>0</v>
      </c>
      <c r="BA128" s="210">
        <v>0</v>
      </c>
      <c r="BB128" s="210">
        <v>0</v>
      </c>
      <c r="BC128" s="210">
        <v>0</v>
      </c>
      <c r="BD128" s="210">
        <v>0</v>
      </c>
      <c r="BE128" s="210">
        <v>0</v>
      </c>
      <c r="BF128" s="210">
        <v>0</v>
      </c>
      <c r="BG128" s="210">
        <v>0</v>
      </c>
      <c r="BH128" s="210">
        <v>0</v>
      </c>
      <c r="BI128" s="210">
        <v>0</v>
      </c>
      <c r="BJ128" s="210">
        <v>0</v>
      </c>
      <c r="BK128" s="210">
        <v>0</v>
      </c>
      <c r="BL128" s="210">
        <v>0</v>
      </c>
      <c r="BM128" s="210">
        <v>0</v>
      </c>
      <c r="BN128" s="210">
        <v>0</v>
      </c>
      <c r="BO128" s="210">
        <v>0</v>
      </c>
      <c r="BP128" s="210">
        <v>0</v>
      </c>
      <c r="BQ128" s="211">
        <v>0</v>
      </c>
      <c r="BR128" s="211">
        <v>0</v>
      </c>
      <c r="BS128" s="211">
        <v>0</v>
      </c>
      <c r="BT128" s="212">
        <v>0</v>
      </c>
      <c r="BU128" s="212">
        <v>0</v>
      </c>
      <c r="BV128" s="212">
        <v>0</v>
      </c>
      <c r="BW128" s="212"/>
      <c r="BX128" s="212">
        <v>0</v>
      </c>
      <c r="BY128" s="212">
        <v>0</v>
      </c>
      <c r="BZ128" s="212">
        <v>0</v>
      </c>
      <c r="CA128" s="212">
        <v>0</v>
      </c>
      <c r="CB128" s="212">
        <v>0</v>
      </c>
      <c r="CC128" s="224"/>
      <c r="CD128" s="213"/>
      <c r="CE128" s="211"/>
      <c r="CF128" s="211"/>
      <c r="CG128" s="211"/>
      <c r="CH128" s="211"/>
      <c r="CI128" s="211"/>
      <c r="CJ128" s="211"/>
      <c r="CK128" s="211"/>
      <c r="CL128" s="201"/>
      <c r="CM128" s="201">
        <f t="shared" si="25"/>
        <v>0</v>
      </c>
      <c r="CN128" s="340">
        <f t="shared" si="26"/>
        <v>0</v>
      </c>
      <c r="CO128" s="340">
        <f t="shared" si="27"/>
        <v>0</v>
      </c>
      <c r="CP128" s="340">
        <f t="shared" si="28"/>
        <v>0</v>
      </c>
      <c r="CQ128" s="340">
        <f t="shared" si="29"/>
        <v>0</v>
      </c>
      <c r="CR128" s="340">
        <f t="shared" si="30"/>
        <v>0</v>
      </c>
      <c r="CS128" s="340">
        <f t="shared" si="31"/>
        <v>0</v>
      </c>
      <c r="CT128" s="90">
        <f t="shared" si="32"/>
        <v>0</v>
      </c>
      <c r="CV128" s="90">
        <f t="shared" si="33"/>
        <v>0</v>
      </c>
    </row>
    <row r="129" spans="1:100">
      <c r="A129" s="325">
        <v>803</v>
      </c>
      <c r="B129" s="325" t="s">
        <v>193</v>
      </c>
      <c r="C129" s="209">
        <v>-188516.83</v>
      </c>
      <c r="D129" s="209">
        <v>-27102.71</v>
      </c>
      <c r="E129" s="209">
        <v>0</v>
      </c>
      <c r="F129" s="209">
        <v>0.42</v>
      </c>
      <c r="G129" s="209">
        <v>0</v>
      </c>
      <c r="H129" s="209">
        <v>0</v>
      </c>
      <c r="I129" s="223">
        <v>-1396351.6300000001</v>
      </c>
      <c r="J129" s="223">
        <v>0</v>
      </c>
      <c r="K129" s="223">
        <v>-41198</v>
      </c>
      <c r="L129" s="223">
        <v>0</v>
      </c>
      <c r="M129" s="223">
        <v>-119100</v>
      </c>
      <c r="N129" s="223">
        <v>-1256.9299999999998</v>
      </c>
      <c r="O129" s="223">
        <v>-1500</v>
      </c>
      <c r="P129" s="223">
        <v>0</v>
      </c>
      <c r="Q129" s="223">
        <v>-68942.150000000009</v>
      </c>
      <c r="R129" s="223">
        <v>-16150.500000000005</v>
      </c>
      <c r="S129" s="223">
        <v>-606</v>
      </c>
      <c r="T129" s="223">
        <v>-2000.4</v>
      </c>
      <c r="U129" s="223">
        <v>-26343.830000000005</v>
      </c>
      <c r="V129" s="223">
        <v>-17628.5</v>
      </c>
      <c r="W129" s="223">
        <v>0</v>
      </c>
      <c r="X129" s="223">
        <v>0</v>
      </c>
      <c r="Y129" s="223">
        <v>-62.5</v>
      </c>
      <c r="Z129" s="223">
        <v>0</v>
      </c>
      <c r="AA129" s="223">
        <v>0</v>
      </c>
      <c r="AB129" s="223">
        <v>10.619999999999891</v>
      </c>
      <c r="AC129" s="223">
        <v>-59522</v>
      </c>
      <c r="AD129" s="210">
        <v>735030.67999999993</v>
      </c>
      <c r="AE129" s="210">
        <v>5949.51</v>
      </c>
      <c r="AF129" s="210">
        <v>371347.47</v>
      </c>
      <c r="AG129" s="210">
        <v>14221.580000000002</v>
      </c>
      <c r="AH129" s="210">
        <v>53092.22</v>
      </c>
      <c r="AI129" s="210">
        <v>32776.500000000007</v>
      </c>
      <c r="AJ129" s="210">
        <v>54830.99</v>
      </c>
      <c r="AK129" s="210">
        <v>4693.99</v>
      </c>
      <c r="AL129" s="210">
        <v>11547.710000000017</v>
      </c>
      <c r="AM129" s="210">
        <v>18701.530000000002</v>
      </c>
      <c r="AN129" s="210">
        <v>0</v>
      </c>
      <c r="AO129" s="210">
        <v>14766.070000000002</v>
      </c>
      <c r="AP129" s="210">
        <v>185.78</v>
      </c>
      <c r="AQ129" s="210">
        <v>42400.210000000014</v>
      </c>
      <c r="AR129" s="210">
        <v>3658.8700000000008</v>
      </c>
      <c r="AS129" s="210">
        <v>30665.72</v>
      </c>
      <c r="AT129" s="210">
        <v>37733.93</v>
      </c>
      <c r="AU129" s="210">
        <v>4486.2300000000005</v>
      </c>
      <c r="AV129" s="210">
        <v>86027.919999999984</v>
      </c>
      <c r="AW129" s="312">
        <v>0</v>
      </c>
      <c r="AX129" s="210">
        <v>4100</v>
      </c>
      <c r="AY129" s="210">
        <v>0</v>
      </c>
      <c r="AZ129" s="210">
        <v>577.5</v>
      </c>
      <c r="BA129" s="210">
        <v>1348.91</v>
      </c>
      <c r="BB129" s="210">
        <v>1769.6899999999998</v>
      </c>
      <c r="BC129" s="210">
        <v>0</v>
      </c>
      <c r="BD129" s="210">
        <v>5254.5</v>
      </c>
      <c r="BE129" s="210">
        <v>0</v>
      </c>
      <c r="BF129" s="210">
        <v>9364.2199999999993</v>
      </c>
      <c r="BG129" s="210">
        <v>13322.68</v>
      </c>
      <c r="BH129" s="210">
        <v>0</v>
      </c>
      <c r="BI129" s="210">
        <v>61455.48000000001</v>
      </c>
      <c r="BJ129" s="210">
        <v>2805.05</v>
      </c>
      <c r="BK129" s="210">
        <v>74788.76999999999</v>
      </c>
      <c r="BL129" s="210">
        <v>30095.68</v>
      </c>
      <c r="BM129" s="210">
        <v>0</v>
      </c>
      <c r="BN129" s="210">
        <v>0</v>
      </c>
      <c r="BO129" s="210">
        <v>0</v>
      </c>
      <c r="BP129" s="210">
        <v>0</v>
      </c>
      <c r="BQ129" s="211">
        <v>-6891.25</v>
      </c>
      <c r="BR129" s="211">
        <v>0</v>
      </c>
      <c r="BS129" s="211">
        <v>0</v>
      </c>
      <c r="BT129" s="212">
        <v>0</v>
      </c>
      <c r="BU129" s="212">
        <v>34949</v>
      </c>
      <c r="BV129" s="212">
        <v>0</v>
      </c>
      <c r="BW129" s="212">
        <v>0</v>
      </c>
      <c r="BX129" s="212">
        <v>0</v>
      </c>
      <c r="BY129" s="212">
        <v>0</v>
      </c>
      <c r="BZ129" s="212">
        <v>0</v>
      </c>
      <c r="CA129" s="212">
        <v>0</v>
      </c>
      <c r="CB129" s="212">
        <v>0</v>
      </c>
      <c r="CC129" s="224">
        <v>-211213.8000000001</v>
      </c>
      <c r="CD129" s="213"/>
      <c r="CE129" s="211">
        <v>211213.7999999999</v>
      </c>
      <c r="CF129" s="211">
        <v>0</v>
      </c>
      <c r="CG129" s="211">
        <v>0</v>
      </c>
      <c r="CH129" s="211">
        <v>0</v>
      </c>
      <c r="CI129" s="211">
        <v>0</v>
      </c>
      <c r="CJ129" s="211">
        <v>0</v>
      </c>
      <c r="CK129" s="211">
        <v>211213.7999999999</v>
      </c>
      <c r="CL129" s="201"/>
      <c r="CM129" s="201">
        <f t="shared" si="25"/>
        <v>0</v>
      </c>
      <c r="CN129" s="340">
        <f t="shared" si="26"/>
        <v>211213.7999999999</v>
      </c>
      <c r="CO129" s="340">
        <f t="shared" si="27"/>
        <v>0</v>
      </c>
      <c r="CP129" s="340">
        <f t="shared" si="28"/>
        <v>0</v>
      </c>
      <c r="CQ129" s="340">
        <f t="shared" si="29"/>
        <v>0</v>
      </c>
      <c r="CR129" s="340">
        <f t="shared" si="30"/>
        <v>0</v>
      </c>
      <c r="CS129" s="340">
        <f t="shared" si="31"/>
        <v>0</v>
      </c>
      <c r="CT129" s="90">
        <f t="shared" si="32"/>
        <v>211213.7999999999</v>
      </c>
      <c r="CV129" s="90">
        <f t="shared" si="33"/>
        <v>0</v>
      </c>
    </row>
    <row r="130" spans="1:100">
      <c r="A130" s="325">
        <v>805</v>
      </c>
      <c r="B130" s="325" t="s">
        <v>282</v>
      </c>
      <c r="C130" s="209">
        <v>-67480.84</v>
      </c>
      <c r="D130" s="209">
        <v>0</v>
      </c>
      <c r="E130" s="209">
        <v>0</v>
      </c>
      <c r="F130" s="209">
        <v>-6421.74</v>
      </c>
      <c r="G130" s="209">
        <v>0</v>
      </c>
      <c r="H130" s="209">
        <v>0</v>
      </c>
      <c r="I130" s="223">
        <v>-604103.75</v>
      </c>
      <c r="J130" s="223">
        <v>0</v>
      </c>
      <c r="K130" s="223">
        <v>-75126</v>
      </c>
      <c r="L130" s="223">
        <v>0</v>
      </c>
      <c r="M130" s="223">
        <v>-42290</v>
      </c>
      <c r="N130" s="223">
        <v>-2056.9300000000003</v>
      </c>
      <c r="O130" s="223">
        <v>0</v>
      </c>
      <c r="P130" s="223">
        <v>0</v>
      </c>
      <c r="Q130" s="223">
        <v>-18727.36</v>
      </c>
      <c r="R130" s="223">
        <v>73.28</v>
      </c>
      <c r="S130" s="223">
        <v>-4800</v>
      </c>
      <c r="T130" s="223">
        <v>-3421.5</v>
      </c>
      <c r="U130" s="223">
        <v>-14399.73</v>
      </c>
      <c r="V130" s="223">
        <v>-2993.9300000000003</v>
      </c>
      <c r="W130" s="223">
        <v>0</v>
      </c>
      <c r="X130" s="223">
        <v>-48362.16</v>
      </c>
      <c r="Y130" s="223">
        <v>-17282.04</v>
      </c>
      <c r="Z130" s="223">
        <v>0</v>
      </c>
      <c r="AA130" s="223">
        <v>0</v>
      </c>
      <c r="AB130" s="223">
        <v>-1349.5700000000002</v>
      </c>
      <c r="AC130" s="223">
        <v>-33224</v>
      </c>
      <c r="AD130" s="210">
        <v>368361.01</v>
      </c>
      <c r="AE130" s="210">
        <v>11097.28</v>
      </c>
      <c r="AF130" s="210">
        <v>181550.39</v>
      </c>
      <c r="AG130" s="210">
        <v>1754.4200000000003</v>
      </c>
      <c r="AH130" s="210">
        <v>51209.009999999995</v>
      </c>
      <c r="AI130" s="210">
        <v>0</v>
      </c>
      <c r="AJ130" s="210">
        <v>24416.82</v>
      </c>
      <c r="AK130" s="210">
        <v>4221.51</v>
      </c>
      <c r="AL130" s="210">
        <v>4683.08</v>
      </c>
      <c r="AM130" s="210">
        <v>3686.29</v>
      </c>
      <c r="AN130" s="210">
        <v>1123.03</v>
      </c>
      <c r="AO130" s="210">
        <v>9004.3900000000012</v>
      </c>
      <c r="AP130" s="210">
        <v>1700.79</v>
      </c>
      <c r="AQ130" s="210">
        <v>16165.68</v>
      </c>
      <c r="AR130" s="210">
        <v>4565.8900000000003</v>
      </c>
      <c r="AS130" s="210">
        <v>13501.400000000001</v>
      </c>
      <c r="AT130" s="210">
        <v>13684.86</v>
      </c>
      <c r="AU130" s="210">
        <v>2013.74</v>
      </c>
      <c r="AV130" s="210">
        <v>38648.059999999983</v>
      </c>
      <c r="AW130" s="312">
        <v>96.55999999999986</v>
      </c>
      <c r="AX130" s="210">
        <v>2500.88</v>
      </c>
      <c r="AY130" s="210">
        <v>0</v>
      </c>
      <c r="AZ130" s="210">
        <v>2199.29</v>
      </c>
      <c r="BA130" s="210">
        <v>0</v>
      </c>
      <c r="BB130" s="210">
        <v>0</v>
      </c>
      <c r="BC130" s="210">
        <v>0</v>
      </c>
      <c r="BD130" s="210">
        <v>2540</v>
      </c>
      <c r="BE130" s="210">
        <v>0</v>
      </c>
      <c r="BF130" s="210">
        <v>2866.0299999999997</v>
      </c>
      <c r="BG130" s="210">
        <v>5448.5599999999995</v>
      </c>
      <c r="BH130" s="210">
        <v>0</v>
      </c>
      <c r="BI130" s="210">
        <v>25979.38</v>
      </c>
      <c r="BJ130" s="210">
        <v>14281.7</v>
      </c>
      <c r="BK130" s="210">
        <v>21435.910000000003</v>
      </c>
      <c r="BL130" s="210">
        <v>9987.7100000000028</v>
      </c>
      <c r="BM130" s="210">
        <v>0</v>
      </c>
      <c r="BN130" s="210">
        <v>0</v>
      </c>
      <c r="BO130" s="210">
        <v>5389.91</v>
      </c>
      <c r="BP130" s="210">
        <v>7818.06</v>
      </c>
      <c r="BQ130" s="211">
        <v>-23292.5</v>
      </c>
      <c r="BR130" s="211">
        <v>0</v>
      </c>
      <c r="BS130" s="211">
        <v>0</v>
      </c>
      <c r="BT130" s="212">
        <v>0</v>
      </c>
      <c r="BU130" s="212">
        <v>553.75</v>
      </c>
      <c r="BV130" s="212">
        <v>0</v>
      </c>
      <c r="BW130" s="212">
        <v>0</v>
      </c>
      <c r="BX130" s="212">
        <v>0</v>
      </c>
      <c r="BY130" s="212">
        <v>0</v>
      </c>
      <c r="BZ130" s="212">
        <v>0</v>
      </c>
      <c r="CA130" s="212">
        <v>0</v>
      </c>
      <c r="CB130" s="212">
        <v>0</v>
      </c>
      <c r="CC130" s="224">
        <v>-112773.3799999999</v>
      </c>
      <c r="CD130" s="213"/>
      <c r="CE130" s="211">
        <v>44544.369999999937</v>
      </c>
      <c r="CF130" s="211">
        <v>0</v>
      </c>
      <c r="CG130" s="211">
        <v>0</v>
      </c>
      <c r="CH130" s="211">
        <v>11060.739999999998</v>
      </c>
      <c r="CI130" s="211">
        <v>11264.75</v>
      </c>
      <c r="CJ130" s="211">
        <v>45903.66</v>
      </c>
      <c r="CK130" s="211">
        <v>112773.51999999993</v>
      </c>
      <c r="CL130" s="201"/>
      <c r="CM130" s="201">
        <f t="shared" si="25"/>
        <v>0.14000000002852175</v>
      </c>
      <c r="CN130" s="340">
        <f t="shared" si="26"/>
        <v>44544.369999999937</v>
      </c>
      <c r="CO130" s="340">
        <f t="shared" si="27"/>
        <v>0</v>
      </c>
      <c r="CP130" s="340">
        <f t="shared" si="28"/>
        <v>0</v>
      </c>
      <c r="CQ130" s="340">
        <f t="shared" si="29"/>
        <v>11060.739999999998</v>
      </c>
      <c r="CR130" s="340">
        <f t="shared" si="30"/>
        <v>11264.75</v>
      </c>
      <c r="CS130" s="340">
        <f t="shared" si="31"/>
        <v>45903.66</v>
      </c>
      <c r="CT130" s="90">
        <f t="shared" si="32"/>
        <v>112773.51999999993</v>
      </c>
      <c r="CV130" s="90">
        <f t="shared" si="33"/>
        <v>0</v>
      </c>
    </row>
    <row r="131" spans="1:100">
      <c r="A131" s="325">
        <v>808</v>
      </c>
      <c r="B131" s="325" t="s">
        <v>268</v>
      </c>
      <c r="C131" s="209">
        <v>-105786.93</v>
      </c>
      <c r="D131" s="209">
        <v>-1641.55</v>
      </c>
      <c r="E131" s="209">
        <v>0</v>
      </c>
      <c r="F131" s="209">
        <v>0</v>
      </c>
      <c r="G131" s="209">
        <v>0</v>
      </c>
      <c r="H131" s="209">
        <v>0</v>
      </c>
      <c r="I131" s="223">
        <v>-585670.42000000004</v>
      </c>
      <c r="J131" s="223">
        <v>0</v>
      </c>
      <c r="K131" s="223">
        <v>-6688</v>
      </c>
      <c r="L131" s="223">
        <v>0</v>
      </c>
      <c r="M131" s="223">
        <v>-10700</v>
      </c>
      <c r="N131" s="223">
        <v>-800</v>
      </c>
      <c r="O131" s="223">
        <v>-400</v>
      </c>
      <c r="P131" s="223">
        <v>0</v>
      </c>
      <c r="Q131" s="223">
        <v>-76358.890000000014</v>
      </c>
      <c r="R131" s="223">
        <v>-13184.310000000001</v>
      </c>
      <c r="S131" s="223">
        <v>0</v>
      </c>
      <c r="T131" s="223">
        <v>0</v>
      </c>
      <c r="U131" s="223">
        <v>-10935.439999999997</v>
      </c>
      <c r="V131" s="223">
        <v>-25409.3</v>
      </c>
      <c r="W131" s="223">
        <v>0</v>
      </c>
      <c r="X131" s="223">
        <v>0</v>
      </c>
      <c r="Y131" s="223">
        <v>0</v>
      </c>
      <c r="Z131" s="223">
        <v>0</v>
      </c>
      <c r="AA131" s="223">
        <v>0</v>
      </c>
      <c r="AB131" s="223">
        <v>-628.25</v>
      </c>
      <c r="AC131" s="223">
        <v>-42024</v>
      </c>
      <c r="AD131" s="210">
        <v>365462.78</v>
      </c>
      <c r="AE131" s="210">
        <v>7255.45</v>
      </c>
      <c r="AF131" s="210">
        <v>119918.88999999998</v>
      </c>
      <c r="AG131" s="210">
        <v>18021.75</v>
      </c>
      <c r="AH131" s="210">
        <v>29767.99</v>
      </c>
      <c r="AI131" s="210">
        <v>0</v>
      </c>
      <c r="AJ131" s="210">
        <v>18869.809999999998</v>
      </c>
      <c r="AK131" s="210">
        <v>2145.9899999999998</v>
      </c>
      <c r="AL131" s="210">
        <v>2207.94</v>
      </c>
      <c r="AM131" s="210">
        <v>277.55</v>
      </c>
      <c r="AN131" s="210">
        <v>0</v>
      </c>
      <c r="AO131" s="210">
        <v>5162.8099999999995</v>
      </c>
      <c r="AP131" s="210">
        <v>7635.76</v>
      </c>
      <c r="AQ131" s="210">
        <v>1421.28</v>
      </c>
      <c r="AR131" s="210">
        <v>505.73</v>
      </c>
      <c r="AS131" s="210">
        <v>12625.699999999997</v>
      </c>
      <c r="AT131" s="210">
        <v>5860.23</v>
      </c>
      <c r="AU131" s="210">
        <v>8123.4099999999989</v>
      </c>
      <c r="AV131" s="210">
        <v>28414.48</v>
      </c>
      <c r="AW131" s="312">
        <v>0</v>
      </c>
      <c r="AX131" s="210">
        <v>2014.3500000000001</v>
      </c>
      <c r="AY131" s="210">
        <v>8137.61</v>
      </c>
      <c r="AZ131" s="210">
        <v>1170.0999999999999</v>
      </c>
      <c r="BA131" s="210">
        <v>0</v>
      </c>
      <c r="BB131" s="210">
        <v>6854.07</v>
      </c>
      <c r="BC131" s="210">
        <v>2778.69</v>
      </c>
      <c r="BD131" s="210">
        <v>2520.63</v>
      </c>
      <c r="BE131" s="210">
        <v>0</v>
      </c>
      <c r="BF131" s="210">
        <v>3613.46</v>
      </c>
      <c r="BG131" s="210">
        <v>4767.49</v>
      </c>
      <c r="BH131" s="210">
        <v>0</v>
      </c>
      <c r="BI131" s="210">
        <v>29886.26</v>
      </c>
      <c r="BJ131" s="210">
        <v>0</v>
      </c>
      <c r="BK131" s="210">
        <v>23194.15</v>
      </c>
      <c r="BL131" s="210">
        <v>38384.129999999997</v>
      </c>
      <c r="BM131" s="210">
        <v>0</v>
      </c>
      <c r="BN131" s="210">
        <v>16980.52</v>
      </c>
      <c r="BO131" s="210">
        <v>0</v>
      </c>
      <c r="BP131" s="210">
        <v>0</v>
      </c>
      <c r="BQ131" s="211">
        <v>-4967.5</v>
      </c>
      <c r="BR131" s="211">
        <v>0</v>
      </c>
      <c r="BS131" s="211">
        <v>-16980.52</v>
      </c>
      <c r="BT131" s="212">
        <v>0</v>
      </c>
      <c r="BU131" s="212">
        <v>16980.52</v>
      </c>
      <c r="BV131" s="212">
        <v>0</v>
      </c>
      <c r="BW131" s="212">
        <v>0</v>
      </c>
      <c r="BX131" s="212">
        <v>0</v>
      </c>
      <c r="BY131" s="212">
        <v>0</v>
      </c>
      <c r="BZ131" s="212">
        <v>0</v>
      </c>
      <c r="CA131" s="212">
        <v>0</v>
      </c>
      <c r="CB131" s="212">
        <v>0</v>
      </c>
      <c r="CC131" s="224">
        <v>-111215.58000000012</v>
      </c>
      <c r="CD131" s="213"/>
      <c r="CE131" s="211">
        <v>106267.39000000009</v>
      </c>
      <c r="CF131" s="211">
        <v>4887.6900000000023</v>
      </c>
      <c r="CG131" s="211">
        <v>0</v>
      </c>
      <c r="CH131" s="211">
        <v>0</v>
      </c>
      <c r="CI131" s="211">
        <v>0</v>
      </c>
      <c r="CJ131" s="211">
        <v>0</v>
      </c>
      <c r="CK131" s="211">
        <v>111155.08000000009</v>
      </c>
      <c r="CL131" s="201"/>
      <c r="CM131" s="201">
        <f t="shared" si="25"/>
        <v>-60.500000000029104</v>
      </c>
      <c r="CN131" s="340">
        <f t="shared" si="26"/>
        <v>106267.39000000009</v>
      </c>
      <c r="CO131" s="340">
        <f t="shared" si="27"/>
        <v>4887.6900000000023</v>
      </c>
      <c r="CP131" s="340">
        <f t="shared" si="28"/>
        <v>0</v>
      </c>
      <c r="CQ131" s="340">
        <f t="shared" si="29"/>
        <v>0</v>
      </c>
      <c r="CR131" s="340">
        <f t="shared" si="30"/>
        <v>0</v>
      </c>
      <c r="CS131" s="340">
        <f t="shared" si="31"/>
        <v>0</v>
      </c>
      <c r="CT131" s="90">
        <f t="shared" si="32"/>
        <v>111155.08000000009</v>
      </c>
      <c r="CV131" s="90">
        <f t="shared" si="33"/>
        <v>0</v>
      </c>
    </row>
    <row r="132" spans="1:100">
      <c r="A132" s="325">
        <v>810</v>
      </c>
      <c r="B132" s="325" t="s">
        <v>976</v>
      </c>
      <c r="C132" s="209">
        <v>0</v>
      </c>
      <c r="D132" s="209">
        <v>0</v>
      </c>
      <c r="E132" s="209">
        <v>0</v>
      </c>
      <c r="F132" s="209">
        <v>0</v>
      </c>
      <c r="G132" s="209">
        <v>0</v>
      </c>
      <c r="H132" s="209">
        <v>0</v>
      </c>
      <c r="I132" s="223">
        <v>0</v>
      </c>
      <c r="J132" s="223">
        <v>0</v>
      </c>
      <c r="K132" s="223">
        <v>0</v>
      </c>
      <c r="L132" s="223">
        <v>0</v>
      </c>
      <c r="M132" s="223">
        <v>0</v>
      </c>
      <c r="N132" s="223">
        <v>0</v>
      </c>
      <c r="O132" s="223">
        <v>0</v>
      </c>
      <c r="P132" s="223">
        <v>0</v>
      </c>
      <c r="Q132" s="223">
        <v>0</v>
      </c>
      <c r="R132" s="223">
        <v>0</v>
      </c>
      <c r="S132" s="223">
        <v>0</v>
      </c>
      <c r="T132" s="223">
        <v>0</v>
      </c>
      <c r="U132" s="223">
        <v>0</v>
      </c>
      <c r="V132" s="223">
        <v>0</v>
      </c>
      <c r="W132" s="223">
        <v>0</v>
      </c>
      <c r="X132" s="223">
        <v>0</v>
      </c>
      <c r="Y132" s="223">
        <v>0</v>
      </c>
      <c r="Z132" s="223">
        <v>0</v>
      </c>
      <c r="AA132" s="223">
        <v>0</v>
      </c>
      <c r="AB132" s="223">
        <v>0</v>
      </c>
      <c r="AC132" s="223">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312"/>
      <c r="AX132" s="210">
        <v>0</v>
      </c>
      <c r="AY132" s="210">
        <v>0</v>
      </c>
      <c r="AZ132" s="210">
        <v>0</v>
      </c>
      <c r="BA132" s="210">
        <v>0</v>
      </c>
      <c r="BB132" s="210">
        <v>0</v>
      </c>
      <c r="BC132" s="210">
        <v>0</v>
      </c>
      <c r="BD132" s="210">
        <v>0</v>
      </c>
      <c r="BE132" s="210">
        <v>0</v>
      </c>
      <c r="BF132" s="210">
        <v>0</v>
      </c>
      <c r="BG132" s="210">
        <v>0</v>
      </c>
      <c r="BH132" s="210">
        <v>0</v>
      </c>
      <c r="BI132" s="210">
        <v>0</v>
      </c>
      <c r="BJ132" s="210">
        <v>0</v>
      </c>
      <c r="BK132" s="210">
        <v>0</v>
      </c>
      <c r="BL132" s="210">
        <v>0</v>
      </c>
      <c r="BM132" s="210">
        <v>0</v>
      </c>
      <c r="BN132" s="210">
        <v>0</v>
      </c>
      <c r="BO132" s="210">
        <v>0</v>
      </c>
      <c r="BP132" s="210">
        <v>0</v>
      </c>
      <c r="BQ132" s="211">
        <v>0</v>
      </c>
      <c r="BR132" s="211">
        <v>0</v>
      </c>
      <c r="BS132" s="211">
        <v>0</v>
      </c>
      <c r="BT132" s="212">
        <v>0</v>
      </c>
      <c r="BU132" s="212">
        <v>0</v>
      </c>
      <c r="BV132" s="212">
        <v>0</v>
      </c>
      <c r="BW132" s="212"/>
      <c r="BX132" s="212">
        <v>0</v>
      </c>
      <c r="BY132" s="212">
        <v>0</v>
      </c>
      <c r="BZ132" s="212">
        <v>0</v>
      </c>
      <c r="CA132" s="212">
        <v>0</v>
      </c>
      <c r="CB132" s="212">
        <v>0</v>
      </c>
      <c r="CC132" s="224"/>
      <c r="CD132" s="213"/>
      <c r="CE132" s="211"/>
      <c r="CF132" s="211"/>
      <c r="CG132" s="211"/>
      <c r="CH132" s="211"/>
      <c r="CI132" s="211"/>
      <c r="CJ132" s="211"/>
      <c r="CK132" s="211"/>
      <c r="CL132" s="201"/>
      <c r="CM132" s="201">
        <f t="shared" si="25"/>
        <v>0</v>
      </c>
      <c r="CN132" s="340">
        <f t="shared" ref="CN132:CN163" si="34">CE132-(CL132)</f>
        <v>0</v>
      </c>
      <c r="CO132" s="340">
        <f t="shared" ref="CO132:CO163" si="35">CF132</f>
        <v>0</v>
      </c>
      <c r="CP132" s="340">
        <f t="shared" ref="CP132:CP163" si="36">CG132</f>
        <v>0</v>
      </c>
      <c r="CQ132" s="340">
        <f t="shared" ref="CQ132:CQ163" si="37">CH132</f>
        <v>0</v>
      </c>
      <c r="CR132" s="340">
        <f t="shared" ref="CR132:CR163" si="38">CI132</f>
        <v>0</v>
      </c>
      <c r="CS132" s="340">
        <f t="shared" ref="CS132:CS163" si="39">CJ132</f>
        <v>0</v>
      </c>
      <c r="CT132" s="90">
        <f t="shared" si="32"/>
        <v>0</v>
      </c>
      <c r="CV132" s="90">
        <f t="shared" si="33"/>
        <v>0</v>
      </c>
    </row>
    <row r="133" spans="1:100">
      <c r="A133" s="325">
        <v>811</v>
      </c>
      <c r="B133" s="325" t="s">
        <v>235</v>
      </c>
      <c r="C133" s="209">
        <v>-39806</v>
      </c>
      <c r="D133" s="209">
        <v>-1637.2199999999975</v>
      </c>
      <c r="E133" s="209">
        <v>0</v>
      </c>
      <c r="F133" s="209">
        <v>-2441.9699999999998</v>
      </c>
      <c r="G133" s="209">
        <v>0</v>
      </c>
      <c r="H133" s="209">
        <v>-15031.02</v>
      </c>
      <c r="I133" s="223">
        <v>-1486799.9</v>
      </c>
      <c r="J133" s="223">
        <v>0</v>
      </c>
      <c r="K133" s="223">
        <v>-57591</v>
      </c>
      <c r="L133" s="223">
        <v>0</v>
      </c>
      <c r="M133" s="223">
        <v>-97920</v>
      </c>
      <c r="N133" s="223">
        <v>-7171.29</v>
      </c>
      <c r="O133" s="223">
        <v>0</v>
      </c>
      <c r="P133" s="223">
        <v>0</v>
      </c>
      <c r="Q133" s="223">
        <v>-46529.61</v>
      </c>
      <c r="R133" s="223">
        <v>-28297.309999999998</v>
      </c>
      <c r="S133" s="223">
        <v>0</v>
      </c>
      <c r="T133" s="223">
        <v>-23019.360000000001</v>
      </c>
      <c r="U133" s="223">
        <v>-26119.049999999996</v>
      </c>
      <c r="V133" s="223">
        <v>-16554.3</v>
      </c>
      <c r="W133" s="223">
        <v>0</v>
      </c>
      <c r="X133" s="223">
        <v>-126391.45000000001</v>
      </c>
      <c r="Y133" s="223">
        <v>-12367</v>
      </c>
      <c r="Z133" s="223">
        <v>0</v>
      </c>
      <c r="AA133" s="223">
        <v>0</v>
      </c>
      <c r="AB133" s="223">
        <v>-272.5</v>
      </c>
      <c r="AC133" s="223">
        <v>-66872</v>
      </c>
      <c r="AD133" s="210">
        <v>949434.27999999991</v>
      </c>
      <c r="AE133" s="210">
        <v>9313.82</v>
      </c>
      <c r="AF133" s="210">
        <v>280610.26</v>
      </c>
      <c r="AG133" s="210">
        <v>84536.46</v>
      </c>
      <c r="AH133" s="210">
        <v>95389.969999999987</v>
      </c>
      <c r="AI133" s="210">
        <v>44266.630000000005</v>
      </c>
      <c r="AJ133" s="210">
        <v>47130</v>
      </c>
      <c r="AK133" s="210">
        <v>5438.33</v>
      </c>
      <c r="AL133" s="210">
        <v>6171.67</v>
      </c>
      <c r="AM133" s="210">
        <v>814.35</v>
      </c>
      <c r="AN133" s="210">
        <v>0</v>
      </c>
      <c r="AO133" s="210">
        <v>32383.050000000014</v>
      </c>
      <c r="AP133" s="210">
        <v>2168.7199999999993</v>
      </c>
      <c r="AQ133" s="210">
        <v>4181.78</v>
      </c>
      <c r="AR133" s="210">
        <v>3287.3100000000004</v>
      </c>
      <c r="AS133" s="210">
        <v>33009.51</v>
      </c>
      <c r="AT133" s="210">
        <v>54030.01</v>
      </c>
      <c r="AU133" s="210">
        <v>6167.02</v>
      </c>
      <c r="AV133" s="210">
        <v>84767.169999999984</v>
      </c>
      <c r="AW133" s="312">
        <v>0</v>
      </c>
      <c r="AX133" s="210">
        <v>6388.53</v>
      </c>
      <c r="AY133" s="210">
        <v>0</v>
      </c>
      <c r="AZ133" s="210">
        <v>6457.3899999999994</v>
      </c>
      <c r="BA133" s="210">
        <v>6676.09</v>
      </c>
      <c r="BB133" s="210">
        <v>5976.97</v>
      </c>
      <c r="BC133" s="210">
        <v>2541.98</v>
      </c>
      <c r="BD133" s="210">
        <v>2670</v>
      </c>
      <c r="BE133" s="210">
        <v>0</v>
      </c>
      <c r="BF133" s="210">
        <v>3776.4000000000005</v>
      </c>
      <c r="BG133" s="210">
        <v>13988.130000000001</v>
      </c>
      <c r="BH133" s="210">
        <v>0</v>
      </c>
      <c r="BI133" s="210">
        <v>62021.609999999935</v>
      </c>
      <c r="BJ133" s="210">
        <v>11915.380000000001</v>
      </c>
      <c r="BK133" s="210">
        <v>8986.82</v>
      </c>
      <c r="BL133" s="210">
        <v>18292.850000000006</v>
      </c>
      <c r="BM133" s="210">
        <v>0</v>
      </c>
      <c r="BN133" s="210">
        <v>0</v>
      </c>
      <c r="BO133" s="210">
        <v>109419.8</v>
      </c>
      <c r="BP133" s="210">
        <v>22132.580000000005</v>
      </c>
      <c r="BQ133" s="211">
        <v>-6936.25</v>
      </c>
      <c r="BR133" s="211">
        <v>0</v>
      </c>
      <c r="BS133" s="211">
        <v>0</v>
      </c>
      <c r="BT133" s="212">
        <v>0</v>
      </c>
      <c r="BU133" s="212">
        <v>0</v>
      </c>
      <c r="BV133" s="212">
        <v>0</v>
      </c>
      <c r="BW133" s="212">
        <v>0</v>
      </c>
      <c r="BX133" s="212">
        <v>0</v>
      </c>
      <c r="BY133" s="212">
        <v>0</v>
      </c>
      <c r="BZ133" s="212">
        <v>0</v>
      </c>
      <c r="CA133" s="212">
        <v>0</v>
      </c>
      <c r="CB133" s="212">
        <v>0</v>
      </c>
      <c r="CC133" s="224">
        <v>-37412.36000000019</v>
      </c>
      <c r="CD133" s="213"/>
      <c r="CE133" s="211">
        <v>5340.3999999996831</v>
      </c>
      <c r="CF133" s="211">
        <v>456.65</v>
      </c>
      <c r="CG133" s="211">
        <v>0</v>
      </c>
      <c r="CH133" s="211">
        <v>9378.2199999999993</v>
      </c>
      <c r="CI133" s="211">
        <v>0</v>
      </c>
      <c r="CJ133" s="211">
        <v>22237.089999999997</v>
      </c>
      <c r="CK133" s="211">
        <v>37412.35999999968</v>
      </c>
      <c r="CL133" s="201"/>
      <c r="CM133" s="201">
        <f t="shared" ref="CM133:CM180" si="40">CC133+CK133</f>
        <v>-5.0931703299283981E-10</v>
      </c>
      <c r="CN133" s="340">
        <f t="shared" si="34"/>
        <v>5340.3999999996831</v>
      </c>
      <c r="CO133" s="340">
        <f t="shared" si="35"/>
        <v>456.65</v>
      </c>
      <c r="CP133" s="340">
        <f t="shared" si="36"/>
        <v>0</v>
      </c>
      <c r="CQ133" s="340">
        <f t="shared" si="37"/>
        <v>9378.2199999999993</v>
      </c>
      <c r="CR133" s="340">
        <f t="shared" si="38"/>
        <v>0</v>
      </c>
      <c r="CS133" s="340">
        <f t="shared" si="39"/>
        <v>22237.089999999997</v>
      </c>
      <c r="CT133" s="90">
        <f t="shared" si="32"/>
        <v>37412.35999999968</v>
      </c>
      <c r="CV133" s="90">
        <f t="shared" si="33"/>
        <v>0</v>
      </c>
    </row>
    <row r="134" spans="1:100">
      <c r="A134" s="325">
        <v>812</v>
      </c>
      <c r="B134" s="325" t="s">
        <v>208</v>
      </c>
      <c r="C134" s="209">
        <v>-73638.03</v>
      </c>
      <c r="D134" s="209">
        <v>-7885.2</v>
      </c>
      <c r="E134" s="209">
        <v>0</v>
      </c>
      <c r="F134" s="209">
        <v>-6344.25</v>
      </c>
      <c r="G134" s="209">
        <v>0</v>
      </c>
      <c r="H134" s="209">
        <v>-17655.84</v>
      </c>
      <c r="I134" s="223">
        <v>-1476415.47</v>
      </c>
      <c r="J134" s="223">
        <v>0</v>
      </c>
      <c r="K134" s="223">
        <v>-154600</v>
      </c>
      <c r="L134" s="223">
        <v>0</v>
      </c>
      <c r="M134" s="223">
        <v>-75060</v>
      </c>
      <c r="N134" s="223">
        <v>-4000</v>
      </c>
      <c r="O134" s="223">
        <v>0</v>
      </c>
      <c r="P134" s="223">
        <v>-1130</v>
      </c>
      <c r="Q134" s="223">
        <v>-78588.73000000004</v>
      </c>
      <c r="R134" s="223">
        <v>0</v>
      </c>
      <c r="S134" s="223">
        <v>0</v>
      </c>
      <c r="T134" s="223">
        <v>0</v>
      </c>
      <c r="U134" s="223">
        <v>-35848.420000000006</v>
      </c>
      <c r="V134" s="223">
        <v>-6313.62</v>
      </c>
      <c r="W134" s="223">
        <v>0</v>
      </c>
      <c r="X134" s="223">
        <v>-258614.20000000007</v>
      </c>
      <c r="Y134" s="223">
        <v>-16674.54</v>
      </c>
      <c r="Z134" s="223">
        <v>0</v>
      </c>
      <c r="AA134" s="223">
        <v>0</v>
      </c>
      <c r="AB134" s="223">
        <v>-2776.25</v>
      </c>
      <c r="AC134" s="223">
        <v>-77738</v>
      </c>
      <c r="AD134" s="210">
        <v>924267.45000000019</v>
      </c>
      <c r="AE134" s="210">
        <v>13763.980000000001</v>
      </c>
      <c r="AF134" s="210">
        <v>406578.28</v>
      </c>
      <c r="AG134" s="210">
        <v>26119.81</v>
      </c>
      <c r="AH134" s="210">
        <v>69237.81</v>
      </c>
      <c r="AI134" s="210">
        <v>0</v>
      </c>
      <c r="AJ134" s="210">
        <v>83769.579999999987</v>
      </c>
      <c r="AK134" s="210">
        <v>7239.89</v>
      </c>
      <c r="AL134" s="210">
        <v>9683.33</v>
      </c>
      <c r="AM134" s="210">
        <v>869.25</v>
      </c>
      <c r="AN134" s="210">
        <v>0</v>
      </c>
      <c r="AO134" s="210">
        <v>14076.04</v>
      </c>
      <c r="AP134" s="210">
        <v>3837.5200000000004</v>
      </c>
      <c r="AQ134" s="210">
        <v>13611.889999999998</v>
      </c>
      <c r="AR134" s="210">
        <v>4989.17</v>
      </c>
      <c r="AS134" s="210">
        <v>36940.119999999995</v>
      </c>
      <c r="AT134" s="210">
        <v>54635.91</v>
      </c>
      <c r="AU134" s="210">
        <v>5327.58</v>
      </c>
      <c r="AV134" s="210">
        <v>83308.400000000009</v>
      </c>
      <c r="AW134" s="312">
        <v>5.4001247917767614E-13</v>
      </c>
      <c r="AX134" s="210">
        <v>2399</v>
      </c>
      <c r="AY134" s="210">
        <v>0</v>
      </c>
      <c r="AZ134" s="210">
        <v>8887.27</v>
      </c>
      <c r="BA134" s="210">
        <v>1889.14</v>
      </c>
      <c r="BB134" s="210">
        <v>7563.8099999999995</v>
      </c>
      <c r="BC134" s="210">
        <v>29.21</v>
      </c>
      <c r="BD134" s="210">
        <v>5649</v>
      </c>
      <c r="BE134" s="210">
        <v>0</v>
      </c>
      <c r="BF134" s="210">
        <v>5013.22</v>
      </c>
      <c r="BG134" s="210">
        <v>14931.15</v>
      </c>
      <c r="BH134" s="210">
        <v>0</v>
      </c>
      <c r="BI134" s="210">
        <v>79142.92</v>
      </c>
      <c r="BJ134" s="210">
        <v>8996.64</v>
      </c>
      <c r="BK134" s="210">
        <v>24859</v>
      </c>
      <c r="BL134" s="210">
        <v>18922.210000000003</v>
      </c>
      <c r="BM134" s="210">
        <v>0</v>
      </c>
      <c r="BN134" s="210">
        <v>0</v>
      </c>
      <c r="BO134" s="210">
        <v>235535.24000000002</v>
      </c>
      <c r="BP134" s="210">
        <v>14184.1</v>
      </c>
      <c r="BQ134" s="211">
        <v>-7037.5</v>
      </c>
      <c r="BR134" s="211">
        <v>0</v>
      </c>
      <c r="BS134" s="211">
        <v>0</v>
      </c>
      <c r="BT134" s="212">
        <v>0</v>
      </c>
      <c r="BU134" s="212">
        <v>1725.75</v>
      </c>
      <c r="BV134" s="212">
        <v>0</v>
      </c>
      <c r="BW134" s="212">
        <v>0</v>
      </c>
      <c r="BX134" s="212">
        <v>0</v>
      </c>
      <c r="BY134" s="212">
        <v>0</v>
      </c>
      <c r="BZ134" s="212">
        <v>0</v>
      </c>
      <c r="CA134" s="212">
        <v>870</v>
      </c>
      <c r="CB134" s="212">
        <v>0</v>
      </c>
      <c r="CC134" s="224">
        <v>-111466.37999999983</v>
      </c>
      <c r="CD134" s="213"/>
      <c r="CE134" s="211">
        <v>68424.019999999975</v>
      </c>
      <c r="CF134" s="211">
        <v>7247.91</v>
      </c>
      <c r="CG134" s="211">
        <v>0</v>
      </c>
      <c r="CH134" s="211">
        <v>10786</v>
      </c>
      <c r="CI134" s="211">
        <v>0</v>
      </c>
      <c r="CJ134" s="211">
        <v>25008.45000000007</v>
      </c>
      <c r="CK134" s="211">
        <v>111466.38000000005</v>
      </c>
      <c r="CL134" s="201"/>
      <c r="CM134" s="201">
        <f t="shared" si="40"/>
        <v>2.1827872842550278E-10</v>
      </c>
      <c r="CN134" s="340">
        <f t="shared" si="34"/>
        <v>68424.019999999975</v>
      </c>
      <c r="CO134" s="340">
        <f t="shared" si="35"/>
        <v>7247.91</v>
      </c>
      <c r="CP134" s="340">
        <f t="shared" si="36"/>
        <v>0</v>
      </c>
      <c r="CQ134" s="340">
        <f t="shared" si="37"/>
        <v>10786</v>
      </c>
      <c r="CR134" s="340">
        <f t="shared" si="38"/>
        <v>0</v>
      </c>
      <c r="CS134" s="340">
        <f t="shared" si="39"/>
        <v>25008.45000000007</v>
      </c>
      <c r="CT134" s="90">
        <f t="shared" si="32"/>
        <v>111466.38000000005</v>
      </c>
      <c r="CV134" s="90">
        <f t="shared" si="33"/>
        <v>0</v>
      </c>
    </row>
    <row r="135" spans="1:100">
      <c r="A135" s="325">
        <v>815</v>
      </c>
      <c r="B135" s="325" t="s">
        <v>408</v>
      </c>
      <c r="C135" s="209">
        <v>-35795.379999999997</v>
      </c>
      <c r="D135" s="209">
        <v>0</v>
      </c>
      <c r="E135" s="209">
        <v>0</v>
      </c>
      <c r="F135" s="209">
        <v>0</v>
      </c>
      <c r="G135" s="209">
        <v>0</v>
      </c>
      <c r="H135" s="209">
        <v>0</v>
      </c>
      <c r="I135" s="223">
        <v>0</v>
      </c>
      <c r="J135" s="223">
        <v>0</v>
      </c>
      <c r="K135" s="223">
        <v>0</v>
      </c>
      <c r="L135" s="223">
        <v>0</v>
      </c>
      <c r="M135" s="223">
        <v>0</v>
      </c>
      <c r="N135" s="223">
        <v>0</v>
      </c>
      <c r="O135" s="223">
        <v>0</v>
      </c>
      <c r="P135" s="223">
        <v>0</v>
      </c>
      <c r="Q135" s="223">
        <v>0</v>
      </c>
      <c r="R135" s="223">
        <v>0</v>
      </c>
      <c r="S135" s="223">
        <v>0</v>
      </c>
      <c r="T135" s="223">
        <v>0</v>
      </c>
      <c r="U135" s="223">
        <v>0</v>
      </c>
      <c r="V135" s="223">
        <v>0</v>
      </c>
      <c r="W135" s="223">
        <v>0</v>
      </c>
      <c r="X135" s="223">
        <v>0</v>
      </c>
      <c r="Y135" s="223">
        <v>0</v>
      </c>
      <c r="Z135" s="223">
        <v>0</v>
      </c>
      <c r="AA135" s="223">
        <v>0</v>
      </c>
      <c r="AB135" s="223">
        <v>0</v>
      </c>
      <c r="AC135" s="223">
        <v>0</v>
      </c>
      <c r="AD135" s="210">
        <v>0</v>
      </c>
      <c r="AE135" s="210">
        <v>0</v>
      </c>
      <c r="AF135" s="210">
        <v>0</v>
      </c>
      <c r="AG135" s="210">
        <v>0</v>
      </c>
      <c r="AH135" s="210">
        <v>0</v>
      </c>
      <c r="AI135" s="210">
        <v>0</v>
      </c>
      <c r="AJ135" s="210">
        <v>0</v>
      </c>
      <c r="AK135" s="210">
        <v>0</v>
      </c>
      <c r="AL135" s="210">
        <v>0</v>
      </c>
      <c r="AM135" s="210">
        <v>0</v>
      </c>
      <c r="AN135" s="210">
        <v>0</v>
      </c>
      <c r="AO135" s="210">
        <v>0</v>
      </c>
      <c r="AP135" s="210">
        <v>388.98</v>
      </c>
      <c r="AQ135" s="210">
        <v>0</v>
      </c>
      <c r="AR135" s="210">
        <v>0</v>
      </c>
      <c r="AS135" s="210">
        <v>0</v>
      </c>
      <c r="AT135" s="210">
        <v>0</v>
      </c>
      <c r="AU135" s="210">
        <v>0</v>
      </c>
      <c r="AV135" s="210">
        <v>28634.92</v>
      </c>
      <c r="AW135" s="312">
        <v>0</v>
      </c>
      <c r="AX135" s="210">
        <v>0</v>
      </c>
      <c r="AY135" s="210">
        <v>0</v>
      </c>
      <c r="AZ135" s="210">
        <v>0</v>
      </c>
      <c r="BA135" s="210">
        <v>0</v>
      </c>
      <c r="BB135" s="210">
        <v>0</v>
      </c>
      <c r="BC135" s="210">
        <v>0</v>
      </c>
      <c r="BD135" s="210">
        <v>1225.8900000000001</v>
      </c>
      <c r="BE135" s="210">
        <v>0</v>
      </c>
      <c r="BF135" s="210">
        <v>1080.6500000000001</v>
      </c>
      <c r="BG135" s="210">
        <v>0</v>
      </c>
      <c r="BH135" s="210">
        <v>0</v>
      </c>
      <c r="BI135" s="210">
        <v>82.62</v>
      </c>
      <c r="BJ135" s="210">
        <v>0</v>
      </c>
      <c r="BK135" s="210">
        <v>2299.83</v>
      </c>
      <c r="BL135" s="210">
        <v>2082.4899999999998</v>
      </c>
      <c r="BM135" s="210">
        <v>0</v>
      </c>
      <c r="BN135" s="210">
        <v>0</v>
      </c>
      <c r="BO135" s="210">
        <v>0</v>
      </c>
      <c r="BP135" s="210">
        <v>0</v>
      </c>
      <c r="BQ135" s="211">
        <v>0</v>
      </c>
      <c r="BR135" s="211">
        <v>0</v>
      </c>
      <c r="BS135" s="211">
        <v>0</v>
      </c>
      <c r="BT135" s="212">
        <v>0</v>
      </c>
      <c r="BU135" s="212">
        <v>0</v>
      </c>
      <c r="BV135" s="212">
        <v>0</v>
      </c>
      <c r="BW135" s="212">
        <v>0</v>
      </c>
      <c r="BX135" s="212">
        <v>0</v>
      </c>
      <c r="BY135" s="212">
        <v>0</v>
      </c>
      <c r="BZ135" s="212">
        <v>0</v>
      </c>
      <c r="CA135" s="212">
        <v>0</v>
      </c>
      <c r="CB135" s="212">
        <v>0</v>
      </c>
      <c r="CC135" s="224">
        <v>4.5474735088646412E-12</v>
      </c>
      <c r="CD135" s="213"/>
      <c r="CE135" s="211"/>
      <c r="CF135" s="211"/>
      <c r="CG135" s="211"/>
      <c r="CH135" s="211"/>
      <c r="CI135" s="211"/>
      <c r="CJ135" s="211"/>
      <c r="CK135" s="211"/>
      <c r="CL135" s="201"/>
      <c r="CM135" s="201">
        <f t="shared" si="40"/>
        <v>4.5474735088646412E-12</v>
      </c>
      <c r="CN135" s="340">
        <f t="shared" si="34"/>
        <v>0</v>
      </c>
      <c r="CO135" s="340">
        <f t="shared" si="35"/>
        <v>0</v>
      </c>
      <c r="CP135" s="340">
        <f t="shared" si="36"/>
        <v>0</v>
      </c>
      <c r="CQ135" s="340">
        <f t="shared" si="37"/>
        <v>0</v>
      </c>
      <c r="CR135" s="340">
        <f t="shared" si="38"/>
        <v>0</v>
      </c>
      <c r="CS135" s="340">
        <f t="shared" si="39"/>
        <v>0</v>
      </c>
      <c r="CT135" s="90">
        <f t="shared" si="32"/>
        <v>0</v>
      </c>
      <c r="CV135" s="90">
        <f t="shared" si="33"/>
        <v>0</v>
      </c>
    </row>
    <row r="136" spans="1:100">
      <c r="A136" s="325">
        <v>816</v>
      </c>
      <c r="B136" s="325" t="s">
        <v>189</v>
      </c>
      <c r="C136" s="209">
        <v>8583.83</v>
      </c>
      <c r="D136" s="209">
        <v>-12735.78</v>
      </c>
      <c r="E136" s="209">
        <v>0</v>
      </c>
      <c r="F136" s="209">
        <v>-11539.98</v>
      </c>
      <c r="G136" s="209">
        <v>0</v>
      </c>
      <c r="H136" s="209">
        <v>0</v>
      </c>
      <c r="I136" s="223">
        <v>-1081477.54</v>
      </c>
      <c r="J136" s="223">
        <v>0</v>
      </c>
      <c r="K136" s="223">
        <v>-57137</v>
      </c>
      <c r="L136" s="223">
        <v>0</v>
      </c>
      <c r="M136" s="223">
        <v>-34350</v>
      </c>
      <c r="N136" s="223">
        <v>0</v>
      </c>
      <c r="O136" s="223">
        <v>-1200</v>
      </c>
      <c r="P136" s="223">
        <v>-2764.29</v>
      </c>
      <c r="Q136" s="223">
        <v>-10541.630000000001</v>
      </c>
      <c r="R136" s="223">
        <v>0</v>
      </c>
      <c r="S136" s="223">
        <v>0</v>
      </c>
      <c r="T136" s="223">
        <v>-729.5</v>
      </c>
      <c r="U136" s="223">
        <v>-24105.100000000017</v>
      </c>
      <c r="V136" s="223">
        <v>0</v>
      </c>
      <c r="W136" s="223">
        <v>0</v>
      </c>
      <c r="X136" s="223">
        <v>0</v>
      </c>
      <c r="Y136" s="223">
        <v>0</v>
      </c>
      <c r="Z136" s="223">
        <v>0</v>
      </c>
      <c r="AA136" s="223">
        <v>0</v>
      </c>
      <c r="AB136" s="223">
        <v>105</v>
      </c>
      <c r="AC136" s="223">
        <v>-52641</v>
      </c>
      <c r="AD136" s="210">
        <v>630529.96</v>
      </c>
      <c r="AE136" s="210">
        <v>29612.639999999996</v>
      </c>
      <c r="AF136" s="210">
        <v>227992.56999999998</v>
      </c>
      <c r="AG136" s="210">
        <v>45707.23</v>
      </c>
      <c r="AH136" s="210">
        <v>47276.38</v>
      </c>
      <c r="AI136" s="210">
        <v>0</v>
      </c>
      <c r="AJ136" s="210">
        <v>37584.25</v>
      </c>
      <c r="AK136" s="210">
        <v>3904.69</v>
      </c>
      <c r="AL136" s="210">
        <v>4464</v>
      </c>
      <c r="AM136" s="210">
        <v>2665.04</v>
      </c>
      <c r="AN136" s="210">
        <v>505.37</v>
      </c>
      <c r="AO136" s="210">
        <v>9031.32</v>
      </c>
      <c r="AP136" s="210">
        <v>2935.8000000000006</v>
      </c>
      <c r="AQ136" s="210">
        <v>3404.0299999999997</v>
      </c>
      <c r="AR136" s="210">
        <v>1309.7</v>
      </c>
      <c r="AS136" s="210">
        <v>20466.560000000005</v>
      </c>
      <c r="AT136" s="210">
        <v>28271.65</v>
      </c>
      <c r="AU136" s="210">
        <v>2937.9299999999994</v>
      </c>
      <c r="AV136" s="210">
        <v>44639.450000000004</v>
      </c>
      <c r="AW136" s="312">
        <v>0</v>
      </c>
      <c r="AX136" s="210">
        <v>2762.14</v>
      </c>
      <c r="AY136" s="210">
        <v>0</v>
      </c>
      <c r="AZ136" s="210">
        <v>1578.9</v>
      </c>
      <c r="BA136" s="210">
        <v>1405.8500000000001</v>
      </c>
      <c r="BB136" s="210">
        <v>0</v>
      </c>
      <c r="BC136" s="210">
        <v>258.10000000000002</v>
      </c>
      <c r="BD136" s="210">
        <v>7141.01</v>
      </c>
      <c r="BE136" s="210">
        <v>0</v>
      </c>
      <c r="BF136" s="210">
        <v>4239.38</v>
      </c>
      <c r="BG136" s="210">
        <v>11054.29</v>
      </c>
      <c r="BH136" s="210">
        <v>0</v>
      </c>
      <c r="BI136" s="210">
        <v>47011.32</v>
      </c>
      <c r="BJ136" s="210">
        <v>496.83000000000004</v>
      </c>
      <c r="BK136" s="210">
        <v>37673.300000000003</v>
      </c>
      <c r="BL136" s="210">
        <v>24749.17</v>
      </c>
      <c r="BM136" s="210">
        <v>0</v>
      </c>
      <c r="BN136" s="210">
        <v>0</v>
      </c>
      <c r="BO136" s="210">
        <v>0</v>
      </c>
      <c r="BP136" s="210">
        <v>0</v>
      </c>
      <c r="BQ136" s="211">
        <v>-6362.5</v>
      </c>
      <c r="BR136" s="211">
        <v>0</v>
      </c>
      <c r="BS136" s="211">
        <v>0</v>
      </c>
      <c r="BT136" s="212">
        <v>0</v>
      </c>
      <c r="BU136" s="212">
        <v>12986.5</v>
      </c>
      <c r="BV136" s="212">
        <v>0</v>
      </c>
      <c r="BW136" s="212">
        <v>0</v>
      </c>
      <c r="BX136" s="212">
        <v>0</v>
      </c>
      <c r="BY136" s="212">
        <v>0</v>
      </c>
      <c r="BZ136" s="212">
        <v>0</v>
      </c>
      <c r="CA136" s="212">
        <v>2460.83</v>
      </c>
      <c r="CB136" s="212">
        <v>0</v>
      </c>
      <c r="CC136" s="224">
        <v>10160.699999999944</v>
      </c>
      <c r="CD136" s="213"/>
      <c r="CE136" s="211">
        <v>-24141.739999999812</v>
      </c>
      <c r="CF136" s="211">
        <v>11525.89</v>
      </c>
      <c r="CG136" s="211">
        <v>0</v>
      </c>
      <c r="CH136" s="211">
        <v>2455.1499999999996</v>
      </c>
      <c r="CI136" s="211">
        <v>0</v>
      </c>
      <c r="CJ136" s="211">
        <v>0</v>
      </c>
      <c r="CK136" s="211">
        <v>-10160.699999999813</v>
      </c>
      <c r="CL136" s="201"/>
      <c r="CM136" s="201">
        <f t="shared" si="40"/>
        <v>1.3096723705530167E-10</v>
      </c>
      <c r="CN136" s="340">
        <f t="shared" si="34"/>
        <v>-24141.739999999812</v>
      </c>
      <c r="CO136" s="340">
        <f t="shared" si="35"/>
        <v>11525.89</v>
      </c>
      <c r="CP136" s="340">
        <f t="shared" si="36"/>
        <v>0</v>
      </c>
      <c r="CQ136" s="340">
        <f t="shared" si="37"/>
        <v>2455.1499999999996</v>
      </c>
      <c r="CR136" s="340">
        <f t="shared" si="38"/>
        <v>0</v>
      </c>
      <c r="CS136" s="340">
        <f t="shared" si="39"/>
        <v>0</v>
      </c>
      <c r="CT136" s="90">
        <f t="shared" si="32"/>
        <v>-10160.699999999813</v>
      </c>
      <c r="CV136" s="90">
        <f t="shared" si="33"/>
        <v>0</v>
      </c>
    </row>
    <row r="137" spans="1:100">
      <c r="A137" s="325">
        <v>817</v>
      </c>
      <c r="B137" s="325" t="s">
        <v>409</v>
      </c>
      <c r="C137" s="209">
        <v>-32600.959999999999</v>
      </c>
      <c r="D137" s="209">
        <v>-9640</v>
      </c>
      <c r="E137" s="209">
        <v>0</v>
      </c>
      <c r="F137" s="209">
        <v>-24853.11</v>
      </c>
      <c r="G137" s="209">
        <v>0</v>
      </c>
      <c r="H137" s="209">
        <v>28683.05</v>
      </c>
      <c r="I137" s="223">
        <v>-2156711.67</v>
      </c>
      <c r="J137" s="223">
        <v>0</v>
      </c>
      <c r="K137" s="223">
        <v>-229070</v>
      </c>
      <c r="L137" s="223">
        <v>0</v>
      </c>
      <c r="M137" s="223">
        <v>-177752</v>
      </c>
      <c r="N137" s="223">
        <v>-7800</v>
      </c>
      <c r="O137" s="223">
        <v>-8030.59</v>
      </c>
      <c r="P137" s="223">
        <v>-975</v>
      </c>
      <c r="Q137" s="223">
        <v>-54827.200000000012</v>
      </c>
      <c r="R137" s="223">
        <v>-42.599999999999994</v>
      </c>
      <c r="S137" s="223">
        <v>0</v>
      </c>
      <c r="T137" s="223">
        <v>0</v>
      </c>
      <c r="U137" s="223">
        <v>-25673.060000000005</v>
      </c>
      <c r="V137" s="223">
        <v>-10879.52</v>
      </c>
      <c r="W137" s="223">
        <v>0</v>
      </c>
      <c r="X137" s="223">
        <v>-241558.75000000009</v>
      </c>
      <c r="Y137" s="223">
        <v>-23184</v>
      </c>
      <c r="Z137" s="223">
        <v>0</v>
      </c>
      <c r="AA137" s="223">
        <v>0</v>
      </c>
      <c r="AB137" s="223">
        <v>-6200.63</v>
      </c>
      <c r="AC137" s="223">
        <v>-88843</v>
      </c>
      <c r="AD137" s="210">
        <v>1153417.2</v>
      </c>
      <c r="AE137" s="210">
        <v>8098.22</v>
      </c>
      <c r="AF137" s="210">
        <v>454903.58000000013</v>
      </c>
      <c r="AG137" s="210">
        <v>40341.170000000006</v>
      </c>
      <c r="AH137" s="210">
        <v>127710.71000000002</v>
      </c>
      <c r="AI137" s="210">
        <v>0</v>
      </c>
      <c r="AJ137" s="210">
        <v>91910.52</v>
      </c>
      <c r="AK137" s="210">
        <v>7741.6399999999994</v>
      </c>
      <c r="AL137" s="210">
        <v>7325.5</v>
      </c>
      <c r="AM137" s="210">
        <v>1256.5999999999999</v>
      </c>
      <c r="AN137" s="210">
        <v>0</v>
      </c>
      <c r="AO137" s="210">
        <v>30988.19</v>
      </c>
      <c r="AP137" s="210">
        <v>570.02</v>
      </c>
      <c r="AQ137" s="210">
        <v>28229.81</v>
      </c>
      <c r="AR137" s="210">
        <v>4296.8399999999992</v>
      </c>
      <c r="AS137" s="210">
        <v>50779.46</v>
      </c>
      <c r="AT137" s="210">
        <v>75128.22</v>
      </c>
      <c r="AU137" s="210">
        <v>5864.98</v>
      </c>
      <c r="AV137" s="210">
        <v>106367.79000000001</v>
      </c>
      <c r="AW137" s="312">
        <v>6465.1099999999988</v>
      </c>
      <c r="AX137" s="210">
        <v>0</v>
      </c>
      <c r="AY137" s="210">
        <v>0</v>
      </c>
      <c r="AZ137" s="210">
        <v>0</v>
      </c>
      <c r="BA137" s="210">
        <v>0</v>
      </c>
      <c r="BB137" s="210">
        <v>0</v>
      </c>
      <c r="BC137" s="210">
        <v>0</v>
      </c>
      <c r="BD137" s="210">
        <v>3600</v>
      </c>
      <c r="BE137" s="210">
        <v>0</v>
      </c>
      <c r="BF137" s="210">
        <v>13022.550000000001</v>
      </c>
      <c r="BG137" s="210">
        <v>21584.68</v>
      </c>
      <c r="BH137" s="210">
        <v>0</v>
      </c>
      <c r="BI137" s="210">
        <v>122434.93000000001</v>
      </c>
      <c r="BJ137" s="210">
        <v>96686.560000000012</v>
      </c>
      <c r="BK137" s="210">
        <v>243511.50000000006</v>
      </c>
      <c r="BL137" s="210">
        <v>27868.479999999996</v>
      </c>
      <c r="BM137" s="210">
        <v>0</v>
      </c>
      <c r="BN137" s="210">
        <v>0</v>
      </c>
      <c r="BO137" s="210">
        <v>195498.54</v>
      </c>
      <c r="BP137" s="210">
        <v>54301.80999999999</v>
      </c>
      <c r="BQ137" s="211">
        <v>-8584.3799999999992</v>
      </c>
      <c r="BR137" s="211">
        <v>0</v>
      </c>
      <c r="BS137" s="211">
        <v>0</v>
      </c>
      <c r="BT137" s="212">
        <v>0</v>
      </c>
      <c r="BU137" s="212">
        <v>35800.39</v>
      </c>
      <c r="BV137" s="212">
        <v>0</v>
      </c>
      <c r="BW137" s="212">
        <v>326</v>
      </c>
      <c r="BX137" s="212">
        <v>0</v>
      </c>
      <c r="BY137" s="212">
        <v>4079</v>
      </c>
      <c r="BZ137" s="212">
        <v>0</v>
      </c>
      <c r="CA137" s="212">
        <v>1749.93</v>
      </c>
      <c r="CB137" s="212">
        <v>0</v>
      </c>
      <c r="CC137" s="224">
        <v>-56683.489999999852</v>
      </c>
      <c r="CD137" s="213"/>
      <c r="CE137" s="211">
        <v>43118.109999999564</v>
      </c>
      <c r="CF137" s="211">
        <v>18535.86</v>
      </c>
      <c r="CG137" s="211">
        <v>0</v>
      </c>
      <c r="CH137" s="211">
        <v>482.16999999999825</v>
      </c>
      <c r="CI137" s="211">
        <v>0</v>
      </c>
      <c r="CJ137" s="211">
        <v>-5452.6499999998778</v>
      </c>
      <c r="CK137" s="211">
        <v>56683.489999999685</v>
      </c>
      <c r="CL137" s="201"/>
      <c r="CM137" s="201">
        <f t="shared" si="40"/>
        <v>-1.673470251262188E-10</v>
      </c>
      <c r="CN137" s="340">
        <f t="shared" si="34"/>
        <v>43118.109999999564</v>
      </c>
      <c r="CO137" s="340">
        <f t="shared" si="35"/>
        <v>18535.86</v>
      </c>
      <c r="CP137" s="340">
        <f t="shared" si="36"/>
        <v>0</v>
      </c>
      <c r="CQ137" s="340">
        <f t="shared" si="37"/>
        <v>482.16999999999825</v>
      </c>
      <c r="CR137" s="340">
        <f t="shared" si="38"/>
        <v>0</v>
      </c>
      <c r="CS137" s="340">
        <f t="shared" si="39"/>
        <v>-5452.6499999998778</v>
      </c>
      <c r="CT137" s="90">
        <f t="shared" si="32"/>
        <v>56683.489999999685</v>
      </c>
      <c r="CV137" s="90">
        <f t="shared" si="33"/>
        <v>0</v>
      </c>
    </row>
    <row r="138" spans="1:100">
      <c r="A138" s="325">
        <v>818</v>
      </c>
      <c r="B138" s="325" t="s">
        <v>194</v>
      </c>
      <c r="C138" s="209">
        <v>-8681.33</v>
      </c>
      <c r="D138" s="209">
        <v>-24731</v>
      </c>
      <c r="E138" s="209">
        <v>0</v>
      </c>
      <c r="F138" s="209">
        <v>-19135.84</v>
      </c>
      <c r="G138" s="209">
        <v>0</v>
      </c>
      <c r="H138" s="209">
        <v>18119.97</v>
      </c>
      <c r="I138" s="223">
        <v>-759969.88</v>
      </c>
      <c r="J138" s="223">
        <v>0</v>
      </c>
      <c r="K138" s="223">
        <v>-127738</v>
      </c>
      <c r="L138" s="223">
        <v>0</v>
      </c>
      <c r="M138" s="223">
        <v>-26520</v>
      </c>
      <c r="N138" s="223">
        <v>-3485.64</v>
      </c>
      <c r="O138" s="223">
        <v>-2870</v>
      </c>
      <c r="P138" s="223">
        <v>0</v>
      </c>
      <c r="Q138" s="223">
        <v>-31822.080000000002</v>
      </c>
      <c r="R138" s="223">
        <v>0</v>
      </c>
      <c r="S138" s="223">
        <v>-4421.75</v>
      </c>
      <c r="T138" s="223">
        <v>0</v>
      </c>
      <c r="U138" s="223">
        <v>-8283.0499999999993</v>
      </c>
      <c r="V138" s="223">
        <v>-20880</v>
      </c>
      <c r="W138" s="223">
        <v>0</v>
      </c>
      <c r="X138" s="223">
        <v>0</v>
      </c>
      <c r="Y138" s="223">
        <v>-110624</v>
      </c>
      <c r="Z138" s="223">
        <v>0</v>
      </c>
      <c r="AA138" s="223">
        <v>0</v>
      </c>
      <c r="AB138" s="223">
        <v>-122.38000000000011</v>
      </c>
      <c r="AC138" s="223">
        <v>-43806</v>
      </c>
      <c r="AD138" s="210">
        <v>483724.55000000005</v>
      </c>
      <c r="AE138" s="210">
        <v>27564.82</v>
      </c>
      <c r="AF138" s="210">
        <v>270393.11</v>
      </c>
      <c r="AG138" s="210">
        <v>719.36</v>
      </c>
      <c r="AH138" s="210">
        <v>44883.58</v>
      </c>
      <c r="AI138" s="210">
        <v>0</v>
      </c>
      <c r="AJ138" s="210">
        <v>45140.319999999992</v>
      </c>
      <c r="AK138" s="210">
        <v>3596.3</v>
      </c>
      <c r="AL138" s="210">
        <v>3430.13</v>
      </c>
      <c r="AM138" s="210">
        <v>4751.8599999999997</v>
      </c>
      <c r="AN138" s="210">
        <v>2239.56</v>
      </c>
      <c r="AO138" s="210">
        <v>8919.2199999999993</v>
      </c>
      <c r="AP138" s="210">
        <v>6686.9799999999987</v>
      </c>
      <c r="AQ138" s="210">
        <v>21757.7</v>
      </c>
      <c r="AR138" s="210">
        <v>-1311.2999999999993</v>
      </c>
      <c r="AS138" s="210">
        <v>11368.85</v>
      </c>
      <c r="AT138" s="210">
        <v>15771.06</v>
      </c>
      <c r="AU138" s="210">
        <v>3905.6799999999994</v>
      </c>
      <c r="AV138" s="210">
        <v>30110.109999999993</v>
      </c>
      <c r="AW138" s="312">
        <v>0</v>
      </c>
      <c r="AX138" s="210">
        <v>3411.45</v>
      </c>
      <c r="AY138" s="210">
        <v>0</v>
      </c>
      <c r="AZ138" s="210">
        <v>6388.55</v>
      </c>
      <c r="BA138" s="210">
        <v>3856.6499999999996</v>
      </c>
      <c r="BB138" s="210">
        <v>1133</v>
      </c>
      <c r="BC138" s="210">
        <v>425.81</v>
      </c>
      <c r="BD138" s="210">
        <v>2595.5</v>
      </c>
      <c r="BE138" s="210">
        <v>0</v>
      </c>
      <c r="BF138" s="210">
        <v>10480.780000000002</v>
      </c>
      <c r="BG138" s="210">
        <v>7334.6</v>
      </c>
      <c r="BH138" s="210">
        <v>0</v>
      </c>
      <c r="BI138" s="210">
        <v>36761</v>
      </c>
      <c r="BJ138" s="210">
        <v>721</v>
      </c>
      <c r="BK138" s="210">
        <v>11436.08</v>
      </c>
      <c r="BL138" s="210">
        <v>32709.170000000006</v>
      </c>
      <c r="BM138" s="210">
        <v>0</v>
      </c>
      <c r="BN138" s="210">
        <v>0</v>
      </c>
      <c r="BO138" s="210">
        <v>94949.07</v>
      </c>
      <c r="BP138" s="210">
        <v>1072.1500000000001</v>
      </c>
      <c r="BQ138" s="211">
        <v>-5552.5</v>
      </c>
      <c r="BR138" s="211">
        <v>0</v>
      </c>
      <c r="BS138" s="211">
        <v>0</v>
      </c>
      <c r="BT138" s="212">
        <v>0</v>
      </c>
      <c r="BU138" s="212">
        <v>10659.56</v>
      </c>
      <c r="BV138" s="212">
        <v>0</v>
      </c>
      <c r="BW138" s="212">
        <v>0</v>
      </c>
      <c r="BX138" s="212">
        <v>0</v>
      </c>
      <c r="BY138" s="212">
        <v>0</v>
      </c>
      <c r="BZ138" s="212">
        <v>0</v>
      </c>
      <c r="CA138" s="212">
        <v>0</v>
      </c>
      <c r="CB138" s="212">
        <v>0</v>
      </c>
      <c r="CC138" s="224">
        <v>27062.779999999948</v>
      </c>
      <c r="CD138" s="213"/>
      <c r="CE138" s="211">
        <v>-47600.999999999927</v>
      </c>
      <c r="CF138" s="211">
        <v>10026.630000000001</v>
      </c>
      <c r="CG138" s="211">
        <v>0</v>
      </c>
      <c r="CH138" s="211">
        <v>14028.78</v>
      </c>
      <c r="CI138" s="211">
        <v>0</v>
      </c>
      <c r="CJ138" s="211">
        <v>-3517.1900000000023</v>
      </c>
      <c r="CK138" s="211">
        <v>-27062.779999999926</v>
      </c>
      <c r="CL138" s="201"/>
      <c r="CM138" s="201">
        <f t="shared" si="40"/>
        <v>0</v>
      </c>
      <c r="CN138" s="340">
        <f t="shared" si="34"/>
        <v>-47600.999999999927</v>
      </c>
      <c r="CO138" s="340">
        <f t="shared" si="35"/>
        <v>10026.630000000001</v>
      </c>
      <c r="CP138" s="340">
        <f t="shared" si="36"/>
        <v>0</v>
      </c>
      <c r="CQ138" s="340">
        <f t="shared" si="37"/>
        <v>14028.78</v>
      </c>
      <c r="CR138" s="340">
        <f t="shared" si="38"/>
        <v>0</v>
      </c>
      <c r="CS138" s="340">
        <f t="shared" si="39"/>
        <v>-3517.1900000000023</v>
      </c>
      <c r="CT138" s="90">
        <f t="shared" si="32"/>
        <v>-27062.779999999926</v>
      </c>
      <c r="CV138" s="90">
        <f t="shared" si="33"/>
        <v>0</v>
      </c>
    </row>
    <row r="139" spans="1:100">
      <c r="A139" s="325">
        <v>819</v>
      </c>
      <c r="B139" s="325" t="s">
        <v>195</v>
      </c>
      <c r="C139" s="209">
        <v>-24005.87</v>
      </c>
      <c r="D139" s="209">
        <v>-6915.75</v>
      </c>
      <c r="E139" s="209">
        <v>0</v>
      </c>
      <c r="F139" s="209">
        <v>-11659.08</v>
      </c>
      <c r="G139" s="209">
        <v>0</v>
      </c>
      <c r="H139" s="209">
        <v>15370.2</v>
      </c>
      <c r="I139" s="223">
        <v>-269658.51</v>
      </c>
      <c r="J139" s="223">
        <v>0</v>
      </c>
      <c r="K139" s="223">
        <v>-40807</v>
      </c>
      <c r="L139" s="223">
        <v>0</v>
      </c>
      <c r="M139" s="223">
        <v>-9987.49</v>
      </c>
      <c r="N139" s="223">
        <v>-1600</v>
      </c>
      <c r="O139" s="223">
        <v>0</v>
      </c>
      <c r="P139" s="223">
        <v>0</v>
      </c>
      <c r="Q139" s="223">
        <v>-22854.34</v>
      </c>
      <c r="R139" s="223">
        <v>-4106.8</v>
      </c>
      <c r="S139" s="223">
        <v>0</v>
      </c>
      <c r="T139" s="223">
        <v>0</v>
      </c>
      <c r="U139" s="223">
        <v>-10942.870000000003</v>
      </c>
      <c r="V139" s="223">
        <v>-108.6</v>
      </c>
      <c r="W139" s="223">
        <v>0</v>
      </c>
      <c r="X139" s="223">
        <v>-51237.380000000005</v>
      </c>
      <c r="Y139" s="223">
        <v>-6012.62</v>
      </c>
      <c r="Z139" s="223">
        <v>0</v>
      </c>
      <c r="AA139" s="223">
        <v>0</v>
      </c>
      <c r="AB139" s="223">
        <v>-909.38</v>
      </c>
      <c r="AC139" s="223">
        <v>-23961</v>
      </c>
      <c r="AD139" s="210">
        <v>143637.12</v>
      </c>
      <c r="AE139" s="210">
        <v>6549.8300000000008</v>
      </c>
      <c r="AF139" s="210">
        <v>58235.18</v>
      </c>
      <c r="AG139" s="210">
        <v>10074.379999999999</v>
      </c>
      <c r="AH139" s="210">
        <v>22266.11</v>
      </c>
      <c r="AI139" s="210">
        <v>0</v>
      </c>
      <c r="AJ139" s="210">
        <v>11744.41</v>
      </c>
      <c r="AK139" s="210">
        <v>1170.8699999999999</v>
      </c>
      <c r="AL139" s="210">
        <v>1699</v>
      </c>
      <c r="AM139" s="210">
        <v>141.06</v>
      </c>
      <c r="AN139" s="210">
        <v>0</v>
      </c>
      <c r="AO139" s="210">
        <v>6450.75</v>
      </c>
      <c r="AP139" s="210">
        <v>2816</v>
      </c>
      <c r="AQ139" s="210">
        <v>809.92</v>
      </c>
      <c r="AR139" s="210">
        <v>902.1099999999999</v>
      </c>
      <c r="AS139" s="210">
        <v>5984.91</v>
      </c>
      <c r="AT139" s="210">
        <v>3926.4500000000007</v>
      </c>
      <c r="AU139" s="210">
        <v>1026.76</v>
      </c>
      <c r="AV139" s="210">
        <v>108327.8</v>
      </c>
      <c r="AW139" s="312">
        <v>434.48999999999978</v>
      </c>
      <c r="AX139" s="210">
        <v>2799</v>
      </c>
      <c r="AY139" s="210">
        <v>0</v>
      </c>
      <c r="AZ139" s="210">
        <v>0</v>
      </c>
      <c r="BA139" s="210">
        <v>944</v>
      </c>
      <c r="BB139" s="210">
        <v>0</v>
      </c>
      <c r="BC139" s="210">
        <v>167.12</v>
      </c>
      <c r="BD139" s="210">
        <v>6346.43</v>
      </c>
      <c r="BE139" s="210">
        <v>0</v>
      </c>
      <c r="BF139" s="210">
        <v>2577.31</v>
      </c>
      <c r="BG139" s="210">
        <v>2423.04</v>
      </c>
      <c r="BH139" s="210">
        <v>0</v>
      </c>
      <c r="BI139" s="210">
        <v>12500.71</v>
      </c>
      <c r="BJ139" s="210">
        <v>6489.23</v>
      </c>
      <c r="BK139" s="210">
        <v>672.67</v>
      </c>
      <c r="BL139" s="210">
        <v>7129.87</v>
      </c>
      <c r="BM139" s="210">
        <v>0</v>
      </c>
      <c r="BN139" s="210">
        <v>0</v>
      </c>
      <c r="BO139" s="210">
        <v>45821.049999999996</v>
      </c>
      <c r="BP139" s="210">
        <v>678.90999999999985</v>
      </c>
      <c r="BQ139" s="211">
        <v>-5350</v>
      </c>
      <c r="BR139" s="211">
        <v>0</v>
      </c>
      <c r="BS139" s="211">
        <v>0</v>
      </c>
      <c r="BT139" s="212">
        <v>0</v>
      </c>
      <c r="BU139" s="212">
        <v>0</v>
      </c>
      <c r="BV139" s="212">
        <v>0</v>
      </c>
      <c r="BW139" s="212">
        <v>0</v>
      </c>
      <c r="BX139" s="212">
        <v>0</v>
      </c>
      <c r="BY139" s="212">
        <v>0</v>
      </c>
      <c r="BZ139" s="212">
        <v>0</v>
      </c>
      <c r="CA139" s="212">
        <v>0</v>
      </c>
      <c r="CB139" s="212">
        <v>0</v>
      </c>
      <c r="CC139" s="224">
        <v>1.0913936421275139E-11</v>
      </c>
      <c r="CD139" s="213"/>
      <c r="CE139" s="211"/>
      <c r="CF139" s="211"/>
      <c r="CG139" s="211"/>
      <c r="CH139" s="211"/>
      <c r="CI139" s="211"/>
      <c r="CJ139" s="211"/>
      <c r="CK139" s="211"/>
      <c r="CL139" s="201"/>
      <c r="CM139" s="201">
        <f t="shared" si="40"/>
        <v>1.0913936421275139E-11</v>
      </c>
      <c r="CN139" s="340">
        <f t="shared" si="34"/>
        <v>0</v>
      </c>
      <c r="CO139" s="340">
        <f t="shared" si="35"/>
        <v>0</v>
      </c>
      <c r="CP139" s="340">
        <f t="shared" si="36"/>
        <v>0</v>
      </c>
      <c r="CQ139" s="340">
        <f t="shared" si="37"/>
        <v>0</v>
      </c>
      <c r="CR139" s="340">
        <f t="shared" si="38"/>
        <v>0</v>
      </c>
      <c r="CS139" s="340">
        <f t="shared" si="39"/>
        <v>0</v>
      </c>
      <c r="CT139" s="90">
        <f t="shared" si="32"/>
        <v>0</v>
      </c>
      <c r="CV139" s="90">
        <f t="shared" si="33"/>
        <v>0</v>
      </c>
    </row>
    <row r="140" spans="1:100">
      <c r="A140" s="325">
        <v>825</v>
      </c>
      <c r="B140" s="325" t="s">
        <v>198</v>
      </c>
      <c r="C140" s="209">
        <v>-48707.03</v>
      </c>
      <c r="D140" s="209">
        <v>-19299.96</v>
      </c>
      <c r="E140" s="209">
        <v>0</v>
      </c>
      <c r="F140" s="209">
        <v>-24040.71</v>
      </c>
      <c r="G140" s="209">
        <v>0</v>
      </c>
      <c r="H140" s="209">
        <v>0</v>
      </c>
      <c r="I140" s="223">
        <v>-1067580.05</v>
      </c>
      <c r="J140" s="223">
        <v>0</v>
      </c>
      <c r="K140" s="223">
        <v>-14640</v>
      </c>
      <c r="L140" s="223">
        <v>0</v>
      </c>
      <c r="M140" s="223">
        <v>-38150</v>
      </c>
      <c r="N140" s="223">
        <v>-1200</v>
      </c>
      <c r="O140" s="223">
        <v>-1000</v>
      </c>
      <c r="P140" s="223">
        <v>-7828.5</v>
      </c>
      <c r="Q140" s="223">
        <v>-30687.000000000004</v>
      </c>
      <c r="R140" s="223">
        <v>0</v>
      </c>
      <c r="S140" s="223">
        <v>-2664.75</v>
      </c>
      <c r="T140" s="223">
        <v>0</v>
      </c>
      <c r="U140" s="223">
        <v>-17230.060000000005</v>
      </c>
      <c r="V140" s="223">
        <v>-1573</v>
      </c>
      <c r="W140" s="223">
        <v>0</v>
      </c>
      <c r="X140" s="223">
        <v>0</v>
      </c>
      <c r="Y140" s="223">
        <v>0</v>
      </c>
      <c r="Z140" s="223">
        <v>0</v>
      </c>
      <c r="AA140" s="223">
        <v>0</v>
      </c>
      <c r="AB140" s="223">
        <v>-22.5</v>
      </c>
      <c r="AC140" s="223">
        <v>-53047</v>
      </c>
      <c r="AD140" s="210">
        <v>581512.94000000006</v>
      </c>
      <c r="AE140" s="210">
        <v>10159.170000000002</v>
      </c>
      <c r="AF140" s="210">
        <v>134680.79999999999</v>
      </c>
      <c r="AG140" s="210">
        <v>38958.519999999997</v>
      </c>
      <c r="AH140" s="210">
        <v>41619.100000000006</v>
      </c>
      <c r="AI140" s="210">
        <v>0</v>
      </c>
      <c r="AJ140" s="210">
        <v>23504.549999999996</v>
      </c>
      <c r="AK140" s="210">
        <v>3995.13</v>
      </c>
      <c r="AL140" s="210">
        <v>8478.5</v>
      </c>
      <c r="AM140" s="210">
        <v>9552.18</v>
      </c>
      <c r="AN140" s="210">
        <v>2225</v>
      </c>
      <c r="AO140" s="210">
        <v>11140.930000000004</v>
      </c>
      <c r="AP140" s="210">
        <v>4382.7700000000004</v>
      </c>
      <c r="AQ140" s="210">
        <v>4265.3900000000003</v>
      </c>
      <c r="AR140" s="210">
        <v>1184.47</v>
      </c>
      <c r="AS140" s="210">
        <v>22637.05</v>
      </c>
      <c r="AT140" s="210">
        <v>29362.58</v>
      </c>
      <c r="AU140" s="210">
        <v>5602.3</v>
      </c>
      <c r="AV140" s="210">
        <v>46433.700000000004</v>
      </c>
      <c r="AW140" s="312">
        <v>0</v>
      </c>
      <c r="AX140" s="210">
        <v>4203</v>
      </c>
      <c r="AY140" s="210">
        <v>0</v>
      </c>
      <c r="AZ140" s="210">
        <v>1068.6500000000001</v>
      </c>
      <c r="BA140" s="210">
        <v>6463.04</v>
      </c>
      <c r="BB140" s="210">
        <v>211.99</v>
      </c>
      <c r="BC140" s="210">
        <v>52.66</v>
      </c>
      <c r="BD140" s="210">
        <v>2130</v>
      </c>
      <c r="BE140" s="210">
        <v>0</v>
      </c>
      <c r="BF140" s="210">
        <v>2818.5600000000004</v>
      </c>
      <c r="BG140" s="210">
        <v>11363.97</v>
      </c>
      <c r="BH140" s="210">
        <v>0</v>
      </c>
      <c r="BI140" s="210">
        <v>40905.409999999996</v>
      </c>
      <c r="BJ140" s="210">
        <v>13397.14</v>
      </c>
      <c r="BK140" s="210">
        <v>75812.569999999992</v>
      </c>
      <c r="BL140" s="210">
        <v>36923.659999999989</v>
      </c>
      <c r="BM140" s="210">
        <v>0</v>
      </c>
      <c r="BN140" s="210">
        <v>0</v>
      </c>
      <c r="BO140" s="210">
        <v>0</v>
      </c>
      <c r="BP140" s="210">
        <v>0</v>
      </c>
      <c r="BQ140" s="211">
        <v>-6396.25</v>
      </c>
      <c r="BR140" s="211">
        <v>0</v>
      </c>
      <c r="BS140" s="211">
        <v>0</v>
      </c>
      <c r="BT140" s="212">
        <v>0</v>
      </c>
      <c r="BU140" s="212">
        <v>11644.8</v>
      </c>
      <c r="BV140" s="212">
        <v>0</v>
      </c>
      <c r="BW140" s="212">
        <v>0</v>
      </c>
      <c r="BX140" s="212">
        <v>0</v>
      </c>
      <c r="BY140" s="212">
        <v>0</v>
      </c>
      <c r="BZ140" s="212">
        <v>0</v>
      </c>
      <c r="CA140" s="212">
        <v>0</v>
      </c>
      <c r="CB140" s="212">
        <v>0</v>
      </c>
      <c r="CC140" s="224">
        <v>-147376.28000000003</v>
      </c>
      <c r="CD140" s="213"/>
      <c r="CE140" s="211">
        <v>114856.31</v>
      </c>
      <c r="CF140" s="211">
        <v>17338.440000000002</v>
      </c>
      <c r="CG140" s="211">
        <v>0</v>
      </c>
      <c r="CH140" s="211">
        <v>15181.529999999999</v>
      </c>
      <c r="CI140" s="211">
        <v>0</v>
      </c>
      <c r="CJ140" s="211">
        <v>0</v>
      </c>
      <c r="CK140" s="211">
        <v>147376.28</v>
      </c>
      <c r="CL140" s="201"/>
      <c r="CM140" s="201">
        <f t="shared" si="40"/>
        <v>0</v>
      </c>
      <c r="CN140" s="340">
        <f t="shared" si="34"/>
        <v>114856.31</v>
      </c>
      <c r="CO140" s="340">
        <f t="shared" si="35"/>
        <v>17338.440000000002</v>
      </c>
      <c r="CP140" s="340">
        <f t="shared" si="36"/>
        <v>0</v>
      </c>
      <c r="CQ140" s="340">
        <f t="shared" si="37"/>
        <v>15181.529999999999</v>
      </c>
      <c r="CR140" s="340">
        <f t="shared" si="38"/>
        <v>0</v>
      </c>
      <c r="CS140" s="340">
        <f t="shared" si="39"/>
        <v>0</v>
      </c>
      <c r="CT140" s="90">
        <f t="shared" si="32"/>
        <v>147376.28</v>
      </c>
      <c r="CV140" s="90">
        <f t="shared" si="33"/>
        <v>0</v>
      </c>
    </row>
    <row r="141" spans="1:100">
      <c r="A141" s="325">
        <v>827</v>
      </c>
      <c r="B141" s="325" t="s">
        <v>250</v>
      </c>
      <c r="C141" s="209">
        <v>-76858.14</v>
      </c>
      <c r="D141" s="209">
        <v>-6693.4</v>
      </c>
      <c r="E141" s="209">
        <v>0</v>
      </c>
      <c r="F141" s="209">
        <v>-7090.4</v>
      </c>
      <c r="G141" s="209">
        <v>0</v>
      </c>
      <c r="H141" s="209">
        <v>0</v>
      </c>
      <c r="I141" s="223">
        <v>-762210.44000000006</v>
      </c>
      <c r="J141" s="223">
        <v>0</v>
      </c>
      <c r="K141" s="223">
        <v>-91924</v>
      </c>
      <c r="L141" s="223">
        <v>0</v>
      </c>
      <c r="M141" s="223">
        <v>-22900</v>
      </c>
      <c r="N141" s="223">
        <v>-1200</v>
      </c>
      <c r="O141" s="223">
        <v>-5100</v>
      </c>
      <c r="P141" s="223">
        <v>-380</v>
      </c>
      <c r="Q141" s="223">
        <v>-36130.69999999999</v>
      </c>
      <c r="R141" s="223">
        <v>0</v>
      </c>
      <c r="S141" s="223">
        <v>-225</v>
      </c>
      <c r="T141" s="223">
        <v>-2475</v>
      </c>
      <c r="U141" s="223">
        <v>-20361.380000000005</v>
      </c>
      <c r="V141" s="223">
        <v>-9117.4500000000007</v>
      </c>
      <c r="W141" s="223">
        <v>0</v>
      </c>
      <c r="X141" s="223">
        <v>0</v>
      </c>
      <c r="Y141" s="223">
        <v>0</v>
      </c>
      <c r="Z141" s="223">
        <v>0</v>
      </c>
      <c r="AA141" s="223">
        <v>0</v>
      </c>
      <c r="AB141" s="223">
        <v>11.870000000000005</v>
      </c>
      <c r="AC141" s="223">
        <v>-42376</v>
      </c>
      <c r="AD141" s="210">
        <v>462749.94</v>
      </c>
      <c r="AE141" s="210">
        <v>20339.38</v>
      </c>
      <c r="AF141" s="210">
        <v>173943.94</v>
      </c>
      <c r="AG141" s="210">
        <v>19767.95</v>
      </c>
      <c r="AH141" s="210">
        <v>53449.62</v>
      </c>
      <c r="AI141" s="210">
        <v>0</v>
      </c>
      <c r="AJ141" s="210">
        <v>40997.840000000011</v>
      </c>
      <c r="AK141" s="210">
        <v>3602.1400000000003</v>
      </c>
      <c r="AL141" s="210">
        <v>3903</v>
      </c>
      <c r="AM141" s="210">
        <v>393.45</v>
      </c>
      <c r="AN141" s="210">
        <v>5919.4800000000005</v>
      </c>
      <c r="AO141" s="210">
        <v>6780.0399999999981</v>
      </c>
      <c r="AP141" s="210">
        <v>2202.89</v>
      </c>
      <c r="AQ141" s="210">
        <v>2503.7599999999998</v>
      </c>
      <c r="AR141" s="210">
        <v>3178.0600000000004</v>
      </c>
      <c r="AS141" s="210">
        <v>14428.28</v>
      </c>
      <c r="AT141" s="210">
        <v>14036.5</v>
      </c>
      <c r="AU141" s="210">
        <v>3547.1799999999994</v>
      </c>
      <c r="AV141" s="210">
        <v>59481.009999999987</v>
      </c>
      <c r="AW141" s="312">
        <v>4.9737991503207013E-14</v>
      </c>
      <c r="AX141" s="210">
        <v>5175.59</v>
      </c>
      <c r="AY141" s="210">
        <v>0</v>
      </c>
      <c r="AZ141" s="210">
        <v>887.46</v>
      </c>
      <c r="BA141" s="210">
        <v>0</v>
      </c>
      <c r="BB141" s="210">
        <v>1727.0500000000002</v>
      </c>
      <c r="BC141" s="210">
        <v>0</v>
      </c>
      <c r="BD141" s="210">
        <v>5134</v>
      </c>
      <c r="BE141" s="210">
        <v>0</v>
      </c>
      <c r="BF141" s="210">
        <v>4650.41</v>
      </c>
      <c r="BG141" s="210">
        <v>6758.3099999999995</v>
      </c>
      <c r="BH141" s="210">
        <v>0</v>
      </c>
      <c r="BI141" s="210">
        <v>30484.010000000002</v>
      </c>
      <c r="BJ141" s="210">
        <v>0</v>
      </c>
      <c r="BK141" s="210">
        <v>21517.450000000004</v>
      </c>
      <c r="BL141" s="210">
        <v>13926.650000000001</v>
      </c>
      <c r="BM141" s="210">
        <v>0</v>
      </c>
      <c r="BN141" s="210">
        <v>0</v>
      </c>
      <c r="BO141" s="210">
        <v>0</v>
      </c>
      <c r="BP141" s="210">
        <v>0</v>
      </c>
      <c r="BQ141" s="211">
        <v>-5440</v>
      </c>
      <c r="BR141" s="211">
        <v>0</v>
      </c>
      <c r="BS141" s="211">
        <v>0</v>
      </c>
      <c r="BT141" s="212">
        <v>0</v>
      </c>
      <c r="BU141" s="212">
        <v>14681.84</v>
      </c>
      <c r="BV141" s="212">
        <v>0</v>
      </c>
      <c r="BW141" s="212">
        <v>0</v>
      </c>
      <c r="BX141" s="212">
        <v>0</v>
      </c>
      <c r="BY141" s="212">
        <v>0</v>
      </c>
      <c r="BZ141" s="212">
        <v>0</v>
      </c>
      <c r="CA141" s="212">
        <v>7409.99</v>
      </c>
      <c r="CB141" s="212">
        <v>0</v>
      </c>
      <c r="CC141" s="224">
        <v>-86892.820000000051</v>
      </c>
      <c r="CD141" s="213"/>
      <c r="CE141" s="211">
        <v>82874.320000000022</v>
      </c>
      <c r="CF141" s="211">
        <v>4018.5</v>
      </c>
      <c r="CG141" s="211">
        <v>0</v>
      </c>
      <c r="CH141" s="211">
        <v>-1.8189894035458565E-12</v>
      </c>
      <c r="CI141" s="211">
        <v>0</v>
      </c>
      <c r="CJ141" s="211">
        <v>0</v>
      </c>
      <c r="CK141" s="211">
        <v>86892.820000000022</v>
      </c>
      <c r="CL141" s="201"/>
      <c r="CM141" s="201">
        <f t="shared" si="40"/>
        <v>0</v>
      </c>
      <c r="CN141" s="340">
        <f t="shared" si="34"/>
        <v>82874.320000000022</v>
      </c>
      <c r="CO141" s="340">
        <f t="shared" si="35"/>
        <v>4018.5</v>
      </c>
      <c r="CP141" s="340">
        <f t="shared" si="36"/>
        <v>0</v>
      </c>
      <c r="CQ141" s="340">
        <f t="shared" si="37"/>
        <v>-1.8189894035458565E-12</v>
      </c>
      <c r="CR141" s="340">
        <f t="shared" si="38"/>
        <v>0</v>
      </c>
      <c r="CS141" s="340">
        <f t="shared" si="39"/>
        <v>0</v>
      </c>
      <c r="CT141" s="90">
        <f t="shared" si="32"/>
        <v>86892.820000000022</v>
      </c>
      <c r="CV141" s="90">
        <f t="shared" si="33"/>
        <v>0</v>
      </c>
    </row>
    <row r="142" spans="1:100">
      <c r="A142" s="325">
        <v>829</v>
      </c>
      <c r="B142" s="325" t="s">
        <v>274</v>
      </c>
      <c r="C142" s="209">
        <v>-126235.54</v>
      </c>
      <c r="D142" s="209">
        <v>-24552.69</v>
      </c>
      <c r="E142" s="209">
        <v>0</v>
      </c>
      <c r="F142" s="209">
        <v>-12289.85</v>
      </c>
      <c r="G142" s="209">
        <v>0</v>
      </c>
      <c r="H142" s="209">
        <v>0</v>
      </c>
      <c r="I142" s="223">
        <v>-626100.12</v>
      </c>
      <c r="J142" s="223">
        <v>0</v>
      </c>
      <c r="K142" s="223">
        <v>-34500</v>
      </c>
      <c r="L142" s="223">
        <v>0</v>
      </c>
      <c r="M142" s="223">
        <v>-19550</v>
      </c>
      <c r="N142" s="223">
        <v>-55861</v>
      </c>
      <c r="O142" s="223">
        <v>0</v>
      </c>
      <c r="P142" s="223">
        <v>0</v>
      </c>
      <c r="Q142" s="223">
        <v>-65246.219999999994</v>
      </c>
      <c r="R142" s="223">
        <v>0</v>
      </c>
      <c r="S142" s="223">
        <v>0</v>
      </c>
      <c r="T142" s="223">
        <v>0</v>
      </c>
      <c r="U142" s="223">
        <v>-4448.83</v>
      </c>
      <c r="V142" s="223">
        <v>-2246.4699999999998</v>
      </c>
      <c r="W142" s="223">
        <v>0</v>
      </c>
      <c r="X142" s="223">
        <v>0</v>
      </c>
      <c r="Y142" s="223">
        <v>0</v>
      </c>
      <c r="Z142" s="223">
        <v>0</v>
      </c>
      <c r="AA142" s="223">
        <v>0</v>
      </c>
      <c r="AB142" s="223">
        <v>11.870000000000005</v>
      </c>
      <c r="AC142" s="223">
        <v>-30767</v>
      </c>
      <c r="AD142" s="210">
        <v>367560.96000000002</v>
      </c>
      <c r="AE142" s="210">
        <v>0</v>
      </c>
      <c r="AF142" s="210">
        <v>131439.44999999998</v>
      </c>
      <c r="AG142" s="210">
        <v>0</v>
      </c>
      <c r="AH142" s="210">
        <v>37479.5</v>
      </c>
      <c r="AI142" s="210">
        <v>0</v>
      </c>
      <c r="AJ142" s="210">
        <v>55808.770000000004</v>
      </c>
      <c r="AK142" s="210">
        <v>2334</v>
      </c>
      <c r="AL142" s="210">
        <v>2858.63</v>
      </c>
      <c r="AM142" s="210">
        <v>4513.71</v>
      </c>
      <c r="AN142" s="210">
        <v>0</v>
      </c>
      <c r="AO142" s="210">
        <v>11201.310000000001</v>
      </c>
      <c r="AP142" s="210">
        <v>2796.3999999999996</v>
      </c>
      <c r="AQ142" s="210">
        <v>18578.240000000005</v>
      </c>
      <c r="AR142" s="210">
        <v>2290.1299999999997</v>
      </c>
      <c r="AS142" s="210">
        <v>12530.52</v>
      </c>
      <c r="AT142" s="210">
        <v>15978.45</v>
      </c>
      <c r="AU142" s="210">
        <v>2693.49</v>
      </c>
      <c r="AV142" s="210">
        <v>27096.339999999997</v>
      </c>
      <c r="AW142" s="312">
        <v>0</v>
      </c>
      <c r="AX142" s="210">
        <v>4327.59</v>
      </c>
      <c r="AY142" s="210">
        <v>0</v>
      </c>
      <c r="AZ142" s="210">
        <v>25</v>
      </c>
      <c r="BA142" s="210">
        <v>225</v>
      </c>
      <c r="BB142" s="210">
        <v>5730</v>
      </c>
      <c r="BC142" s="210">
        <v>1181.79</v>
      </c>
      <c r="BD142" s="210">
        <v>3121.1</v>
      </c>
      <c r="BE142" s="210">
        <v>0</v>
      </c>
      <c r="BF142" s="210">
        <v>3341.79</v>
      </c>
      <c r="BG142" s="210">
        <v>5239</v>
      </c>
      <c r="BH142" s="210">
        <v>0</v>
      </c>
      <c r="BI142" s="210">
        <v>19301.3</v>
      </c>
      <c r="BJ142" s="210">
        <v>3082.8199999999997</v>
      </c>
      <c r="BK142" s="210">
        <v>9716.8700000000008</v>
      </c>
      <c r="BL142" s="210">
        <v>17051.310000000001</v>
      </c>
      <c r="BM142" s="210">
        <v>0</v>
      </c>
      <c r="BN142" s="210">
        <v>0</v>
      </c>
      <c r="BO142" s="210">
        <v>0</v>
      </c>
      <c r="BP142" s="210">
        <v>0</v>
      </c>
      <c r="BQ142" s="211">
        <v>-6675.25</v>
      </c>
      <c r="BR142" s="211">
        <v>0</v>
      </c>
      <c r="BS142" s="211">
        <v>0</v>
      </c>
      <c r="BT142" s="212">
        <v>0</v>
      </c>
      <c r="BU142" s="212">
        <v>0</v>
      </c>
      <c r="BV142" s="212">
        <v>0</v>
      </c>
      <c r="BW142" s="212">
        <v>0</v>
      </c>
      <c r="BX142" s="212">
        <v>0</v>
      </c>
      <c r="BY142" s="212">
        <v>0</v>
      </c>
      <c r="BZ142" s="212">
        <v>0</v>
      </c>
      <c r="CA142" s="212">
        <v>0</v>
      </c>
      <c r="CB142" s="212">
        <v>0</v>
      </c>
      <c r="CC142" s="224">
        <v>-240957.62999999989</v>
      </c>
      <c r="CD142" s="213"/>
      <c r="CE142" s="211">
        <v>200036.32000000004</v>
      </c>
      <c r="CF142" s="211">
        <v>21956.209999999992</v>
      </c>
      <c r="CG142" s="211">
        <v>0</v>
      </c>
      <c r="CH142" s="211">
        <v>18965.099999999999</v>
      </c>
      <c r="CI142" s="211">
        <v>0</v>
      </c>
      <c r="CJ142" s="211">
        <v>0</v>
      </c>
      <c r="CK142" s="211">
        <v>240957.63000000003</v>
      </c>
      <c r="CL142" s="201"/>
      <c r="CM142" s="201">
        <f t="shared" si="40"/>
        <v>0</v>
      </c>
      <c r="CN142" s="340">
        <f t="shared" si="34"/>
        <v>200036.32000000004</v>
      </c>
      <c r="CO142" s="340">
        <f t="shared" si="35"/>
        <v>21956.209999999992</v>
      </c>
      <c r="CP142" s="340">
        <f t="shared" si="36"/>
        <v>0</v>
      </c>
      <c r="CQ142" s="340">
        <f t="shared" si="37"/>
        <v>18965.099999999999</v>
      </c>
      <c r="CR142" s="340">
        <f t="shared" si="38"/>
        <v>0</v>
      </c>
      <c r="CS142" s="340">
        <f t="shared" si="39"/>
        <v>0</v>
      </c>
      <c r="CT142" s="90">
        <f t="shared" si="32"/>
        <v>240957.63000000003</v>
      </c>
      <c r="CV142" s="90">
        <f t="shared" si="33"/>
        <v>0</v>
      </c>
    </row>
    <row r="143" spans="1:100" ht="15">
      <c r="A143" s="329">
        <v>830</v>
      </c>
      <c r="B143" s="329" t="s">
        <v>977</v>
      </c>
      <c r="C143" s="209">
        <v>-10214.49</v>
      </c>
      <c r="D143" s="209">
        <v>-11358.72</v>
      </c>
      <c r="E143" s="209">
        <v>0</v>
      </c>
      <c r="F143" s="209">
        <v>-10934.73</v>
      </c>
      <c r="G143" s="209">
        <v>0</v>
      </c>
      <c r="H143" s="209">
        <v>3568.95</v>
      </c>
      <c r="I143" s="223">
        <v>-1024284.79</v>
      </c>
      <c r="J143" s="223">
        <v>0</v>
      </c>
      <c r="K143" s="223">
        <v>-73381</v>
      </c>
      <c r="L143" s="223">
        <v>0</v>
      </c>
      <c r="M143" s="223">
        <v>-47123</v>
      </c>
      <c r="N143" s="223">
        <v>-1200</v>
      </c>
      <c r="O143" s="223">
        <v>-15250.68</v>
      </c>
      <c r="P143" s="223">
        <v>0</v>
      </c>
      <c r="Q143" s="223">
        <v>-35547.68</v>
      </c>
      <c r="R143" s="223">
        <v>-11937.49</v>
      </c>
      <c r="S143" s="223">
        <v>-7094.6</v>
      </c>
      <c r="T143" s="223">
        <v>0</v>
      </c>
      <c r="U143" s="223">
        <v>-14092.29</v>
      </c>
      <c r="V143" s="223">
        <v>-27421.81</v>
      </c>
      <c r="W143" s="223">
        <v>0</v>
      </c>
      <c r="X143" s="223">
        <v>-75038.69</v>
      </c>
      <c r="Y143" s="223">
        <v>-1975</v>
      </c>
      <c r="Z143" s="223">
        <v>0</v>
      </c>
      <c r="AA143" s="223">
        <v>0</v>
      </c>
      <c r="AB143" s="223">
        <v>-1838.75</v>
      </c>
      <c r="AC143" s="223">
        <v>-53633</v>
      </c>
      <c r="AD143" s="210">
        <v>695839</v>
      </c>
      <c r="AE143" s="210">
        <v>23315.919999999998</v>
      </c>
      <c r="AF143" s="210">
        <v>237525.05</v>
      </c>
      <c r="AG143" s="210">
        <v>36103.96</v>
      </c>
      <c r="AH143" s="210">
        <v>56636.840000000004</v>
      </c>
      <c r="AI143" s="210">
        <v>41053.82</v>
      </c>
      <c r="AJ143" s="210">
        <v>52486.099999999991</v>
      </c>
      <c r="AK143" s="210">
        <v>494.56</v>
      </c>
      <c r="AL143" s="210">
        <v>8192.68</v>
      </c>
      <c r="AM143" s="210">
        <v>817.39</v>
      </c>
      <c r="AN143" s="210">
        <v>546.48</v>
      </c>
      <c r="AO143" s="210">
        <v>7236.86</v>
      </c>
      <c r="AP143" s="210">
        <v>4507.8999999999996</v>
      </c>
      <c r="AQ143" s="210">
        <v>1963.92</v>
      </c>
      <c r="AR143" s="210">
        <v>5109.21</v>
      </c>
      <c r="AS143" s="210">
        <v>13604</v>
      </c>
      <c r="AT143" s="210">
        <v>5040.75</v>
      </c>
      <c r="AU143" s="210">
        <v>2787.6</v>
      </c>
      <c r="AV143" s="210">
        <v>80585.66</v>
      </c>
      <c r="AW143" s="312">
        <v>0</v>
      </c>
      <c r="AX143" s="210">
        <v>1370.11</v>
      </c>
      <c r="AY143" s="210">
        <v>0</v>
      </c>
      <c r="AZ143" s="210">
        <v>0</v>
      </c>
      <c r="BA143" s="210">
        <v>0</v>
      </c>
      <c r="BB143" s="210">
        <v>2563.2600000000002</v>
      </c>
      <c r="BC143" s="210">
        <v>0</v>
      </c>
      <c r="BD143" s="210">
        <v>4887.6000000000004</v>
      </c>
      <c r="BE143" s="210">
        <v>0</v>
      </c>
      <c r="BF143" s="210">
        <v>5236.47</v>
      </c>
      <c r="BG143" s="210">
        <v>11102.02</v>
      </c>
      <c r="BH143" s="210">
        <v>0</v>
      </c>
      <c r="BI143" s="210">
        <v>15785.59</v>
      </c>
      <c r="BJ143" s="210">
        <v>17962.53</v>
      </c>
      <c r="BK143" s="210">
        <v>1301</v>
      </c>
      <c r="BL143" s="210">
        <v>28942.999999999996</v>
      </c>
      <c r="BM143" s="210">
        <v>0</v>
      </c>
      <c r="BN143" s="210">
        <v>0</v>
      </c>
      <c r="BO143" s="210">
        <v>85878.689999999988</v>
      </c>
      <c r="BP143" s="210">
        <v>5785.59</v>
      </c>
      <c r="BQ143" s="211">
        <v>-6396.25</v>
      </c>
      <c r="BR143" s="211">
        <v>0</v>
      </c>
      <c r="BS143" s="211">
        <v>0</v>
      </c>
      <c r="BT143" s="212">
        <v>0</v>
      </c>
      <c r="BU143" s="212">
        <v>0</v>
      </c>
      <c r="BV143" s="212">
        <v>0</v>
      </c>
      <c r="BW143" s="212">
        <v>0</v>
      </c>
      <c r="BX143" s="212">
        <v>0</v>
      </c>
      <c r="BY143" s="212">
        <v>0</v>
      </c>
      <c r="BZ143" s="212">
        <v>0</v>
      </c>
      <c r="CA143" s="212">
        <v>0</v>
      </c>
      <c r="CB143" s="212">
        <v>0</v>
      </c>
      <c r="CC143" s="224">
        <v>29509.540000000008</v>
      </c>
      <c r="CD143" s="213"/>
      <c r="CE143" s="211">
        <v>-31007.710000000243</v>
      </c>
      <c r="CF143" s="211">
        <v>2386.73</v>
      </c>
      <c r="CG143" s="211">
        <v>0</v>
      </c>
      <c r="CH143" s="211">
        <v>17330.98</v>
      </c>
      <c r="CI143" s="211">
        <v>0</v>
      </c>
      <c r="CJ143" s="211">
        <v>-18219.540000000008</v>
      </c>
      <c r="CK143" s="211">
        <v>-29509.540000000252</v>
      </c>
      <c r="CL143" s="201"/>
      <c r="CM143" s="201">
        <f t="shared" si="40"/>
        <v>-2.4374458007514477E-10</v>
      </c>
      <c r="CN143" s="340">
        <f t="shared" si="34"/>
        <v>-31007.710000000243</v>
      </c>
      <c r="CO143" s="340">
        <f t="shared" si="35"/>
        <v>2386.73</v>
      </c>
      <c r="CP143" s="340">
        <f t="shared" si="36"/>
        <v>0</v>
      </c>
      <c r="CQ143" s="340">
        <f t="shared" si="37"/>
        <v>17330.98</v>
      </c>
      <c r="CR143" s="340">
        <f t="shared" si="38"/>
        <v>0</v>
      </c>
      <c r="CS143" s="340">
        <f t="shared" si="39"/>
        <v>-18219.540000000008</v>
      </c>
      <c r="CT143" s="90">
        <f t="shared" si="32"/>
        <v>-29509.540000000252</v>
      </c>
      <c r="CV143" s="90">
        <f t="shared" si="33"/>
        <v>0</v>
      </c>
    </row>
    <row r="144" spans="1:100">
      <c r="A144" s="325">
        <v>837</v>
      </c>
      <c r="B144" s="325" t="s">
        <v>273</v>
      </c>
      <c r="C144" s="209">
        <v>-31434.55</v>
      </c>
      <c r="D144" s="209">
        <v>-9999.74</v>
      </c>
      <c r="E144" s="209">
        <v>0</v>
      </c>
      <c r="F144" s="209">
        <v>-26469.439999999999</v>
      </c>
      <c r="G144" s="209">
        <v>0</v>
      </c>
      <c r="H144" s="209">
        <v>-6414.99</v>
      </c>
      <c r="I144" s="223">
        <v>-483811.19</v>
      </c>
      <c r="J144" s="223">
        <v>0</v>
      </c>
      <c r="K144" s="223">
        <v>-4265</v>
      </c>
      <c r="L144" s="223">
        <v>0</v>
      </c>
      <c r="M144" s="223">
        <v>-18100</v>
      </c>
      <c r="N144" s="223">
        <v>-856.93</v>
      </c>
      <c r="O144" s="223">
        <v>-400</v>
      </c>
      <c r="P144" s="223">
        <v>0</v>
      </c>
      <c r="Q144" s="223">
        <v>-11947.630000000001</v>
      </c>
      <c r="R144" s="223">
        <v>-8243.58</v>
      </c>
      <c r="S144" s="223">
        <v>-1547.4</v>
      </c>
      <c r="T144" s="223">
        <v>0</v>
      </c>
      <c r="U144" s="223">
        <v>-4678.3100000000004</v>
      </c>
      <c r="V144" s="223">
        <v>0</v>
      </c>
      <c r="W144" s="223">
        <v>0</v>
      </c>
      <c r="X144" s="223">
        <v>-14984.710000000005</v>
      </c>
      <c r="Y144" s="223">
        <v>-1422.9900000000002</v>
      </c>
      <c r="Z144" s="223">
        <v>0</v>
      </c>
      <c r="AA144" s="223">
        <v>0</v>
      </c>
      <c r="AB144" s="223">
        <v>-66.88</v>
      </c>
      <c r="AC144" s="223">
        <v>-20235</v>
      </c>
      <c r="AD144" s="210">
        <v>218384.80000000002</v>
      </c>
      <c r="AE144" s="210">
        <v>12284.9</v>
      </c>
      <c r="AF144" s="210">
        <v>104520.63999999998</v>
      </c>
      <c r="AG144" s="210">
        <v>4090.9900000000007</v>
      </c>
      <c r="AH144" s="210">
        <v>39118.19</v>
      </c>
      <c r="AI144" s="210">
        <v>0</v>
      </c>
      <c r="AJ144" s="210">
        <v>6563.6099999999988</v>
      </c>
      <c r="AK144" s="210">
        <v>2056.3399999999997</v>
      </c>
      <c r="AL144" s="210">
        <v>1650.4800000000002</v>
      </c>
      <c r="AM144" s="210">
        <v>4738.38</v>
      </c>
      <c r="AN144" s="210">
        <v>0</v>
      </c>
      <c r="AO144" s="210">
        <v>1832.1000000000008</v>
      </c>
      <c r="AP144" s="210">
        <v>7800.2100000000009</v>
      </c>
      <c r="AQ144" s="210">
        <v>9672.69</v>
      </c>
      <c r="AR144" s="210">
        <v>990.90000000000009</v>
      </c>
      <c r="AS144" s="210">
        <v>5199.3500000000004</v>
      </c>
      <c r="AT144" s="210">
        <v>8032.27</v>
      </c>
      <c r="AU144" s="210">
        <v>18986.440000000002</v>
      </c>
      <c r="AV144" s="210">
        <v>47177.459999999992</v>
      </c>
      <c r="AW144" s="312">
        <v>0</v>
      </c>
      <c r="AX144" s="210">
        <v>3262.9</v>
      </c>
      <c r="AY144" s="210">
        <v>790.11</v>
      </c>
      <c r="AZ144" s="210">
        <v>1538.76</v>
      </c>
      <c r="BA144" s="210">
        <v>2087.9300000000003</v>
      </c>
      <c r="BB144" s="210">
        <v>1460.29</v>
      </c>
      <c r="BC144" s="210">
        <v>3716.3799999999997</v>
      </c>
      <c r="BD144" s="210">
        <v>2875</v>
      </c>
      <c r="BE144" s="210">
        <v>0</v>
      </c>
      <c r="BF144" s="210">
        <v>5076.5199999999995</v>
      </c>
      <c r="BG144" s="210">
        <v>2671.89</v>
      </c>
      <c r="BH144" s="210">
        <v>0</v>
      </c>
      <c r="BI144" s="210">
        <v>8193.9099999999962</v>
      </c>
      <c r="BJ144" s="210">
        <v>3707</v>
      </c>
      <c r="BK144" s="210">
        <v>5089</v>
      </c>
      <c r="BL144" s="210">
        <v>17041.09</v>
      </c>
      <c r="BM144" s="210">
        <v>0</v>
      </c>
      <c r="BN144" s="210">
        <v>0</v>
      </c>
      <c r="BO144" s="210">
        <v>19250.140000000003</v>
      </c>
      <c r="BP144" s="210">
        <v>0</v>
      </c>
      <c r="BQ144" s="211">
        <v>-4540</v>
      </c>
      <c r="BR144" s="211">
        <v>0</v>
      </c>
      <c r="BS144" s="211">
        <v>0</v>
      </c>
      <c r="BT144" s="212">
        <v>0</v>
      </c>
      <c r="BU144" s="212">
        <v>0</v>
      </c>
      <c r="BV144" s="212">
        <v>0</v>
      </c>
      <c r="BW144" s="212">
        <v>0</v>
      </c>
      <c r="BX144" s="212">
        <v>0</v>
      </c>
      <c r="BY144" s="212">
        <v>0</v>
      </c>
      <c r="BZ144" s="212">
        <v>0</v>
      </c>
      <c r="CA144" s="212">
        <v>0</v>
      </c>
      <c r="CB144" s="212">
        <v>0</v>
      </c>
      <c r="CC144" s="224">
        <v>-79557.670000000027</v>
      </c>
      <c r="CD144" s="213"/>
      <c r="CE144" s="381">
        <v>36373.680000000066</v>
      </c>
      <c r="CF144" s="381">
        <v>8602</v>
      </c>
      <c r="CG144" s="381">
        <v>0</v>
      </c>
      <c r="CH144" s="381">
        <v>31009.439999999999</v>
      </c>
      <c r="CI144" s="381">
        <v>0</v>
      </c>
      <c r="CJ144" s="381">
        <v>3572.5499999999993</v>
      </c>
      <c r="CK144" s="381">
        <v>79557.670000000071</v>
      </c>
      <c r="CL144" s="201"/>
      <c r="CM144" s="201">
        <f t="shared" si="40"/>
        <v>0</v>
      </c>
      <c r="CN144" s="290">
        <f t="shared" ref="CN144" si="41">CE144-(CL144)</f>
        <v>36373.680000000066</v>
      </c>
      <c r="CO144" s="290">
        <f t="shared" ref="CO144" si="42">CF144</f>
        <v>8602</v>
      </c>
      <c r="CP144" s="290">
        <f t="shared" ref="CP144" si="43">CG144</f>
        <v>0</v>
      </c>
      <c r="CQ144" s="290">
        <f t="shared" ref="CQ144" si="44">CH144</f>
        <v>31009.439999999999</v>
      </c>
      <c r="CR144" s="290">
        <f t="shared" ref="CR144" si="45">CI144</f>
        <v>0</v>
      </c>
      <c r="CS144" s="290">
        <f t="shared" ref="CS144" si="46">CJ144</f>
        <v>3572.5499999999993</v>
      </c>
      <c r="CT144" s="290">
        <f t="shared" si="32"/>
        <v>79557.670000000071</v>
      </c>
      <c r="CV144" s="90">
        <f t="shared" si="33"/>
        <v>0</v>
      </c>
    </row>
    <row r="145" spans="1:100">
      <c r="A145" s="325">
        <v>838</v>
      </c>
      <c r="B145" s="325" t="s">
        <v>209</v>
      </c>
      <c r="C145" s="209">
        <v>-162246.88</v>
      </c>
      <c r="D145" s="209">
        <v>-16380</v>
      </c>
      <c r="E145" s="209">
        <v>0</v>
      </c>
      <c r="F145" s="209">
        <v>0</v>
      </c>
      <c r="G145" s="209">
        <v>0</v>
      </c>
      <c r="H145" s="209">
        <v>2144.19</v>
      </c>
      <c r="I145" s="223">
        <v>-490163.88</v>
      </c>
      <c r="J145" s="223">
        <v>0</v>
      </c>
      <c r="K145" s="223">
        <v>-37770</v>
      </c>
      <c r="L145" s="223">
        <v>0</v>
      </c>
      <c r="M145" s="223">
        <v>-14990</v>
      </c>
      <c r="N145" s="223">
        <v>0</v>
      </c>
      <c r="O145" s="223">
        <v>-1000</v>
      </c>
      <c r="P145" s="223">
        <v>0</v>
      </c>
      <c r="Q145" s="223">
        <v>-8058.93</v>
      </c>
      <c r="R145" s="223">
        <v>-5.08</v>
      </c>
      <c r="S145" s="223">
        <v>-3915</v>
      </c>
      <c r="T145" s="223">
        <v>-325</v>
      </c>
      <c r="U145" s="223">
        <v>-7001.1099999999988</v>
      </c>
      <c r="V145" s="223">
        <v>-4570.3700000000008</v>
      </c>
      <c r="W145" s="223">
        <v>0</v>
      </c>
      <c r="X145" s="223">
        <v>-21754.46</v>
      </c>
      <c r="Y145" s="223">
        <v>-2928.08</v>
      </c>
      <c r="Z145" s="223">
        <v>0</v>
      </c>
      <c r="AA145" s="223">
        <v>0</v>
      </c>
      <c r="AB145" s="223">
        <v>-263.75</v>
      </c>
      <c r="AC145" s="223">
        <v>-23387</v>
      </c>
      <c r="AD145" s="210">
        <v>290912.8</v>
      </c>
      <c r="AE145" s="210">
        <v>20941.57</v>
      </c>
      <c r="AF145" s="210">
        <v>85621.93</v>
      </c>
      <c r="AG145" s="210">
        <v>0</v>
      </c>
      <c r="AH145" s="210">
        <v>33847.67</v>
      </c>
      <c r="AI145" s="210">
        <v>0</v>
      </c>
      <c r="AJ145" s="210">
        <v>9738.6800000000021</v>
      </c>
      <c r="AK145" s="210">
        <v>105</v>
      </c>
      <c r="AL145" s="210">
        <v>4985</v>
      </c>
      <c r="AM145" s="210">
        <v>4360.8099999999995</v>
      </c>
      <c r="AN145" s="210">
        <v>0</v>
      </c>
      <c r="AO145" s="210">
        <v>20161.759999999998</v>
      </c>
      <c r="AP145" s="210">
        <v>2823.38</v>
      </c>
      <c r="AQ145" s="210">
        <v>1090.31</v>
      </c>
      <c r="AR145" s="210">
        <v>652.29000000000008</v>
      </c>
      <c r="AS145" s="210">
        <v>20140.59</v>
      </c>
      <c r="AT145" s="210">
        <v>2581.46</v>
      </c>
      <c r="AU145" s="210">
        <v>735.12</v>
      </c>
      <c r="AV145" s="210">
        <v>32493.840000000004</v>
      </c>
      <c r="AW145" s="312">
        <v>0</v>
      </c>
      <c r="AX145" s="210">
        <v>0</v>
      </c>
      <c r="AY145" s="210">
        <v>0</v>
      </c>
      <c r="AZ145" s="210">
        <v>0</v>
      </c>
      <c r="BA145" s="210">
        <v>230.38</v>
      </c>
      <c r="BB145" s="210">
        <v>0</v>
      </c>
      <c r="BC145" s="210">
        <v>0</v>
      </c>
      <c r="BD145" s="210">
        <v>1770</v>
      </c>
      <c r="BE145" s="210">
        <v>0</v>
      </c>
      <c r="BF145" s="210">
        <v>4815</v>
      </c>
      <c r="BG145" s="210">
        <v>3352.96</v>
      </c>
      <c r="BH145" s="210">
        <v>0</v>
      </c>
      <c r="BI145" s="210">
        <v>8978.59</v>
      </c>
      <c r="BJ145" s="210">
        <v>5686.8</v>
      </c>
      <c r="BK145" s="210">
        <v>41798.120000000003</v>
      </c>
      <c r="BL145" s="210">
        <v>11401.720000000001</v>
      </c>
      <c r="BM145" s="210">
        <v>0</v>
      </c>
      <c r="BN145" s="210">
        <v>1468.76</v>
      </c>
      <c r="BO145" s="210">
        <v>25179.969999999998</v>
      </c>
      <c r="BP145" s="210">
        <v>227.9</v>
      </c>
      <c r="BQ145" s="211">
        <v>0</v>
      </c>
      <c r="BR145" s="211">
        <v>0</v>
      </c>
      <c r="BS145" s="211">
        <v>0</v>
      </c>
      <c r="BT145" s="212">
        <v>0</v>
      </c>
      <c r="BU145" s="212">
        <v>0</v>
      </c>
      <c r="BV145" s="212">
        <v>0</v>
      </c>
      <c r="BW145" s="212">
        <v>0</v>
      </c>
      <c r="BX145" s="212">
        <v>0</v>
      </c>
      <c r="BY145" s="212">
        <v>0</v>
      </c>
      <c r="BZ145" s="212">
        <v>0</v>
      </c>
      <c r="CA145" s="212">
        <v>0</v>
      </c>
      <c r="CB145" s="212">
        <v>0</v>
      </c>
      <c r="CC145" s="224">
        <v>-156512.94</v>
      </c>
      <c r="CD145" s="213"/>
      <c r="CE145" s="211">
        <v>156708.3300000001</v>
      </c>
      <c r="CF145" s="211">
        <v>3266.6400000000012</v>
      </c>
      <c r="CG145" s="211">
        <v>0</v>
      </c>
      <c r="CH145" s="211">
        <v>0</v>
      </c>
      <c r="CI145" s="211">
        <v>0</v>
      </c>
      <c r="CJ145" s="211">
        <v>-3462.0299999999952</v>
      </c>
      <c r="CK145" s="211">
        <v>156512.94000000012</v>
      </c>
      <c r="CL145" s="201"/>
      <c r="CM145" s="201">
        <f t="shared" si="40"/>
        <v>0</v>
      </c>
      <c r="CN145" s="340">
        <f t="shared" si="34"/>
        <v>156708.3300000001</v>
      </c>
      <c r="CO145" s="340">
        <f t="shared" si="35"/>
        <v>3266.6400000000012</v>
      </c>
      <c r="CP145" s="340">
        <f t="shared" si="36"/>
        <v>0</v>
      </c>
      <c r="CQ145" s="340">
        <f t="shared" si="37"/>
        <v>0</v>
      </c>
      <c r="CR145" s="340">
        <f t="shared" si="38"/>
        <v>0</v>
      </c>
      <c r="CS145" s="340">
        <f t="shared" si="39"/>
        <v>-3462.0299999999952</v>
      </c>
      <c r="CT145" s="90">
        <f t="shared" si="32"/>
        <v>156512.94000000012</v>
      </c>
      <c r="CV145" s="90">
        <f t="shared" si="33"/>
        <v>0</v>
      </c>
    </row>
    <row r="146" spans="1:100">
      <c r="A146" s="325">
        <v>842</v>
      </c>
      <c r="B146" s="325" t="s">
        <v>197</v>
      </c>
      <c r="C146" s="209">
        <v>-86939.66</v>
      </c>
      <c r="D146" s="209">
        <v>-10949.12</v>
      </c>
      <c r="E146" s="209">
        <v>0</v>
      </c>
      <c r="F146" s="209">
        <v>-26942.13</v>
      </c>
      <c r="G146" s="209">
        <v>0</v>
      </c>
      <c r="H146" s="209">
        <v>0</v>
      </c>
      <c r="I146" s="223">
        <v>-651058.15</v>
      </c>
      <c r="J146" s="223">
        <v>0</v>
      </c>
      <c r="K146" s="223">
        <v>-21948</v>
      </c>
      <c r="L146" s="223">
        <v>0</v>
      </c>
      <c r="M146" s="223">
        <v>-23630</v>
      </c>
      <c r="N146" s="223">
        <v>0</v>
      </c>
      <c r="O146" s="223">
        <v>0</v>
      </c>
      <c r="P146" s="223">
        <v>0</v>
      </c>
      <c r="Q146" s="223">
        <v>-6631.2</v>
      </c>
      <c r="R146" s="223">
        <v>0</v>
      </c>
      <c r="S146" s="223">
        <v>0</v>
      </c>
      <c r="T146" s="223">
        <v>0</v>
      </c>
      <c r="U146" s="223">
        <v>-12829.4</v>
      </c>
      <c r="V146" s="223">
        <v>-200</v>
      </c>
      <c r="W146" s="223">
        <v>0</v>
      </c>
      <c r="X146" s="223">
        <v>0</v>
      </c>
      <c r="Y146" s="223">
        <v>0</v>
      </c>
      <c r="Z146" s="223">
        <v>0</v>
      </c>
      <c r="AA146" s="223">
        <v>0</v>
      </c>
      <c r="AB146" s="223">
        <v>46.870000000000005</v>
      </c>
      <c r="AC146" s="223">
        <v>-36253</v>
      </c>
      <c r="AD146" s="210">
        <v>363462.42</v>
      </c>
      <c r="AE146" s="210">
        <v>3680.6700000000005</v>
      </c>
      <c r="AF146" s="210">
        <v>116401.76999999999</v>
      </c>
      <c r="AG146" s="210">
        <v>15953.629999999997</v>
      </c>
      <c r="AH146" s="210">
        <v>35594.19</v>
      </c>
      <c r="AI146" s="210">
        <v>0</v>
      </c>
      <c r="AJ146" s="210">
        <v>11723.710000000001</v>
      </c>
      <c r="AK146" s="210">
        <v>2349</v>
      </c>
      <c r="AL146" s="210">
        <v>4214.0599999999995</v>
      </c>
      <c r="AM146" s="210">
        <v>4048.02</v>
      </c>
      <c r="AN146" s="210">
        <v>1204.6600000000001</v>
      </c>
      <c r="AO146" s="210">
        <v>6236.21</v>
      </c>
      <c r="AP146" s="210">
        <v>1058.23</v>
      </c>
      <c r="AQ146" s="210">
        <v>2152.94</v>
      </c>
      <c r="AR146" s="210">
        <v>1828.2599999999995</v>
      </c>
      <c r="AS146" s="210">
        <v>8871.32</v>
      </c>
      <c r="AT146" s="210">
        <v>13809.61</v>
      </c>
      <c r="AU146" s="210">
        <v>5500.29</v>
      </c>
      <c r="AV146" s="210">
        <v>37803.160000000018</v>
      </c>
      <c r="AW146" s="312">
        <v>59.95</v>
      </c>
      <c r="AX146" s="210">
        <v>2401.34</v>
      </c>
      <c r="AY146" s="210">
        <v>0</v>
      </c>
      <c r="AZ146" s="210">
        <v>510</v>
      </c>
      <c r="BA146" s="210">
        <v>2654.65</v>
      </c>
      <c r="BB146" s="210">
        <v>0</v>
      </c>
      <c r="BC146" s="210">
        <v>0</v>
      </c>
      <c r="BD146" s="210">
        <v>3660</v>
      </c>
      <c r="BE146" s="210">
        <v>0</v>
      </c>
      <c r="BF146" s="210">
        <v>2807.66</v>
      </c>
      <c r="BG146" s="210">
        <v>5658.1200000000008</v>
      </c>
      <c r="BH146" s="210">
        <v>0</v>
      </c>
      <c r="BI146" s="210">
        <v>25136.61</v>
      </c>
      <c r="BJ146" s="210">
        <v>194</v>
      </c>
      <c r="BK146" s="210">
        <v>18348.399999999998</v>
      </c>
      <c r="BL146" s="210">
        <v>11121.59</v>
      </c>
      <c r="BM146" s="210">
        <v>0</v>
      </c>
      <c r="BN146" s="210">
        <v>0</v>
      </c>
      <c r="BO146" s="210">
        <v>0</v>
      </c>
      <c r="BP146" s="210">
        <v>0</v>
      </c>
      <c r="BQ146" s="211">
        <v>-5237.5</v>
      </c>
      <c r="BR146" s="211">
        <v>0</v>
      </c>
      <c r="BS146" s="211">
        <v>0</v>
      </c>
      <c r="BT146" s="212">
        <v>0</v>
      </c>
      <c r="BU146" s="212">
        <v>19685.5</v>
      </c>
      <c r="BV146" s="212">
        <v>0</v>
      </c>
      <c r="BW146" s="212">
        <v>0</v>
      </c>
      <c r="BX146" s="212">
        <v>0</v>
      </c>
      <c r="BY146" s="212">
        <v>0</v>
      </c>
      <c r="BZ146" s="212">
        <v>0</v>
      </c>
      <c r="CA146" s="212">
        <v>0</v>
      </c>
      <c r="CB146" s="212">
        <v>0</v>
      </c>
      <c r="CC146" s="224">
        <v>-154441.32</v>
      </c>
      <c r="CD146" s="213"/>
      <c r="CE146" s="211">
        <v>140680.52000000002</v>
      </c>
      <c r="CF146" s="211">
        <v>1266.67</v>
      </c>
      <c r="CG146" s="211">
        <v>0</v>
      </c>
      <c r="CH146" s="211">
        <v>12494.130000000001</v>
      </c>
      <c r="CI146" s="211">
        <v>0</v>
      </c>
      <c r="CJ146" s="211">
        <v>0</v>
      </c>
      <c r="CK146" s="211">
        <v>154441.32000000004</v>
      </c>
      <c r="CL146" s="201"/>
      <c r="CM146" s="201">
        <f t="shared" si="40"/>
        <v>0</v>
      </c>
      <c r="CN146" s="340">
        <f t="shared" si="34"/>
        <v>140680.52000000002</v>
      </c>
      <c r="CO146" s="340">
        <f t="shared" si="35"/>
        <v>1266.67</v>
      </c>
      <c r="CP146" s="340">
        <f t="shared" si="36"/>
        <v>0</v>
      </c>
      <c r="CQ146" s="340">
        <f t="shared" si="37"/>
        <v>12494.130000000001</v>
      </c>
      <c r="CR146" s="340">
        <f t="shared" si="38"/>
        <v>0</v>
      </c>
      <c r="CS146" s="340">
        <f t="shared" si="39"/>
        <v>0</v>
      </c>
      <c r="CT146" s="90">
        <f t="shared" si="32"/>
        <v>154441.32000000004</v>
      </c>
      <c r="CV146" s="90">
        <f t="shared" si="33"/>
        <v>0</v>
      </c>
    </row>
    <row r="147" spans="1:100">
      <c r="A147" s="325">
        <v>845</v>
      </c>
      <c r="B147" s="325" t="s">
        <v>280</v>
      </c>
      <c r="C147" s="209">
        <v>-116836.98</v>
      </c>
      <c r="D147" s="209">
        <v>-33145.53</v>
      </c>
      <c r="E147" s="209">
        <v>0</v>
      </c>
      <c r="F147" s="209">
        <v>-18777.990000000002</v>
      </c>
      <c r="G147" s="209">
        <v>0</v>
      </c>
      <c r="H147" s="209">
        <v>0</v>
      </c>
      <c r="I147" s="223">
        <v>-386768.25</v>
      </c>
      <c r="J147" s="223">
        <v>0</v>
      </c>
      <c r="K147" s="223">
        <v>-16127</v>
      </c>
      <c r="L147" s="223">
        <v>0</v>
      </c>
      <c r="M147" s="223">
        <v>-22200</v>
      </c>
      <c r="N147" s="223">
        <v>-1200</v>
      </c>
      <c r="O147" s="223">
        <v>0</v>
      </c>
      <c r="P147" s="223">
        <v>0</v>
      </c>
      <c r="Q147" s="223">
        <v>-8622.8799999999992</v>
      </c>
      <c r="R147" s="223">
        <v>0</v>
      </c>
      <c r="S147" s="223">
        <v>0</v>
      </c>
      <c r="T147" s="223">
        <v>0</v>
      </c>
      <c r="U147" s="223">
        <v>-2319.19</v>
      </c>
      <c r="V147" s="223">
        <v>-1633.34</v>
      </c>
      <c r="W147" s="223">
        <v>0</v>
      </c>
      <c r="X147" s="223">
        <v>0</v>
      </c>
      <c r="Y147" s="223">
        <v>0</v>
      </c>
      <c r="Z147" s="223">
        <v>0</v>
      </c>
      <c r="AA147" s="223">
        <v>0</v>
      </c>
      <c r="AB147" s="223">
        <v>165</v>
      </c>
      <c r="AC147" s="223">
        <v>-23080</v>
      </c>
      <c r="AD147" s="210">
        <v>202485.92</v>
      </c>
      <c r="AE147" s="210">
        <v>6730.4000000000005</v>
      </c>
      <c r="AF147" s="210">
        <v>81010.37000000001</v>
      </c>
      <c r="AG147" s="210">
        <v>6882.9400000000005</v>
      </c>
      <c r="AH147" s="210">
        <v>24470.400000000001</v>
      </c>
      <c r="AI147" s="210">
        <v>0</v>
      </c>
      <c r="AJ147" s="210">
        <v>21108.560000000001</v>
      </c>
      <c r="AK147" s="210">
        <v>1354.98</v>
      </c>
      <c r="AL147" s="210">
        <v>4977</v>
      </c>
      <c r="AM147" s="210">
        <v>131.15</v>
      </c>
      <c r="AN147" s="210">
        <v>5176.62</v>
      </c>
      <c r="AO147" s="210">
        <v>3427.12</v>
      </c>
      <c r="AP147" s="210">
        <v>0</v>
      </c>
      <c r="AQ147" s="210">
        <v>1605.74</v>
      </c>
      <c r="AR147" s="210">
        <v>370.17</v>
      </c>
      <c r="AS147" s="210">
        <v>6280.97</v>
      </c>
      <c r="AT147" s="210">
        <v>4913.8599999999997</v>
      </c>
      <c r="AU147" s="210">
        <v>2596.5199999999995</v>
      </c>
      <c r="AV147" s="210">
        <v>21396.1</v>
      </c>
      <c r="AW147" s="312">
        <v>0</v>
      </c>
      <c r="AX147" s="210">
        <v>0</v>
      </c>
      <c r="AY147" s="210">
        <v>0</v>
      </c>
      <c r="AZ147" s="210">
        <v>767.5</v>
      </c>
      <c r="BA147" s="210">
        <v>4804.1399999999994</v>
      </c>
      <c r="BB147" s="210">
        <v>0</v>
      </c>
      <c r="BC147" s="210">
        <v>0</v>
      </c>
      <c r="BD147" s="210">
        <v>3065</v>
      </c>
      <c r="BE147" s="210">
        <v>0</v>
      </c>
      <c r="BF147" s="210">
        <v>4195.8200000000006</v>
      </c>
      <c r="BG147" s="210">
        <v>885.37</v>
      </c>
      <c r="BH147" s="210">
        <v>0</v>
      </c>
      <c r="BI147" s="210">
        <v>16030.28</v>
      </c>
      <c r="BJ147" s="210">
        <v>0</v>
      </c>
      <c r="BK147" s="210">
        <v>6681.8</v>
      </c>
      <c r="BL147" s="210">
        <v>32913.25</v>
      </c>
      <c r="BM147" s="210">
        <v>0</v>
      </c>
      <c r="BN147" s="210">
        <v>0</v>
      </c>
      <c r="BO147" s="210">
        <v>0</v>
      </c>
      <c r="BP147" s="210">
        <v>14.14</v>
      </c>
      <c r="BQ147" s="211">
        <v>-4562.5</v>
      </c>
      <c r="BR147" s="211">
        <v>0</v>
      </c>
      <c r="BS147" s="211">
        <v>0</v>
      </c>
      <c r="BT147" s="212">
        <v>0</v>
      </c>
      <c r="BU147" s="212">
        <v>8850</v>
      </c>
      <c r="BV147" s="212">
        <v>0</v>
      </c>
      <c r="BW147" s="212">
        <v>0</v>
      </c>
      <c r="BX147" s="212">
        <v>0</v>
      </c>
      <c r="BY147" s="212">
        <v>0</v>
      </c>
      <c r="BZ147" s="212">
        <v>0</v>
      </c>
      <c r="CA147" s="212">
        <v>1430</v>
      </c>
      <c r="CB147" s="212">
        <v>0</v>
      </c>
      <c r="CC147" s="224">
        <v>-160552.53999999989</v>
      </c>
      <c r="CD147" s="213"/>
      <c r="CE147" s="211">
        <v>127966.05000000005</v>
      </c>
      <c r="CF147" s="211">
        <v>19526</v>
      </c>
      <c r="CG147" s="211">
        <v>0</v>
      </c>
      <c r="CH147" s="211">
        <v>13060.490000000002</v>
      </c>
      <c r="CI147" s="211">
        <v>0</v>
      </c>
      <c r="CJ147" s="211">
        <v>0</v>
      </c>
      <c r="CK147" s="211">
        <v>160552.54000000004</v>
      </c>
      <c r="CL147" s="201"/>
      <c r="CM147" s="201">
        <f t="shared" si="40"/>
        <v>0</v>
      </c>
      <c r="CN147" s="340">
        <f t="shared" si="34"/>
        <v>127966.05000000005</v>
      </c>
      <c r="CO147" s="340">
        <f t="shared" si="35"/>
        <v>19526</v>
      </c>
      <c r="CP147" s="340">
        <f t="shared" si="36"/>
        <v>0</v>
      </c>
      <c r="CQ147" s="340">
        <f t="shared" si="37"/>
        <v>13060.490000000002</v>
      </c>
      <c r="CR147" s="340">
        <f t="shared" si="38"/>
        <v>0</v>
      </c>
      <c r="CS147" s="340">
        <f t="shared" si="39"/>
        <v>0</v>
      </c>
      <c r="CT147" s="90">
        <f t="shared" si="32"/>
        <v>160552.54000000004</v>
      </c>
      <c r="CV147" s="90">
        <f t="shared" si="33"/>
        <v>0</v>
      </c>
    </row>
    <row r="148" spans="1:100">
      <c r="A148" s="325">
        <v>851</v>
      </c>
      <c r="B148" s="325" t="s">
        <v>206</v>
      </c>
      <c r="C148" s="209">
        <v>-73941.2</v>
      </c>
      <c r="D148" s="209">
        <v>-10163.98</v>
      </c>
      <c r="E148" s="209">
        <v>0</v>
      </c>
      <c r="F148" s="209">
        <v>0</v>
      </c>
      <c r="G148" s="209">
        <v>0</v>
      </c>
      <c r="H148" s="209">
        <v>8921.0499999999993</v>
      </c>
      <c r="I148" s="223">
        <v>-345691.54</v>
      </c>
      <c r="J148" s="223">
        <v>0</v>
      </c>
      <c r="K148" s="223">
        <v>-21662</v>
      </c>
      <c r="L148" s="223">
        <v>0</v>
      </c>
      <c r="M148" s="223">
        <v>-13320</v>
      </c>
      <c r="N148" s="223">
        <v>0</v>
      </c>
      <c r="O148" s="223">
        <v>-12250</v>
      </c>
      <c r="P148" s="223">
        <v>0</v>
      </c>
      <c r="Q148" s="223">
        <v>-6647.5999999999995</v>
      </c>
      <c r="R148" s="223">
        <v>0</v>
      </c>
      <c r="S148" s="223">
        <v>0</v>
      </c>
      <c r="T148" s="223">
        <v>-3750</v>
      </c>
      <c r="U148" s="223">
        <v>-9329.85</v>
      </c>
      <c r="V148" s="223">
        <v>0</v>
      </c>
      <c r="W148" s="223">
        <v>0</v>
      </c>
      <c r="X148" s="223">
        <v>-50265.610000000008</v>
      </c>
      <c r="Y148" s="223">
        <v>-8817.590000000002</v>
      </c>
      <c r="Z148" s="223">
        <v>0</v>
      </c>
      <c r="AA148" s="223">
        <v>0</v>
      </c>
      <c r="AB148" s="223">
        <v>-263.75</v>
      </c>
      <c r="AC148" s="223">
        <v>-18784</v>
      </c>
      <c r="AD148" s="210">
        <v>199405.17999999996</v>
      </c>
      <c r="AE148" s="210">
        <v>4275.0200000000004</v>
      </c>
      <c r="AF148" s="210">
        <v>45082.73</v>
      </c>
      <c r="AG148" s="210">
        <v>7933.75</v>
      </c>
      <c r="AH148" s="210">
        <v>27276.160000000007</v>
      </c>
      <c r="AI148" s="210">
        <v>0</v>
      </c>
      <c r="AJ148" s="210">
        <v>5903.5199999999995</v>
      </c>
      <c r="AK148" s="210">
        <v>447.72</v>
      </c>
      <c r="AL148" s="210">
        <v>2556.9699999999998</v>
      </c>
      <c r="AM148" s="210">
        <v>568.99</v>
      </c>
      <c r="AN148" s="210">
        <v>2861.88</v>
      </c>
      <c r="AO148" s="210">
        <v>4394.7</v>
      </c>
      <c r="AP148" s="210">
        <v>145</v>
      </c>
      <c r="AQ148" s="210">
        <v>820.74999999999989</v>
      </c>
      <c r="AR148" s="210">
        <v>422.91999999999996</v>
      </c>
      <c r="AS148" s="210">
        <v>8359.130000000001</v>
      </c>
      <c r="AT148" s="210">
        <v>817.11</v>
      </c>
      <c r="AU148" s="210">
        <v>2149.7799999999997</v>
      </c>
      <c r="AV148" s="210">
        <v>21657.69</v>
      </c>
      <c r="AW148" s="312">
        <v>0</v>
      </c>
      <c r="AX148" s="210">
        <v>2578.1999999999998</v>
      </c>
      <c r="AY148" s="210">
        <v>0</v>
      </c>
      <c r="AZ148" s="210">
        <v>2415.66</v>
      </c>
      <c r="BA148" s="210">
        <v>925.28</v>
      </c>
      <c r="BB148" s="210">
        <v>0</v>
      </c>
      <c r="BC148" s="210">
        <v>92</v>
      </c>
      <c r="BD148" s="210">
        <v>3115</v>
      </c>
      <c r="BE148" s="210">
        <v>0</v>
      </c>
      <c r="BF148" s="210">
        <v>2107.73</v>
      </c>
      <c r="BG148" s="210">
        <v>1881.38</v>
      </c>
      <c r="BH148" s="210">
        <v>0</v>
      </c>
      <c r="BI148" s="210">
        <v>8758.130000000001</v>
      </c>
      <c r="BJ148" s="210">
        <v>20960.39</v>
      </c>
      <c r="BK148" s="210">
        <v>6141.5</v>
      </c>
      <c r="BL148" s="210">
        <v>46375.5</v>
      </c>
      <c r="BM148" s="210">
        <v>0</v>
      </c>
      <c r="BN148" s="210">
        <v>0</v>
      </c>
      <c r="BO148" s="210">
        <v>55205.279999999999</v>
      </c>
      <c r="BP148" s="210">
        <v>869.41999999999973</v>
      </c>
      <c r="BQ148" s="211">
        <v>0</v>
      </c>
      <c r="BR148" s="211">
        <v>0</v>
      </c>
      <c r="BS148" s="211">
        <v>0</v>
      </c>
      <c r="BT148" s="212">
        <v>0</v>
      </c>
      <c r="BU148" s="212">
        <v>0</v>
      </c>
      <c r="BV148" s="212">
        <v>0</v>
      </c>
      <c r="BW148" s="212">
        <v>0</v>
      </c>
      <c r="BX148" s="212">
        <v>0</v>
      </c>
      <c r="BY148" s="212">
        <v>0</v>
      </c>
      <c r="BZ148" s="212">
        <v>0</v>
      </c>
      <c r="CA148" s="212">
        <v>0</v>
      </c>
      <c r="CB148" s="212">
        <v>0</v>
      </c>
      <c r="CC148" s="224">
        <v>-79461.599999999991</v>
      </c>
      <c r="CD148" s="213"/>
      <c r="CE148" s="211">
        <v>77612.810000000012</v>
      </c>
      <c r="CF148" s="211">
        <v>4670.2100000000009</v>
      </c>
      <c r="CG148" s="211">
        <v>0</v>
      </c>
      <c r="CH148" s="211">
        <v>0</v>
      </c>
      <c r="CI148" s="211">
        <v>0</v>
      </c>
      <c r="CJ148" s="211">
        <v>-2821.419999999991</v>
      </c>
      <c r="CK148" s="211">
        <v>79461.600000000035</v>
      </c>
      <c r="CL148" s="201"/>
      <c r="CM148" s="201">
        <f t="shared" si="40"/>
        <v>0</v>
      </c>
      <c r="CN148" s="340">
        <f t="shared" si="34"/>
        <v>77612.810000000012</v>
      </c>
      <c r="CO148" s="340">
        <f t="shared" si="35"/>
        <v>4670.2100000000009</v>
      </c>
      <c r="CP148" s="340">
        <f t="shared" si="36"/>
        <v>0</v>
      </c>
      <c r="CQ148" s="340">
        <f t="shared" si="37"/>
        <v>0</v>
      </c>
      <c r="CR148" s="340">
        <f t="shared" si="38"/>
        <v>0</v>
      </c>
      <c r="CS148" s="340">
        <f t="shared" si="39"/>
        <v>-2821.419999999991</v>
      </c>
      <c r="CT148" s="90">
        <f t="shared" si="32"/>
        <v>79461.600000000035</v>
      </c>
      <c r="CV148" s="90">
        <f t="shared" si="33"/>
        <v>0</v>
      </c>
    </row>
    <row r="149" spans="1:100">
      <c r="A149" s="325">
        <v>852</v>
      </c>
      <c r="B149" s="325" t="s">
        <v>201</v>
      </c>
      <c r="C149" s="209">
        <v>-139561.82</v>
      </c>
      <c r="D149" s="209">
        <v>-2299.6999999999998</v>
      </c>
      <c r="E149" s="209">
        <v>0</v>
      </c>
      <c r="F149" s="209">
        <v>-9366.74</v>
      </c>
      <c r="G149" s="209">
        <v>0</v>
      </c>
      <c r="H149" s="209">
        <v>0</v>
      </c>
      <c r="I149" s="223">
        <v>-742698.07</v>
      </c>
      <c r="J149" s="223">
        <v>0</v>
      </c>
      <c r="K149" s="223">
        <v>-76120</v>
      </c>
      <c r="L149" s="223">
        <v>0</v>
      </c>
      <c r="M149" s="223">
        <v>-39249</v>
      </c>
      <c r="N149" s="223">
        <v>-2800</v>
      </c>
      <c r="O149" s="223">
        <v>-1160</v>
      </c>
      <c r="P149" s="223">
        <v>-6565</v>
      </c>
      <c r="Q149" s="223">
        <v>-6394.45</v>
      </c>
      <c r="R149" s="223">
        <v>0</v>
      </c>
      <c r="S149" s="223">
        <v>0</v>
      </c>
      <c r="T149" s="223">
        <v>0</v>
      </c>
      <c r="U149" s="223">
        <v>-10244.660000000002</v>
      </c>
      <c r="V149" s="223">
        <v>-1754.7</v>
      </c>
      <c r="W149" s="223">
        <v>0</v>
      </c>
      <c r="X149" s="223">
        <v>0</v>
      </c>
      <c r="Y149" s="223">
        <v>0</v>
      </c>
      <c r="Z149" s="223">
        <v>0</v>
      </c>
      <c r="AA149" s="223">
        <v>0</v>
      </c>
      <c r="AB149" s="223">
        <v>-22.5</v>
      </c>
      <c r="AC149" s="223">
        <v>-34453</v>
      </c>
      <c r="AD149" s="210">
        <v>462982.41</v>
      </c>
      <c r="AE149" s="210">
        <v>9622.61</v>
      </c>
      <c r="AF149" s="210">
        <v>153961.07</v>
      </c>
      <c r="AG149" s="210">
        <v>30841.95</v>
      </c>
      <c r="AH149" s="210">
        <v>63233.330000000009</v>
      </c>
      <c r="AI149" s="210">
        <v>0</v>
      </c>
      <c r="AJ149" s="210">
        <v>19959.13</v>
      </c>
      <c r="AK149" s="210">
        <v>2758.96</v>
      </c>
      <c r="AL149" s="210">
        <v>4556.3999999999996</v>
      </c>
      <c r="AM149" s="210">
        <v>387.35</v>
      </c>
      <c r="AN149" s="210">
        <v>819</v>
      </c>
      <c r="AO149" s="210">
        <v>7557.9299999999985</v>
      </c>
      <c r="AP149" s="210">
        <v>4723.9099999999989</v>
      </c>
      <c r="AQ149" s="210">
        <v>13842.759999999998</v>
      </c>
      <c r="AR149" s="210">
        <v>3042.58</v>
      </c>
      <c r="AS149" s="210">
        <v>19940.03</v>
      </c>
      <c r="AT149" s="210">
        <v>18101.099999999999</v>
      </c>
      <c r="AU149" s="210">
        <v>10488.99</v>
      </c>
      <c r="AV149" s="210">
        <v>28619.480000000003</v>
      </c>
      <c r="AW149" s="312">
        <v>0</v>
      </c>
      <c r="AX149" s="210">
        <v>2862.21</v>
      </c>
      <c r="AY149" s="210">
        <v>0</v>
      </c>
      <c r="AZ149" s="210">
        <v>550.57999999999993</v>
      </c>
      <c r="BA149" s="210">
        <v>5871.42</v>
      </c>
      <c r="BB149" s="210">
        <v>3241.5</v>
      </c>
      <c r="BC149" s="210">
        <v>54.230000000000004</v>
      </c>
      <c r="BD149" s="210">
        <v>1270</v>
      </c>
      <c r="BE149" s="210">
        <v>0</v>
      </c>
      <c r="BF149" s="210">
        <v>2454.4299999999998</v>
      </c>
      <c r="BG149" s="210">
        <v>6653.53</v>
      </c>
      <c r="BH149" s="210">
        <v>0</v>
      </c>
      <c r="BI149" s="210">
        <v>23944.440000000002</v>
      </c>
      <c r="BJ149" s="210">
        <v>13923.61</v>
      </c>
      <c r="BK149" s="210">
        <v>71332.479999999996</v>
      </c>
      <c r="BL149" s="210">
        <v>15704.550000000001</v>
      </c>
      <c r="BM149" s="210">
        <v>0</v>
      </c>
      <c r="BN149" s="210">
        <v>0</v>
      </c>
      <c r="BO149" s="210">
        <v>0</v>
      </c>
      <c r="BP149" s="210">
        <v>0</v>
      </c>
      <c r="BQ149" s="211">
        <v>-5530</v>
      </c>
      <c r="BR149" s="211">
        <v>0</v>
      </c>
      <c r="BS149" s="211">
        <v>0</v>
      </c>
      <c r="BT149" s="212">
        <v>0</v>
      </c>
      <c r="BU149" s="212">
        <v>13405.83</v>
      </c>
      <c r="BV149" s="212">
        <v>0</v>
      </c>
      <c r="BW149" s="212">
        <v>0</v>
      </c>
      <c r="BX149" s="212">
        <v>0</v>
      </c>
      <c r="BY149" s="212">
        <v>0</v>
      </c>
      <c r="BZ149" s="212">
        <v>0</v>
      </c>
      <c r="CA149" s="212">
        <v>0</v>
      </c>
      <c r="CB149" s="212">
        <v>0</v>
      </c>
      <c r="CC149" s="224">
        <v>-61511.839999999953</v>
      </c>
      <c r="CD149" s="213"/>
      <c r="CE149" s="211">
        <v>51755.189999999937</v>
      </c>
      <c r="CF149" s="211">
        <v>8265.74</v>
      </c>
      <c r="CG149" s="211">
        <v>0</v>
      </c>
      <c r="CH149" s="211">
        <v>1490.9099999999999</v>
      </c>
      <c r="CI149" s="211">
        <v>0</v>
      </c>
      <c r="CJ149" s="211">
        <v>0</v>
      </c>
      <c r="CK149" s="211">
        <v>61511.839999999938</v>
      </c>
      <c r="CL149" s="201"/>
      <c r="CM149" s="201">
        <f t="shared" si="40"/>
        <v>0</v>
      </c>
      <c r="CN149" s="340">
        <f t="shared" si="34"/>
        <v>51755.189999999937</v>
      </c>
      <c r="CO149" s="340">
        <f t="shared" si="35"/>
        <v>8265.74</v>
      </c>
      <c r="CP149" s="340">
        <f t="shared" si="36"/>
        <v>0</v>
      </c>
      <c r="CQ149" s="340">
        <f t="shared" si="37"/>
        <v>1490.9099999999999</v>
      </c>
      <c r="CR149" s="340">
        <f t="shared" si="38"/>
        <v>0</v>
      </c>
      <c r="CS149" s="340">
        <f t="shared" si="39"/>
        <v>0</v>
      </c>
      <c r="CT149" s="90">
        <f t="shared" si="32"/>
        <v>61511.839999999938</v>
      </c>
      <c r="CV149" s="90">
        <f t="shared" si="33"/>
        <v>0</v>
      </c>
    </row>
    <row r="150" spans="1:100">
      <c r="A150" s="325">
        <v>853</v>
      </c>
      <c r="B150" s="325" t="s">
        <v>410</v>
      </c>
      <c r="C150" s="209">
        <v>-51123.09</v>
      </c>
      <c r="D150" s="209">
        <v>-10199.89</v>
      </c>
      <c r="E150" s="209">
        <v>0</v>
      </c>
      <c r="F150" s="209">
        <v>0</v>
      </c>
      <c r="G150" s="209">
        <v>0</v>
      </c>
      <c r="H150" s="209">
        <v>0</v>
      </c>
      <c r="I150" s="223">
        <v>-710793.87</v>
      </c>
      <c r="J150" s="223">
        <v>0</v>
      </c>
      <c r="K150" s="223">
        <v>-5113.9000000000015</v>
      </c>
      <c r="L150" s="223">
        <v>0</v>
      </c>
      <c r="M150" s="223">
        <v>-14770</v>
      </c>
      <c r="N150" s="223">
        <v>-1200</v>
      </c>
      <c r="O150" s="223">
        <v>-3840</v>
      </c>
      <c r="P150" s="223">
        <v>-888.68000000000006</v>
      </c>
      <c r="Q150" s="223">
        <v>-1930.04</v>
      </c>
      <c r="R150" s="223">
        <v>-7</v>
      </c>
      <c r="S150" s="223">
        <v>-3847.11</v>
      </c>
      <c r="T150" s="223">
        <v>-28</v>
      </c>
      <c r="U150" s="223">
        <v>-8454.3199999999979</v>
      </c>
      <c r="V150" s="223">
        <v>-5458.54</v>
      </c>
      <c r="W150" s="223">
        <v>0</v>
      </c>
      <c r="X150" s="223">
        <v>0</v>
      </c>
      <c r="Y150" s="223">
        <v>0</v>
      </c>
      <c r="Z150" s="223">
        <v>0</v>
      </c>
      <c r="AA150" s="223">
        <v>0</v>
      </c>
      <c r="AB150" s="223">
        <v>-668.75</v>
      </c>
      <c r="AC150" s="223">
        <v>-41846</v>
      </c>
      <c r="AD150" s="210">
        <v>403001.11999999994</v>
      </c>
      <c r="AE150" s="210">
        <v>9666.64</v>
      </c>
      <c r="AF150" s="210">
        <v>127912.61999999998</v>
      </c>
      <c r="AG150" s="210">
        <v>0</v>
      </c>
      <c r="AH150" s="210">
        <v>42144.47</v>
      </c>
      <c r="AI150" s="210">
        <v>0</v>
      </c>
      <c r="AJ150" s="210">
        <v>19299.460000000003</v>
      </c>
      <c r="AK150" s="210">
        <v>0</v>
      </c>
      <c r="AL150" s="210">
        <v>2721.62</v>
      </c>
      <c r="AM150" s="210">
        <v>6603.2300000000005</v>
      </c>
      <c r="AN150" s="210">
        <v>1412.58</v>
      </c>
      <c r="AO150" s="210">
        <v>6063.45</v>
      </c>
      <c r="AP150" s="210">
        <v>3249.12</v>
      </c>
      <c r="AQ150" s="210">
        <v>11413.439999999999</v>
      </c>
      <c r="AR150" s="210">
        <v>1660.9399999999998</v>
      </c>
      <c r="AS150" s="210">
        <v>9189.66</v>
      </c>
      <c r="AT150" s="210">
        <v>2942.54</v>
      </c>
      <c r="AU150" s="210">
        <v>3541.4499999999994</v>
      </c>
      <c r="AV150" s="210">
        <v>26819.5</v>
      </c>
      <c r="AW150" s="312">
        <v>2465.1600000000003</v>
      </c>
      <c r="AX150" s="210">
        <v>808.34</v>
      </c>
      <c r="AY150" s="210">
        <v>0</v>
      </c>
      <c r="AZ150" s="210">
        <v>7005.76</v>
      </c>
      <c r="BA150" s="210">
        <v>6.96</v>
      </c>
      <c r="BB150" s="210">
        <v>0</v>
      </c>
      <c r="BC150" s="210">
        <v>0</v>
      </c>
      <c r="BD150" s="210">
        <v>2420</v>
      </c>
      <c r="BE150" s="210">
        <v>0</v>
      </c>
      <c r="BF150" s="210">
        <v>1702.4200000000003</v>
      </c>
      <c r="BG150" s="210">
        <v>7020.26</v>
      </c>
      <c r="BH150" s="210">
        <v>0</v>
      </c>
      <c r="BI150" s="210">
        <v>28311.129999999997</v>
      </c>
      <c r="BJ150" s="210">
        <v>1658</v>
      </c>
      <c r="BK150" s="210">
        <v>26314.29</v>
      </c>
      <c r="BL150" s="210">
        <v>13642.94</v>
      </c>
      <c r="BM150" s="210">
        <v>0</v>
      </c>
      <c r="BN150" s="210">
        <v>1870.55</v>
      </c>
      <c r="BO150" s="210">
        <v>0</v>
      </c>
      <c r="BP150" s="210">
        <v>108.91</v>
      </c>
      <c r="BQ150" s="211">
        <v>0</v>
      </c>
      <c r="BR150" s="211">
        <v>0</v>
      </c>
      <c r="BS150" s="211">
        <v>0</v>
      </c>
      <c r="BT150" s="212">
        <v>0</v>
      </c>
      <c r="BU150" s="212">
        <v>0</v>
      </c>
      <c r="BV150" s="212">
        <v>0</v>
      </c>
      <c r="BW150" s="212">
        <v>0</v>
      </c>
      <c r="BX150" s="212">
        <v>0</v>
      </c>
      <c r="BY150" s="212">
        <v>0</v>
      </c>
      <c r="BZ150" s="212">
        <v>0</v>
      </c>
      <c r="CA150" s="212">
        <v>0</v>
      </c>
      <c r="CB150" s="212">
        <v>0</v>
      </c>
      <c r="CC150" s="224">
        <v>-89192.630000000019</v>
      </c>
      <c r="CD150" s="213"/>
      <c r="CE150" s="211">
        <v>76061.65000000014</v>
      </c>
      <c r="CF150" s="211">
        <v>13130.98</v>
      </c>
      <c r="CG150" s="211">
        <v>0</v>
      </c>
      <c r="CH150" s="211">
        <v>0</v>
      </c>
      <c r="CI150" s="211">
        <v>0</v>
      </c>
      <c r="CJ150" s="211">
        <v>0</v>
      </c>
      <c r="CK150" s="211">
        <v>89192.630000000136</v>
      </c>
      <c r="CL150" s="201"/>
      <c r="CM150" s="201">
        <f t="shared" si="40"/>
        <v>1.1641532182693481E-10</v>
      </c>
      <c r="CN150" s="340">
        <f t="shared" si="34"/>
        <v>76061.65000000014</v>
      </c>
      <c r="CO150" s="340">
        <f t="shared" si="35"/>
        <v>13130.98</v>
      </c>
      <c r="CP150" s="340">
        <f t="shared" si="36"/>
        <v>0</v>
      </c>
      <c r="CQ150" s="340">
        <f t="shared" si="37"/>
        <v>0</v>
      </c>
      <c r="CR150" s="340">
        <f t="shared" si="38"/>
        <v>0</v>
      </c>
      <c r="CS150" s="340">
        <f t="shared" si="39"/>
        <v>0</v>
      </c>
      <c r="CT150" s="90">
        <f t="shared" si="32"/>
        <v>89192.630000000136</v>
      </c>
      <c r="CV150" s="90">
        <f t="shared" si="33"/>
        <v>0</v>
      </c>
    </row>
    <row r="151" spans="1:100">
      <c r="A151" s="325">
        <v>862</v>
      </c>
      <c r="B151" s="325" t="s">
        <v>216</v>
      </c>
      <c r="C151" s="209">
        <v>-129139.72</v>
      </c>
      <c r="D151" s="209">
        <v>-7781.01</v>
      </c>
      <c r="E151" s="209">
        <v>0</v>
      </c>
      <c r="F151" s="209">
        <v>-5223.5200000000004</v>
      </c>
      <c r="G151" s="209">
        <v>0</v>
      </c>
      <c r="H151" s="209">
        <v>0</v>
      </c>
      <c r="I151" s="223">
        <v>-924614.69</v>
      </c>
      <c r="J151" s="223">
        <v>0</v>
      </c>
      <c r="K151" s="223">
        <v>-15939</v>
      </c>
      <c r="L151" s="223">
        <v>0</v>
      </c>
      <c r="M151" s="223">
        <v>-52359.140000000007</v>
      </c>
      <c r="N151" s="223">
        <v>-5656.93</v>
      </c>
      <c r="O151" s="223">
        <v>-6238</v>
      </c>
      <c r="P151" s="223">
        <v>0</v>
      </c>
      <c r="Q151" s="223">
        <v>-16874.27</v>
      </c>
      <c r="R151" s="223">
        <v>-2204.2200000000003</v>
      </c>
      <c r="S151" s="223">
        <v>0</v>
      </c>
      <c r="T151" s="223">
        <v>0</v>
      </c>
      <c r="U151" s="223">
        <v>-6343.7399999999989</v>
      </c>
      <c r="V151" s="223">
        <v>-1376.85</v>
      </c>
      <c r="W151" s="223">
        <v>0</v>
      </c>
      <c r="X151" s="223">
        <v>0</v>
      </c>
      <c r="Y151" s="223">
        <v>0</v>
      </c>
      <c r="Z151" s="223">
        <v>0</v>
      </c>
      <c r="AA151" s="223">
        <v>0</v>
      </c>
      <c r="AB151" s="223">
        <v>254.36999999999989</v>
      </c>
      <c r="AC151" s="223">
        <v>-46552</v>
      </c>
      <c r="AD151" s="210">
        <v>454140.3</v>
      </c>
      <c r="AE151" s="210">
        <v>2045.1000000000004</v>
      </c>
      <c r="AF151" s="210">
        <v>203770.18</v>
      </c>
      <c r="AG151" s="210">
        <v>9318.5300000000007</v>
      </c>
      <c r="AH151" s="210">
        <v>50831.969999999994</v>
      </c>
      <c r="AI151" s="210">
        <v>0</v>
      </c>
      <c r="AJ151" s="210">
        <v>63285.270000000004</v>
      </c>
      <c r="AK151" s="210">
        <v>3527.59</v>
      </c>
      <c r="AL151" s="210">
        <v>2085</v>
      </c>
      <c r="AM151" s="210">
        <v>500.2</v>
      </c>
      <c r="AN151" s="210">
        <v>0</v>
      </c>
      <c r="AO151" s="210">
        <v>10408.789999999999</v>
      </c>
      <c r="AP151" s="210">
        <v>2400.2400000000002</v>
      </c>
      <c r="AQ151" s="210">
        <v>23975.359999999997</v>
      </c>
      <c r="AR151" s="210">
        <v>2472.4699999999993</v>
      </c>
      <c r="AS151" s="210">
        <v>25463.53</v>
      </c>
      <c r="AT151" s="210">
        <v>25013.29</v>
      </c>
      <c r="AU151" s="210">
        <v>1435.92</v>
      </c>
      <c r="AV151" s="210">
        <v>49709.36</v>
      </c>
      <c r="AW151" s="312">
        <v>0</v>
      </c>
      <c r="AX151" s="210">
        <v>3677.73</v>
      </c>
      <c r="AY151" s="210">
        <v>0</v>
      </c>
      <c r="AZ151" s="210">
        <v>804.5</v>
      </c>
      <c r="BA151" s="210">
        <v>2187.88</v>
      </c>
      <c r="BB151" s="210">
        <v>180</v>
      </c>
      <c r="BC151" s="210">
        <v>0</v>
      </c>
      <c r="BD151" s="210">
        <v>1640</v>
      </c>
      <c r="BE151" s="210">
        <v>0</v>
      </c>
      <c r="BF151" s="210">
        <v>8401.73</v>
      </c>
      <c r="BG151" s="210">
        <v>8591.9599999999991</v>
      </c>
      <c r="BH151" s="210">
        <v>0</v>
      </c>
      <c r="BI151" s="210">
        <v>44830.77</v>
      </c>
      <c r="BJ151" s="210">
        <v>12930.76</v>
      </c>
      <c r="BK151" s="210">
        <v>32023.85</v>
      </c>
      <c r="BL151" s="210">
        <v>13285.820000000002</v>
      </c>
      <c r="BM151" s="210">
        <v>0</v>
      </c>
      <c r="BN151" s="210">
        <v>0</v>
      </c>
      <c r="BO151" s="210">
        <v>0</v>
      </c>
      <c r="BP151" s="210">
        <v>0</v>
      </c>
      <c r="BQ151" s="211">
        <v>-5794.38</v>
      </c>
      <c r="BR151" s="211">
        <v>0</v>
      </c>
      <c r="BS151" s="211">
        <v>0</v>
      </c>
      <c r="BT151" s="212">
        <v>0</v>
      </c>
      <c r="BU151" s="212">
        <v>8920.51</v>
      </c>
      <c r="BV151" s="212">
        <v>0</v>
      </c>
      <c r="BW151" s="212">
        <v>0</v>
      </c>
      <c r="BX151" s="212">
        <v>0</v>
      </c>
      <c r="BY151" s="212">
        <v>3619</v>
      </c>
      <c r="BZ151" s="212">
        <v>0</v>
      </c>
      <c r="CA151" s="212">
        <v>0</v>
      </c>
      <c r="CB151" s="212">
        <v>0</v>
      </c>
      <c r="CC151" s="224">
        <v>-154365.48999999976</v>
      </c>
      <c r="CD151" s="213"/>
      <c r="CE151" s="211">
        <v>144983.10000000012</v>
      </c>
      <c r="CF151" s="211">
        <v>10904</v>
      </c>
      <c r="CG151" s="211">
        <v>0</v>
      </c>
      <c r="CH151" s="211">
        <v>-1521.6099999999997</v>
      </c>
      <c r="CI151" s="211">
        <v>0</v>
      </c>
      <c r="CJ151" s="211">
        <v>0</v>
      </c>
      <c r="CK151" s="211">
        <v>154365.49000000014</v>
      </c>
      <c r="CL151" s="201"/>
      <c r="CM151" s="201">
        <f t="shared" si="40"/>
        <v>3.7834979593753815E-10</v>
      </c>
      <c r="CN151" s="340">
        <f t="shared" si="34"/>
        <v>144983.10000000012</v>
      </c>
      <c r="CO151" s="340">
        <f t="shared" si="35"/>
        <v>10904</v>
      </c>
      <c r="CP151" s="340">
        <f t="shared" si="36"/>
        <v>0</v>
      </c>
      <c r="CQ151" s="340">
        <f t="shared" si="37"/>
        <v>-1521.6099999999997</v>
      </c>
      <c r="CR151" s="340">
        <f t="shared" si="38"/>
        <v>0</v>
      </c>
      <c r="CS151" s="340">
        <f t="shared" si="39"/>
        <v>0</v>
      </c>
      <c r="CT151" s="90">
        <f t="shared" si="32"/>
        <v>154365.49000000014</v>
      </c>
      <c r="CV151" s="90">
        <f t="shared" si="33"/>
        <v>0</v>
      </c>
    </row>
    <row r="152" spans="1:100">
      <c r="A152" s="325">
        <v>881</v>
      </c>
      <c r="B152" s="325" t="s">
        <v>243</v>
      </c>
      <c r="C152" s="209">
        <v>13839.439999999999</v>
      </c>
      <c r="D152" s="209">
        <v>-472.5</v>
      </c>
      <c r="E152" s="209">
        <v>0</v>
      </c>
      <c r="F152" s="209">
        <v>-8887.01</v>
      </c>
      <c r="G152" s="209">
        <v>0</v>
      </c>
      <c r="H152" s="209">
        <v>-26277.260000000002</v>
      </c>
      <c r="I152" s="223">
        <v>-918551.89</v>
      </c>
      <c r="J152" s="223">
        <v>0</v>
      </c>
      <c r="K152" s="223">
        <v>-65984</v>
      </c>
      <c r="L152" s="223">
        <v>0</v>
      </c>
      <c r="M152" s="223">
        <v>-16960</v>
      </c>
      <c r="N152" s="223">
        <v>-3085.64</v>
      </c>
      <c r="O152" s="223">
        <v>-1000</v>
      </c>
      <c r="P152" s="223">
        <v>0</v>
      </c>
      <c r="Q152" s="223">
        <v>-33483.64</v>
      </c>
      <c r="R152" s="223">
        <v>0</v>
      </c>
      <c r="S152" s="223">
        <v>0</v>
      </c>
      <c r="T152" s="223">
        <v>0</v>
      </c>
      <c r="U152" s="223">
        <v>-3160.69</v>
      </c>
      <c r="V152" s="223">
        <v>-3471.9</v>
      </c>
      <c r="W152" s="223">
        <v>0</v>
      </c>
      <c r="X152" s="223">
        <v>-212897.09</v>
      </c>
      <c r="Y152" s="223">
        <v>-19328.28</v>
      </c>
      <c r="Z152" s="223">
        <v>0</v>
      </c>
      <c r="AA152" s="223">
        <v>0</v>
      </c>
      <c r="AB152" s="223">
        <v>-27.5</v>
      </c>
      <c r="AC152" s="223">
        <v>-94278</v>
      </c>
      <c r="AD152" s="210">
        <v>532682.09</v>
      </c>
      <c r="AE152" s="210">
        <v>21737.270000000004</v>
      </c>
      <c r="AF152" s="210">
        <v>234829.36</v>
      </c>
      <c r="AG152" s="210">
        <v>28253.979999999992</v>
      </c>
      <c r="AH152" s="210">
        <v>63220.659999999996</v>
      </c>
      <c r="AI152" s="210">
        <v>0</v>
      </c>
      <c r="AJ152" s="210">
        <v>55199.03</v>
      </c>
      <c r="AK152" s="210">
        <v>3978.95</v>
      </c>
      <c r="AL152" s="210">
        <v>3821.6</v>
      </c>
      <c r="AM152" s="210">
        <v>530.70000000000005</v>
      </c>
      <c r="AN152" s="210">
        <v>0</v>
      </c>
      <c r="AO152" s="210">
        <v>14571.289999999999</v>
      </c>
      <c r="AP152" s="210">
        <v>832.65</v>
      </c>
      <c r="AQ152" s="210">
        <v>2148.2999999999997</v>
      </c>
      <c r="AR152" s="210">
        <v>1971.1100000000001</v>
      </c>
      <c r="AS152" s="210">
        <v>14333.93</v>
      </c>
      <c r="AT152" s="210">
        <v>15728.75</v>
      </c>
      <c r="AU152" s="210">
        <v>1475.04</v>
      </c>
      <c r="AV152" s="210">
        <v>18172.429999999997</v>
      </c>
      <c r="AW152" s="312">
        <v>9.0949470177292824E-13</v>
      </c>
      <c r="AX152" s="210">
        <v>2972.45</v>
      </c>
      <c r="AY152" s="210">
        <v>0</v>
      </c>
      <c r="AZ152" s="210">
        <v>6465.65</v>
      </c>
      <c r="BA152" s="210">
        <v>6780.32</v>
      </c>
      <c r="BB152" s="210">
        <v>0</v>
      </c>
      <c r="BC152" s="210">
        <v>1981.96</v>
      </c>
      <c r="BD152" s="210">
        <v>1740</v>
      </c>
      <c r="BE152" s="210">
        <v>0</v>
      </c>
      <c r="BF152" s="210">
        <v>3081.6699999999996</v>
      </c>
      <c r="BG152" s="210">
        <v>9115.86</v>
      </c>
      <c r="BH152" s="210">
        <v>0</v>
      </c>
      <c r="BI152" s="210">
        <v>87569.84</v>
      </c>
      <c r="BJ152" s="210">
        <v>7983.65</v>
      </c>
      <c r="BK152" s="210">
        <v>60596.069999999985</v>
      </c>
      <c r="BL152" s="210">
        <v>24266.81</v>
      </c>
      <c r="BM152" s="210">
        <v>0</v>
      </c>
      <c r="BN152" s="210">
        <v>0</v>
      </c>
      <c r="BO152" s="210">
        <v>147774.38</v>
      </c>
      <c r="BP152" s="210">
        <v>32955.310000000005</v>
      </c>
      <c r="BQ152" s="211">
        <v>-6013.75</v>
      </c>
      <c r="BR152" s="211">
        <v>0</v>
      </c>
      <c r="BS152" s="211">
        <v>0</v>
      </c>
      <c r="BT152" s="212">
        <v>0</v>
      </c>
      <c r="BU152" s="212">
        <v>0</v>
      </c>
      <c r="BV152" s="212">
        <v>0</v>
      </c>
      <c r="BW152" s="212">
        <v>0</v>
      </c>
      <c r="BX152" s="212">
        <v>0</v>
      </c>
      <c r="BY152" s="212">
        <v>0</v>
      </c>
      <c r="BZ152" s="212">
        <v>0</v>
      </c>
      <c r="CA152" s="212">
        <v>0</v>
      </c>
      <c r="CB152" s="212">
        <v>798</v>
      </c>
      <c r="CC152" s="224">
        <v>7529.399999999885</v>
      </c>
      <c r="CD152" s="213"/>
      <c r="CE152" s="211">
        <v>-90755.099999999977</v>
      </c>
      <c r="CF152" s="211">
        <v>0</v>
      </c>
      <c r="CG152" s="211">
        <v>0</v>
      </c>
      <c r="CH152" s="211">
        <v>14102.76</v>
      </c>
      <c r="CI152" s="211">
        <v>0</v>
      </c>
      <c r="CJ152" s="211">
        <v>69122.94</v>
      </c>
      <c r="CK152" s="211">
        <v>-7529.3999999999796</v>
      </c>
      <c r="CL152" s="201"/>
      <c r="CM152" s="201">
        <f t="shared" si="40"/>
        <v>-9.4587448984384537E-11</v>
      </c>
      <c r="CN152" s="340">
        <f t="shared" si="34"/>
        <v>-90755.099999999977</v>
      </c>
      <c r="CO152" s="340">
        <f t="shared" si="35"/>
        <v>0</v>
      </c>
      <c r="CP152" s="340">
        <f t="shared" si="36"/>
        <v>0</v>
      </c>
      <c r="CQ152" s="340">
        <f t="shared" si="37"/>
        <v>14102.76</v>
      </c>
      <c r="CR152" s="340">
        <f t="shared" si="38"/>
        <v>0</v>
      </c>
      <c r="CS152" s="340">
        <f t="shared" si="39"/>
        <v>69122.94</v>
      </c>
      <c r="CT152" s="90">
        <f t="shared" si="32"/>
        <v>-7529.3999999999796</v>
      </c>
      <c r="CV152" s="90">
        <f t="shared" si="33"/>
        <v>0</v>
      </c>
    </row>
    <row r="153" spans="1:100">
      <c r="A153" s="325">
        <v>886</v>
      </c>
      <c r="B153" s="325" t="s">
        <v>242</v>
      </c>
      <c r="C153" s="209">
        <v>-237557.36</v>
      </c>
      <c r="D153" s="209">
        <v>-35555.75</v>
      </c>
      <c r="E153" s="209">
        <v>0</v>
      </c>
      <c r="F153" s="209">
        <v>-7503.39</v>
      </c>
      <c r="G153" s="209">
        <v>0</v>
      </c>
      <c r="H153" s="209">
        <v>0</v>
      </c>
      <c r="I153" s="223">
        <v>-1580992.27</v>
      </c>
      <c r="J153" s="223">
        <v>0</v>
      </c>
      <c r="K153" s="223">
        <v>-121115</v>
      </c>
      <c r="L153" s="223">
        <v>0</v>
      </c>
      <c r="M153" s="223">
        <v>-161352</v>
      </c>
      <c r="N153" s="223">
        <v>-53574</v>
      </c>
      <c r="O153" s="223">
        <v>-2200</v>
      </c>
      <c r="P153" s="223">
        <v>0</v>
      </c>
      <c r="Q153" s="223">
        <v>-21150.71</v>
      </c>
      <c r="R153" s="223">
        <v>-6260.71</v>
      </c>
      <c r="S153" s="223">
        <v>0</v>
      </c>
      <c r="T153" s="223">
        <v>0</v>
      </c>
      <c r="U153" s="223">
        <v>-4384.8</v>
      </c>
      <c r="V153" s="223">
        <v>-1733.3000000000002</v>
      </c>
      <c r="W153" s="223">
        <v>0</v>
      </c>
      <c r="X153" s="223">
        <v>0</v>
      </c>
      <c r="Y153" s="223">
        <v>0</v>
      </c>
      <c r="Z153" s="223">
        <v>0</v>
      </c>
      <c r="AA153" s="223">
        <v>0</v>
      </c>
      <c r="AB153" s="223">
        <v>378.75</v>
      </c>
      <c r="AC153" s="223">
        <v>-48596</v>
      </c>
      <c r="AD153" s="210">
        <v>894175.77</v>
      </c>
      <c r="AE153" s="210">
        <v>8040.5999999999995</v>
      </c>
      <c r="AF153" s="210">
        <v>260467.4</v>
      </c>
      <c r="AG153" s="210">
        <v>98811.81</v>
      </c>
      <c r="AH153" s="210">
        <v>71670.369999999981</v>
      </c>
      <c r="AI153" s="210">
        <v>0</v>
      </c>
      <c r="AJ153" s="210">
        <v>46902.32</v>
      </c>
      <c r="AK153" s="210">
        <v>509.03000000000003</v>
      </c>
      <c r="AL153" s="210">
        <v>4006.66</v>
      </c>
      <c r="AM153" s="210">
        <v>817.4</v>
      </c>
      <c r="AN153" s="210">
        <v>0</v>
      </c>
      <c r="AO153" s="210">
        <v>46349.88</v>
      </c>
      <c r="AP153" s="210">
        <v>4688.1499999999996</v>
      </c>
      <c r="AQ153" s="210">
        <v>7059.300000000002</v>
      </c>
      <c r="AR153" s="210">
        <v>11285.989999999998</v>
      </c>
      <c r="AS153" s="210">
        <v>43533.45</v>
      </c>
      <c r="AT153" s="210">
        <v>7240.6</v>
      </c>
      <c r="AU153" s="210">
        <v>4436.6100000000015</v>
      </c>
      <c r="AV153" s="210">
        <v>58411.389999999985</v>
      </c>
      <c r="AW153" s="312">
        <v>22694.530000000002</v>
      </c>
      <c r="AX153" s="210">
        <v>0</v>
      </c>
      <c r="AY153" s="210">
        <v>0</v>
      </c>
      <c r="AZ153" s="210">
        <v>0</v>
      </c>
      <c r="BA153" s="210">
        <v>0</v>
      </c>
      <c r="BB153" s="210">
        <v>0</v>
      </c>
      <c r="BC153" s="210">
        <v>0</v>
      </c>
      <c r="BD153" s="210">
        <v>2680</v>
      </c>
      <c r="BE153" s="210">
        <v>0</v>
      </c>
      <c r="BF153" s="210">
        <v>7704.75</v>
      </c>
      <c r="BG153" s="210">
        <v>14040.52</v>
      </c>
      <c r="BH153" s="210">
        <v>0</v>
      </c>
      <c r="BI153" s="210">
        <v>64388.97</v>
      </c>
      <c r="BJ153" s="210">
        <v>194339.39999999997</v>
      </c>
      <c r="BK153" s="210">
        <v>3602.92</v>
      </c>
      <c r="BL153" s="210">
        <v>94694.04</v>
      </c>
      <c r="BM153" s="210">
        <v>0</v>
      </c>
      <c r="BN153" s="210">
        <v>5000</v>
      </c>
      <c r="BO153" s="210">
        <v>0</v>
      </c>
      <c r="BP153" s="210">
        <v>0</v>
      </c>
      <c r="BQ153" s="211">
        <v>-6936.25</v>
      </c>
      <c r="BR153" s="211">
        <v>0</v>
      </c>
      <c r="BS153" s="211">
        <v>0</v>
      </c>
      <c r="BT153" s="212">
        <v>0</v>
      </c>
      <c r="BU153" s="212">
        <v>-9654.6</v>
      </c>
      <c r="BV153" s="212">
        <v>0</v>
      </c>
      <c r="BW153" s="212">
        <v>0</v>
      </c>
      <c r="BX153" s="212">
        <v>0</v>
      </c>
      <c r="BY153" s="212">
        <v>0</v>
      </c>
      <c r="BZ153" s="212">
        <v>0</v>
      </c>
      <c r="CA153" s="212">
        <v>0</v>
      </c>
      <c r="CB153" s="212">
        <v>0</v>
      </c>
      <c r="CC153" s="224">
        <v>-320635.5299999995</v>
      </c>
      <c r="CD153" s="213"/>
      <c r="CE153" s="211">
        <v>271266.70000000007</v>
      </c>
      <c r="CF153" s="211">
        <v>42552.26</v>
      </c>
      <c r="CG153" s="211">
        <v>0</v>
      </c>
      <c r="CH153" s="211">
        <v>6816.57</v>
      </c>
      <c r="CI153" s="211">
        <v>0</v>
      </c>
      <c r="CJ153" s="211">
        <v>0</v>
      </c>
      <c r="CK153" s="211">
        <v>320635.53000000009</v>
      </c>
      <c r="CL153" s="201"/>
      <c r="CM153" s="201">
        <f t="shared" si="40"/>
        <v>5.8207660913467407E-10</v>
      </c>
      <c r="CN153" s="340">
        <f t="shared" si="34"/>
        <v>271266.70000000007</v>
      </c>
      <c r="CO153" s="340">
        <f t="shared" si="35"/>
        <v>42552.26</v>
      </c>
      <c r="CP153" s="340">
        <f t="shared" si="36"/>
        <v>0</v>
      </c>
      <c r="CQ153" s="340">
        <f t="shared" si="37"/>
        <v>6816.57</v>
      </c>
      <c r="CR153" s="340">
        <f t="shared" si="38"/>
        <v>0</v>
      </c>
      <c r="CS153" s="340">
        <f t="shared" si="39"/>
        <v>0</v>
      </c>
      <c r="CT153" s="90">
        <f t="shared" si="32"/>
        <v>320635.53000000009</v>
      </c>
      <c r="CV153" s="90">
        <f t="shared" si="33"/>
        <v>0</v>
      </c>
    </row>
    <row r="154" spans="1:100">
      <c r="A154" s="325">
        <v>887</v>
      </c>
      <c r="B154" s="325" t="s">
        <v>278</v>
      </c>
      <c r="C154" s="209">
        <v>-114101.25</v>
      </c>
      <c r="D154" s="209">
        <v>-30972.15</v>
      </c>
      <c r="E154" s="209">
        <v>0</v>
      </c>
      <c r="F154" s="209">
        <v>-9247.19</v>
      </c>
      <c r="G154" s="209">
        <v>0</v>
      </c>
      <c r="H154" s="209">
        <v>-47397.75</v>
      </c>
      <c r="I154" s="223">
        <v>-1179476.75</v>
      </c>
      <c r="J154" s="223">
        <v>0</v>
      </c>
      <c r="K154" s="223">
        <v>-180910</v>
      </c>
      <c r="L154" s="223">
        <v>0</v>
      </c>
      <c r="M154" s="223">
        <v>-71040</v>
      </c>
      <c r="N154" s="223">
        <v>-3742.5699999999997</v>
      </c>
      <c r="O154" s="223">
        <v>-1000</v>
      </c>
      <c r="P154" s="223">
        <v>-7420</v>
      </c>
      <c r="Q154" s="223">
        <v>-47208.959999999992</v>
      </c>
      <c r="R154" s="223">
        <v>0</v>
      </c>
      <c r="S154" s="223">
        <v>0</v>
      </c>
      <c r="T154" s="223">
        <v>0</v>
      </c>
      <c r="U154" s="223">
        <v>-9289.6400000000012</v>
      </c>
      <c r="V154" s="223">
        <v>-6840.94</v>
      </c>
      <c r="W154" s="223">
        <v>0</v>
      </c>
      <c r="X154" s="223">
        <v>-98389.410000000018</v>
      </c>
      <c r="Y154" s="223">
        <v>-7855.3899999999994</v>
      </c>
      <c r="Z154" s="223">
        <v>0</v>
      </c>
      <c r="AA154" s="223">
        <v>0</v>
      </c>
      <c r="AB154" s="223">
        <v>-3005.63</v>
      </c>
      <c r="AC154" s="223">
        <v>-57227</v>
      </c>
      <c r="AD154" s="210">
        <v>761259.01000000013</v>
      </c>
      <c r="AE154" s="210">
        <v>170.47</v>
      </c>
      <c r="AF154" s="210">
        <v>287966.62000000005</v>
      </c>
      <c r="AG154" s="210">
        <v>45964.369999999995</v>
      </c>
      <c r="AH154" s="210">
        <v>97619.07</v>
      </c>
      <c r="AI154" s="210">
        <v>0</v>
      </c>
      <c r="AJ154" s="210">
        <v>36877.669999999984</v>
      </c>
      <c r="AK154" s="210">
        <v>7200.67</v>
      </c>
      <c r="AL154" s="210">
        <v>10996.230000000001</v>
      </c>
      <c r="AM154" s="210">
        <v>634.4</v>
      </c>
      <c r="AN154" s="210">
        <v>0</v>
      </c>
      <c r="AO154" s="210">
        <v>23477.849999999995</v>
      </c>
      <c r="AP154" s="210">
        <v>2720.5300000000007</v>
      </c>
      <c r="AQ154" s="210">
        <v>5653.2400000000007</v>
      </c>
      <c r="AR154" s="210">
        <v>3442.5299999999997</v>
      </c>
      <c r="AS154" s="210">
        <v>21951.78</v>
      </c>
      <c r="AT154" s="210">
        <v>17102.150000000001</v>
      </c>
      <c r="AU154" s="210">
        <v>3410.4999999999995</v>
      </c>
      <c r="AV154" s="210">
        <v>71162.760000000009</v>
      </c>
      <c r="AW154" s="312">
        <v>0</v>
      </c>
      <c r="AX154" s="210">
        <v>240</v>
      </c>
      <c r="AY154" s="210">
        <v>0</v>
      </c>
      <c r="AZ154" s="210">
        <v>100</v>
      </c>
      <c r="BA154" s="210">
        <v>350</v>
      </c>
      <c r="BB154" s="210">
        <v>0</v>
      </c>
      <c r="BC154" s="210">
        <v>0</v>
      </c>
      <c r="BD154" s="210">
        <v>2080</v>
      </c>
      <c r="BE154" s="210">
        <v>0</v>
      </c>
      <c r="BF154" s="210">
        <v>7122.83</v>
      </c>
      <c r="BG154" s="210">
        <v>10897.119999999999</v>
      </c>
      <c r="BH154" s="210">
        <v>6271.5</v>
      </c>
      <c r="BI154" s="210">
        <v>64840.56</v>
      </c>
      <c r="BJ154" s="210">
        <v>18888.13</v>
      </c>
      <c r="BK154" s="210">
        <v>49432.799999999988</v>
      </c>
      <c r="BL154" s="210">
        <v>27986.129999999994</v>
      </c>
      <c r="BM154" s="210">
        <v>0</v>
      </c>
      <c r="BN154" s="210">
        <v>0</v>
      </c>
      <c r="BO154" s="210">
        <v>71427.3</v>
      </c>
      <c r="BP154" s="210">
        <v>4691.46</v>
      </c>
      <c r="BQ154" s="211">
        <v>-6250</v>
      </c>
      <c r="BR154" s="211">
        <v>0</v>
      </c>
      <c r="BS154" s="211">
        <v>0</v>
      </c>
      <c r="BT154" s="212">
        <v>0</v>
      </c>
      <c r="BU154" s="212">
        <v>0</v>
      </c>
      <c r="BV154" s="212">
        <v>0</v>
      </c>
      <c r="BW154" s="212">
        <v>0</v>
      </c>
      <c r="BX154" s="212">
        <v>359.95</v>
      </c>
      <c r="BY154" s="212">
        <v>0</v>
      </c>
      <c r="BZ154" s="212">
        <v>0</v>
      </c>
      <c r="CA154" s="212">
        <v>6693</v>
      </c>
      <c r="CB154" s="212">
        <v>574.63</v>
      </c>
      <c r="CC154" s="224">
        <v>-211809.36999999956</v>
      </c>
      <c r="CD154" s="213"/>
      <c r="CE154" s="211">
        <v>110200.82</v>
      </c>
      <c r="CF154" s="211">
        <v>19733.46</v>
      </c>
      <c r="CG154" s="211">
        <v>0</v>
      </c>
      <c r="CH154" s="211">
        <v>15497.19</v>
      </c>
      <c r="CI154" s="211">
        <v>0</v>
      </c>
      <c r="CJ154" s="211">
        <v>66377.900000000009</v>
      </c>
      <c r="CK154" s="211">
        <v>211809.37</v>
      </c>
      <c r="CL154" s="201"/>
      <c r="CM154" s="201">
        <f t="shared" si="40"/>
        <v>4.3655745685100555E-10</v>
      </c>
      <c r="CN154" s="340">
        <f t="shared" si="34"/>
        <v>110200.82</v>
      </c>
      <c r="CO154" s="340">
        <f t="shared" si="35"/>
        <v>19733.46</v>
      </c>
      <c r="CP154" s="340">
        <f t="shared" si="36"/>
        <v>0</v>
      </c>
      <c r="CQ154" s="340">
        <f t="shared" si="37"/>
        <v>15497.19</v>
      </c>
      <c r="CR154" s="340">
        <f t="shared" si="38"/>
        <v>0</v>
      </c>
      <c r="CS154" s="340">
        <f t="shared" si="39"/>
        <v>66377.900000000009</v>
      </c>
      <c r="CT154" s="90">
        <f t="shared" si="32"/>
        <v>211809.37</v>
      </c>
      <c r="CV154" s="90">
        <f t="shared" si="33"/>
        <v>0</v>
      </c>
    </row>
    <row r="155" spans="1:100">
      <c r="A155" s="325">
        <v>888</v>
      </c>
      <c r="B155" s="325" t="s">
        <v>411</v>
      </c>
      <c r="C155" s="209">
        <v>-164799.39000000001</v>
      </c>
      <c r="D155" s="209">
        <v>0</v>
      </c>
      <c r="E155" s="209">
        <v>0</v>
      </c>
      <c r="F155" s="209">
        <v>0.42</v>
      </c>
      <c r="G155" s="209">
        <v>0</v>
      </c>
      <c r="H155" s="209">
        <v>0</v>
      </c>
      <c r="I155" s="223">
        <v>-1204966.52</v>
      </c>
      <c r="J155" s="223">
        <v>0</v>
      </c>
      <c r="K155" s="223">
        <v>-162182</v>
      </c>
      <c r="L155" s="223">
        <v>0</v>
      </c>
      <c r="M155" s="223">
        <v>-157500</v>
      </c>
      <c r="N155" s="223">
        <v>0</v>
      </c>
      <c r="O155" s="223">
        <v>-1000</v>
      </c>
      <c r="P155" s="223">
        <v>0</v>
      </c>
      <c r="Q155" s="223">
        <v>-28959.38</v>
      </c>
      <c r="R155" s="223">
        <v>-11407.720000000003</v>
      </c>
      <c r="S155" s="223">
        <v>0</v>
      </c>
      <c r="T155" s="223">
        <v>0</v>
      </c>
      <c r="U155" s="223">
        <v>-3524.2499999999995</v>
      </c>
      <c r="V155" s="223">
        <v>-891.49000000000012</v>
      </c>
      <c r="W155" s="223">
        <v>0</v>
      </c>
      <c r="X155" s="223">
        <v>0</v>
      </c>
      <c r="Y155" s="223">
        <v>0</v>
      </c>
      <c r="Z155" s="223">
        <v>0</v>
      </c>
      <c r="AA155" s="223">
        <v>0</v>
      </c>
      <c r="AB155" s="223">
        <v>-6566.25</v>
      </c>
      <c r="AC155" s="223">
        <v>-35456</v>
      </c>
      <c r="AD155" s="210">
        <v>679448.32999999984</v>
      </c>
      <c r="AE155" s="210">
        <v>40024.660000000003</v>
      </c>
      <c r="AF155" s="210">
        <v>286832.28000000003</v>
      </c>
      <c r="AG155" s="210">
        <v>56194.590000000004</v>
      </c>
      <c r="AH155" s="210">
        <v>67596.95</v>
      </c>
      <c r="AI155" s="210">
        <v>49437.1</v>
      </c>
      <c r="AJ155" s="210">
        <v>9524.7800000000007</v>
      </c>
      <c r="AK155" s="210">
        <v>4447.5</v>
      </c>
      <c r="AL155" s="210">
        <v>2827.5</v>
      </c>
      <c r="AM155" s="210">
        <v>564.25</v>
      </c>
      <c r="AN155" s="210">
        <v>0</v>
      </c>
      <c r="AO155" s="210">
        <v>19382.680000000004</v>
      </c>
      <c r="AP155" s="210">
        <v>7987.0900000000011</v>
      </c>
      <c r="AQ155" s="210">
        <v>7122.7199999999993</v>
      </c>
      <c r="AR155" s="210">
        <v>5458.1000000000013</v>
      </c>
      <c r="AS155" s="210">
        <v>48312.55</v>
      </c>
      <c r="AT155" s="210">
        <v>17903.25</v>
      </c>
      <c r="AU155" s="210">
        <v>4159.54</v>
      </c>
      <c r="AV155" s="210">
        <v>73164.73000000004</v>
      </c>
      <c r="AW155" s="312">
        <v>0</v>
      </c>
      <c r="AX155" s="210">
        <v>2579</v>
      </c>
      <c r="AY155" s="210">
        <v>0</v>
      </c>
      <c r="AZ155" s="210">
        <v>629</v>
      </c>
      <c r="BA155" s="210">
        <v>799</v>
      </c>
      <c r="BB155" s="210">
        <v>7457</v>
      </c>
      <c r="BC155" s="210">
        <v>53.440000000000005</v>
      </c>
      <c r="BD155" s="210">
        <v>5265</v>
      </c>
      <c r="BE155" s="210">
        <v>0</v>
      </c>
      <c r="BF155" s="210">
        <v>4952.7699999999995</v>
      </c>
      <c r="BG155" s="210">
        <v>9692.15</v>
      </c>
      <c r="BH155" s="210">
        <v>0</v>
      </c>
      <c r="BI155" s="210">
        <v>38652.519999999997</v>
      </c>
      <c r="BJ155" s="210">
        <v>98345</v>
      </c>
      <c r="BK155" s="210">
        <v>41582</v>
      </c>
      <c r="BL155" s="210">
        <v>15773.300000000001</v>
      </c>
      <c r="BM155" s="210">
        <v>0</v>
      </c>
      <c r="BN155" s="210">
        <v>0</v>
      </c>
      <c r="BO155" s="210">
        <v>0</v>
      </c>
      <c r="BP155" s="210">
        <v>0</v>
      </c>
      <c r="BQ155" s="211">
        <v>-6137.5</v>
      </c>
      <c r="BR155" s="211">
        <v>0</v>
      </c>
      <c r="BS155" s="211">
        <v>0</v>
      </c>
      <c r="BT155" s="212">
        <v>0</v>
      </c>
      <c r="BU155" s="212">
        <v>0</v>
      </c>
      <c r="BV155" s="212">
        <v>0</v>
      </c>
      <c r="BW155" s="212">
        <v>0</v>
      </c>
      <c r="BX155" s="212">
        <v>0</v>
      </c>
      <c r="BY155" s="212">
        <v>0</v>
      </c>
      <c r="BZ155" s="212">
        <v>0</v>
      </c>
      <c r="CA155" s="212">
        <v>0</v>
      </c>
      <c r="CB155" s="212">
        <v>0</v>
      </c>
      <c r="CC155" s="224">
        <v>-177221.3000000001</v>
      </c>
      <c r="CD155" s="213"/>
      <c r="CE155" s="211">
        <v>167274.29000000033</v>
      </c>
      <c r="CF155" s="211">
        <v>3809.9300000000003</v>
      </c>
      <c r="CG155" s="211">
        <v>0</v>
      </c>
      <c r="CH155" s="211">
        <v>6137.08</v>
      </c>
      <c r="CI155" s="211">
        <v>0</v>
      </c>
      <c r="CJ155" s="211">
        <v>0</v>
      </c>
      <c r="CK155" s="211">
        <v>177221.30000000031</v>
      </c>
      <c r="CL155" s="201"/>
      <c r="CM155" s="201">
        <f t="shared" si="40"/>
        <v>0</v>
      </c>
      <c r="CN155" s="340">
        <f t="shared" si="34"/>
        <v>167274.29000000033</v>
      </c>
      <c r="CO155" s="340">
        <f t="shared" si="35"/>
        <v>3809.9300000000003</v>
      </c>
      <c r="CP155" s="340">
        <f t="shared" si="36"/>
        <v>0</v>
      </c>
      <c r="CQ155" s="340">
        <f t="shared" si="37"/>
        <v>6137.08</v>
      </c>
      <c r="CR155" s="340">
        <f t="shared" si="38"/>
        <v>0</v>
      </c>
      <c r="CS155" s="340">
        <f t="shared" si="39"/>
        <v>0</v>
      </c>
      <c r="CT155" s="90">
        <f t="shared" si="32"/>
        <v>177221.30000000031</v>
      </c>
      <c r="CV155" s="90">
        <f t="shared" si="33"/>
        <v>0</v>
      </c>
    </row>
    <row r="156" spans="1:100">
      <c r="A156" s="325">
        <v>890</v>
      </c>
      <c r="B156" s="325" t="s">
        <v>196</v>
      </c>
      <c r="C156" s="209">
        <v>104891.63</v>
      </c>
      <c r="D156" s="209">
        <v>-14706.95</v>
      </c>
      <c r="E156" s="209">
        <v>0</v>
      </c>
      <c r="F156" s="209">
        <v>-6688.46</v>
      </c>
      <c r="G156" s="209">
        <v>0</v>
      </c>
      <c r="H156" s="209">
        <v>0</v>
      </c>
      <c r="I156" s="223">
        <v>-1080758.76</v>
      </c>
      <c r="J156" s="223">
        <v>0</v>
      </c>
      <c r="K156" s="223">
        <v>-85857.9</v>
      </c>
      <c r="L156" s="223">
        <v>0</v>
      </c>
      <c r="M156" s="223">
        <v>-60240</v>
      </c>
      <c r="N156" s="223">
        <v>-3771.29</v>
      </c>
      <c r="O156" s="223">
        <v>-400</v>
      </c>
      <c r="P156" s="223">
        <v>-1279.0899999999999</v>
      </c>
      <c r="Q156" s="223">
        <v>-41888.239999999998</v>
      </c>
      <c r="R156" s="223">
        <v>0</v>
      </c>
      <c r="S156" s="223">
        <v>0</v>
      </c>
      <c r="T156" s="223">
        <v>0</v>
      </c>
      <c r="U156" s="223">
        <v>-19084.140000000007</v>
      </c>
      <c r="V156" s="223">
        <v>-672.49000000000046</v>
      </c>
      <c r="W156" s="223">
        <v>0</v>
      </c>
      <c r="X156" s="223">
        <v>0</v>
      </c>
      <c r="Y156" s="223">
        <v>0</v>
      </c>
      <c r="Z156" s="223">
        <v>0</v>
      </c>
      <c r="AA156" s="223">
        <v>0</v>
      </c>
      <c r="AB156" s="223">
        <v>-1813.13</v>
      </c>
      <c r="AC156" s="223">
        <v>-46907</v>
      </c>
      <c r="AD156" s="210">
        <v>677156.57000000007</v>
      </c>
      <c r="AE156" s="210">
        <v>13125.160000000002</v>
      </c>
      <c r="AF156" s="210">
        <v>232192.61</v>
      </c>
      <c r="AG156" s="210">
        <v>34483.49</v>
      </c>
      <c r="AH156" s="210">
        <v>61155.679999999993</v>
      </c>
      <c r="AI156" s="210">
        <v>0</v>
      </c>
      <c r="AJ156" s="210">
        <v>88333.11</v>
      </c>
      <c r="AK156" s="210">
        <v>4520.2299999999996</v>
      </c>
      <c r="AL156" s="210">
        <v>5541.5300000000007</v>
      </c>
      <c r="AM156" s="210">
        <v>606.95000000000005</v>
      </c>
      <c r="AN156" s="210">
        <v>0</v>
      </c>
      <c r="AO156" s="210">
        <v>8372.1999999999989</v>
      </c>
      <c r="AP156" s="210">
        <v>0</v>
      </c>
      <c r="AQ156" s="210">
        <v>7071.5099999999993</v>
      </c>
      <c r="AR156" s="210">
        <v>3716.3900000000003</v>
      </c>
      <c r="AS156" s="210">
        <v>20662.53</v>
      </c>
      <c r="AT156" s="210">
        <v>18132.53</v>
      </c>
      <c r="AU156" s="210">
        <v>2411.04</v>
      </c>
      <c r="AV156" s="210">
        <v>40315.200000000019</v>
      </c>
      <c r="AW156" s="312">
        <v>20028.7</v>
      </c>
      <c r="AX156" s="210">
        <v>0</v>
      </c>
      <c r="AY156" s="210">
        <v>0</v>
      </c>
      <c r="AZ156" s="210">
        <v>0</v>
      </c>
      <c r="BA156" s="210">
        <v>0</v>
      </c>
      <c r="BB156" s="210">
        <v>0</v>
      </c>
      <c r="BC156" s="210">
        <v>0</v>
      </c>
      <c r="BD156" s="210">
        <v>2490</v>
      </c>
      <c r="BE156" s="210">
        <v>0</v>
      </c>
      <c r="BF156" s="210">
        <v>13271.329999999998</v>
      </c>
      <c r="BG156" s="210">
        <v>9072.41</v>
      </c>
      <c r="BH156" s="210">
        <v>0</v>
      </c>
      <c r="BI156" s="210">
        <v>44662.429999999993</v>
      </c>
      <c r="BJ156" s="210">
        <v>8683.77</v>
      </c>
      <c r="BK156" s="210">
        <v>65261.259999999995</v>
      </c>
      <c r="BL156" s="210">
        <v>48794.929999999978</v>
      </c>
      <c r="BM156" s="210">
        <v>0</v>
      </c>
      <c r="BN156" s="210">
        <v>0</v>
      </c>
      <c r="BO156" s="210">
        <v>0</v>
      </c>
      <c r="BP156" s="210">
        <v>9.9499999999999993</v>
      </c>
      <c r="BQ156" s="211">
        <v>-6340</v>
      </c>
      <c r="BR156" s="211">
        <v>0</v>
      </c>
      <c r="BS156" s="211">
        <v>0</v>
      </c>
      <c r="BT156" s="212">
        <v>0</v>
      </c>
      <c r="BU156" s="212">
        <v>0</v>
      </c>
      <c r="BV156" s="212">
        <v>0</v>
      </c>
      <c r="BW156" s="212">
        <v>2895</v>
      </c>
      <c r="BX156" s="212">
        <v>0</v>
      </c>
      <c r="BY156" s="212">
        <v>0</v>
      </c>
      <c r="BZ156" s="212">
        <v>0</v>
      </c>
      <c r="CA156" s="212">
        <v>5118</v>
      </c>
      <c r="CB156" s="212">
        <v>0</v>
      </c>
      <c r="CC156" s="224">
        <v>172568.69000000024</v>
      </c>
      <c r="CD156" s="213"/>
      <c r="CE156" s="211">
        <v>-173462</v>
      </c>
      <c r="CF156" s="211">
        <v>24</v>
      </c>
      <c r="CG156" s="211"/>
      <c r="CH156" s="211">
        <v>869</v>
      </c>
      <c r="CI156" s="211"/>
      <c r="CJ156" s="211"/>
      <c r="CK156" s="211">
        <f>SUM(CE156:CJ156)</f>
        <v>-172569</v>
      </c>
      <c r="CL156" s="201"/>
      <c r="CM156" s="201">
        <f t="shared" si="40"/>
        <v>-0.30999999976484105</v>
      </c>
      <c r="CN156" s="340">
        <f t="shared" si="34"/>
        <v>-173462</v>
      </c>
      <c r="CO156" s="340">
        <f t="shared" si="35"/>
        <v>24</v>
      </c>
      <c r="CP156" s="340">
        <f t="shared" si="36"/>
        <v>0</v>
      </c>
      <c r="CQ156" s="340">
        <f t="shared" si="37"/>
        <v>869</v>
      </c>
      <c r="CR156" s="340">
        <f t="shared" si="38"/>
        <v>0</v>
      </c>
      <c r="CS156" s="340">
        <f t="shared" si="39"/>
        <v>0</v>
      </c>
      <c r="CT156" s="90">
        <f t="shared" si="32"/>
        <v>-172569</v>
      </c>
      <c r="CV156" s="90">
        <f t="shared" si="33"/>
        <v>0</v>
      </c>
    </row>
    <row r="157" spans="1:100" ht="13.5" thickBot="1">
      <c r="A157" s="325">
        <v>891</v>
      </c>
      <c r="B157" s="325" t="s">
        <v>214</v>
      </c>
      <c r="C157" s="209">
        <v>-10320.07</v>
      </c>
      <c r="D157" s="209">
        <v>-16370.27</v>
      </c>
      <c r="E157" s="209">
        <v>0</v>
      </c>
      <c r="F157" s="209">
        <v>-6494.66</v>
      </c>
      <c r="G157" s="209">
        <v>0</v>
      </c>
      <c r="H157" s="209">
        <v>0</v>
      </c>
      <c r="I157" s="223">
        <v>-1166817.74</v>
      </c>
      <c r="J157" s="223">
        <v>0</v>
      </c>
      <c r="K157" s="223">
        <v>-86997</v>
      </c>
      <c r="L157" s="223">
        <v>0</v>
      </c>
      <c r="M157" s="223">
        <v>-74220</v>
      </c>
      <c r="N157" s="223">
        <v>0</v>
      </c>
      <c r="O157" s="223">
        <v>-3650</v>
      </c>
      <c r="P157" s="223">
        <v>-6312.5</v>
      </c>
      <c r="Q157" s="223">
        <v>-13303.169999999998</v>
      </c>
      <c r="R157" s="223">
        <v>0</v>
      </c>
      <c r="S157" s="223">
        <v>0</v>
      </c>
      <c r="T157" s="223">
        <v>0</v>
      </c>
      <c r="U157" s="223">
        <v>-14042</v>
      </c>
      <c r="V157" s="223">
        <v>-3467.99</v>
      </c>
      <c r="W157" s="223">
        <v>0</v>
      </c>
      <c r="X157" s="223">
        <v>0</v>
      </c>
      <c r="Y157" s="223">
        <v>0</v>
      </c>
      <c r="Z157" s="223">
        <v>0</v>
      </c>
      <c r="AA157" s="223">
        <v>0</v>
      </c>
      <c r="AB157" s="223">
        <v>58.75</v>
      </c>
      <c r="AC157" s="223">
        <v>-47404</v>
      </c>
      <c r="AD157" s="210">
        <v>685140.82000000007</v>
      </c>
      <c r="AE157" s="210">
        <v>28001.18</v>
      </c>
      <c r="AF157" s="210">
        <v>277789.89000000007</v>
      </c>
      <c r="AG157" s="210">
        <v>7343.3200000000006</v>
      </c>
      <c r="AH157" s="210">
        <v>82349.489999999991</v>
      </c>
      <c r="AI157" s="210">
        <v>0</v>
      </c>
      <c r="AJ157" s="210">
        <v>27775.449999999997</v>
      </c>
      <c r="AK157" s="210">
        <v>9315.41</v>
      </c>
      <c r="AL157" s="210">
        <v>3099.5</v>
      </c>
      <c r="AM157" s="210">
        <v>692.35</v>
      </c>
      <c r="AN157" s="210">
        <v>0</v>
      </c>
      <c r="AO157" s="210">
        <v>9705.07</v>
      </c>
      <c r="AP157" s="210">
        <v>5972.0800000000008</v>
      </c>
      <c r="AQ157" s="210">
        <v>27089.119999999992</v>
      </c>
      <c r="AR157" s="210">
        <v>4515.28</v>
      </c>
      <c r="AS157" s="210">
        <v>17727.77</v>
      </c>
      <c r="AT157" s="210">
        <v>27166.5</v>
      </c>
      <c r="AU157" s="210">
        <v>3449.3</v>
      </c>
      <c r="AV157" s="210">
        <v>61125.569999999992</v>
      </c>
      <c r="AW157" s="312">
        <v>0</v>
      </c>
      <c r="AX157" s="210">
        <v>3000</v>
      </c>
      <c r="AY157" s="210">
        <v>750</v>
      </c>
      <c r="AZ157" s="210">
        <v>0</v>
      </c>
      <c r="BA157" s="210">
        <v>399.98</v>
      </c>
      <c r="BB157" s="210">
        <v>458.20000000000005</v>
      </c>
      <c r="BC157" s="210">
        <v>0</v>
      </c>
      <c r="BD157" s="210">
        <v>5620</v>
      </c>
      <c r="BE157" s="210">
        <v>0</v>
      </c>
      <c r="BF157" s="210">
        <v>4767.07</v>
      </c>
      <c r="BG157" s="210">
        <v>11892.53</v>
      </c>
      <c r="BH157" s="210">
        <v>0</v>
      </c>
      <c r="BI157" s="210">
        <v>40713.369999999995</v>
      </c>
      <c r="BJ157" s="210">
        <v>3028.75</v>
      </c>
      <c r="BK157" s="210">
        <v>19948.7</v>
      </c>
      <c r="BL157" s="210">
        <v>17092.78</v>
      </c>
      <c r="BM157" s="210">
        <v>0</v>
      </c>
      <c r="BN157" s="210">
        <v>0</v>
      </c>
      <c r="BO157" s="210">
        <v>0</v>
      </c>
      <c r="BP157" s="210">
        <v>0</v>
      </c>
      <c r="BQ157" s="211">
        <v>-6565</v>
      </c>
      <c r="BR157" s="211">
        <v>0</v>
      </c>
      <c r="BS157" s="211">
        <v>0</v>
      </c>
      <c r="BT157" s="212">
        <v>0</v>
      </c>
      <c r="BU157" s="212">
        <v>8277.4</v>
      </c>
      <c r="BV157" s="212">
        <v>0</v>
      </c>
      <c r="BW157" s="212">
        <v>0</v>
      </c>
      <c r="BX157" s="212">
        <v>0</v>
      </c>
      <c r="BY157" s="212">
        <v>0</v>
      </c>
      <c r="BZ157" s="212">
        <v>0</v>
      </c>
      <c r="CA157" s="212">
        <v>1918</v>
      </c>
      <c r="CB157" s="212">
        <v>0</v>
      </c>
      <c r="CC157" s="285">
        <v>-59780.769999999677</v>
      </c>
      <c r="CD157" s="286"/>
      <c r="CE157" s="211">
        <v>43472.329999999922</v>
      </c>
      <c r="CF157" s="211">
        <v>13444.18</v>
      </c>
      <c r="CG157" s="211">
        <v>0</v>
      </c>
      <c r="CH157" s="211">
        <v>2864.26</v>
      </c>
      <c r="CI157" s="211">
        <v>0</v>
      </c>
      <c r="CJ157" s="211">
        <v>0</v>
      </c>
      <c r="CK157" s="211">
        <v>59780.769999999924</v>
      </c>
      <c r="CL157" s="287"/>
      <c r="CM157" s="201">
        <f t="shared" si="40"/>
        <v>2.4738255888223648E-10</v>
      </c>
      <c r="CN157" s="340">
        <f t="shared" si="34"/>
        <v>43472.329999999922</v>
      </c>
      <c r="CO157" s="340">
        <f t="shared" si="35"/>
        <v>13444.18</v>
      </c>
      <c r="CP157" s="340">
        <f t="shared" si="36"/>
        <v>0</v>
      </c>
      <c r="CQ157" s="340">
        <f t="shared" si="37"/>
        <v>2864.26</v>
      </c>
      <c r="CR157" s="340">
        <f t="shared" si="38"/>
        <v>0</v>
      </c>
      <c r="CS157" s="340">
        <f t="shared" si="39"/>
        <v>0</v>
      </c>
      <c r="CT157" s="90">
        <f t="shared" si="32"/>
        <v>59780.769999999924</v>
      </c>
      <c r="CV157" s="90">
        <f t="shared" si="33"/>
        <v>0</v>
      </c>
    </row>
    <row r="158" spans="1:100">
      <c r="A158" s="325">
        <v>892</v>
      </c>
      <c r="B158" s="325" t="s">
        <v>221</v>
      </c>
      <c r="C158" s="209">
        <v>-145421.72</v>
      </c>
      <c r="D158" s="209">
        <v>-64828</v>
      </c>
      <c r="E158" s="209">
        <v>0</v>
      </c>
      <c r="F158" s="209">
        <v>-433.2</v>
      </c>
      <c r="G158" s="209">
        <v>0</v>
      </c>
      <c r="H158" s="209">
        <v>0</v>
      </c>
      <c r="I158" s="223">
        <v>-2668373.23</v>
      </c>
      <c r="J158" s="223">
        <v>0</v>
      </c>
      <c r="K158" s="223">
        <v>-131606</v>
      </c>
      <c r="L158" s="223">
        <v>0</v>
      </c>
      <c r="M158" s="223">
        <v>-138115.73000000001</v>
      </c>
      <c r="N158" s="223">
        <v>-3656.93</v>
      </c>
      <c r="O158" s="223">
        <v>-8000</v>
      </c>
      <c r="P158" s="223">
        <v>-24739.359999999997</v>
      </c>
      <c r="Q158" s="223">
        <v>-23536.21</v>
      </c>
      <c r="R158" s="223">
        <v>0</v>
      </c>
      <c r="S158" s="223">
        <v>-3850</v>
      </c>
      <c r="T158" s="223">
        <v>0</v>
      </c>
      <c r="U158" s="223">
        <v>-72658.890000000058</v>
      </c>
      <c r="V158" s="223">
        <v>-19943.82</v>
      </c>
      <c r="W158" s="223">
        <v>0</v>
      </c>
      <c r="X158" s="223">
        <v>0</v>
      </c>
      <c r="Y158" s="223">
        <v>0</v>
      </c>
      <c r="Z158" s="223">
        <v>0</v>
      </c>
      <c r="AA158" s="223">
        <v>0</v>
      </c>
      <c r="AB158" s="223">
        <v>-6082.38</v>
      </c>
      <c r="AC158" s="223">
        <v>-88174</v>
      </c>
      <c r="AD158" s="210">
        <v>1627386.82</v>
      </c>
      <c r="AE158" s="210">
        <v>14872.080000000002</v>
      </c>
      <c r="AF158" s="210">
        <v>455549.10000000003</v>
      </c>
      <c r="AG158" s="210">
        <v>80893.01999999999</v>
      </c>
      <c r="AH158" s="210">
        <v>156655.94</v>
      </c>
      <c r="AI158" s="210">
        <v>0</v>
      </c>
      <c r="AJ158" s="210">
        <v>49245.74</v>
      </c>
      <c r="AK158" s="210">
        <v>9089.48</v>
      </c>
      <c r="AL158" s="210">
        <v>9130.5</v>
      </c>
      <c r="AM158" s="210">
        <v>16375.470000000001</v>
      </c>
      <c r="AN158" s="210">
        <v>0</v>
      </c>
      <c r="AO158" s="210">
        <v>34674.770000000004</v>
      </c>
      <c r="AP158" s="210">
        <v>11309.270000000002</v>
      </c>
      <c r="AQ158" s="210">
        <v>62110.930000000008</v>
      </c>
      <c r="AR158" s="210">
        <v>6099.0300000000007</v>
      </c>
      <c r="AS158" s="210">
        <v>76292.149999999994</v>
      </c>
      <c r="AT158" s="210">
        <v>27621.13</v>
      </c>
      <c r="AU158" s="210">
        <v>13694.46</v>
      </c>
      <c r="AV158" s="210">
        <v>136256.73000000001</v>
      </c>
      <c r="AW158" s="312">
        <v>0</v>
      </c>
      <c r="AX158" s="210">
        <v>4900</v>
      </c>
      <c r="AY158" s="210">
        <v>0</v>
      </c>
      <c r="AZ158" s="210">
        <v>3672.24</v>
      </c>
      <c r="BA158" s="210">
        <v>4072.78</v>
      </c>
      <c r="BB158" s="210">
        <v>0</v>
      </c>
      <c r="BC158" s="210">
        <v>0</v>
      </c>
      <c r="BD158" s="210">
        <v>10980</v>
      </c>
      <c r="BE158" s="210">
        <v>0</v>
      </c>
      <c r="BF158" s="210">
        <v>8608.58</v>
      </c>
      <c r="BG158" s="210">
        <v>28447.77</v>
      </c>
      <c r="BH158" s="210">
        <v>0</v>
      </c>
      <c r="BI158" s="210">
        <v>98061.14</v>
      </c>
      <c r="BJ158" s="210">
        <v>64009</v>
      </c>
      <c r="BK158" s="210">
        <v>116989.64</v>
      </c>
      <c r="BL158" s="210">
        <v>18159.98</v>
      </c>
      <c r="BM158" s="210">
        <v>0</v>
      </c>
      <c r="BN158" s="210">
        <v>49360.26</v>
      </c>
      <c r="BO158" s="210">
        <v>0</v>
      </c>
      <c r="BP158" s="210">
        <v>0</v>
      </c>
      <c r="BQ158" s="211">
        <v>-10215.629999999999</v>
      </c>
      <c r="BR158" s="211">
        <v>0</v>
      </c>
      <c r="BS158" s="211">
        <v>-49360.26</v>
      </c>
      <c r="BT158" s="212">
        <v>0</v>
      </c>
      <c r="BU158" s="212">
        <v>29156.5</v>
      </c>
      <c r="BV158" s="212">
        <v>3499.9999999999995</v>
      </c>
      <c r="BW158" s="212">
        <v>890</v>
      </c>
      <c r="BX158" s="212">
        <v>0</v>
      </c>
      <c r="BY158" s="212">
        <v>0</v>
      </c>
      <c r="BZ158" s="212">
        <v>0</v>
      </c>
      <c r="CA158" s="212">
        <v>8740.7199999999975</v>
      </c>
      <c r="CB158" s="212">
        <v>1840</v>
      </c>
      <c r="CC158" s="283">
        <v>-220350.12999999945</v>
      </c>
      <c r="CD158" s="284"/>
      <c r="CE158" s="211">
        <v>107627.26000000004</v>
      </c>
      <c r="CF158" s="211">
        <v>96841</v>
      </c>
      <c r="CG158" s="211">
        <v>0</v>
      </c>
      <c r="CH158" s="211">
        <v>-0.13000000000101863</v>
      </c>
      <c r="CI158" s="211">
        <v>15882</v>
      </c>
      <c r="CJ158" s="211">
        <v>0</v>
      </c>
      <c r="CK158" s="211">
        <v>220350.13000000003</v>
      </c>
      <c r="CL158" s="201"/>
      <c r="CM158" s="201">
        <f t="shared" si="40"/>
        <v>5.8207660913467407E-10</v>
      </c>
      <c r="CN158" s="340">
        <f t="shared" si="34"/>
        <v>107627.26000000004</v>
      </c>
      <c r="CO158" s="340">
        <f t="shared" si="35"/>
        <v>96841</v>
      </c>
      <c r="CP158" s="340">
        <f t="shared" si="36"/>
        <v>0</v>
      </c>
      <c r="CQ158" s="340">
        <f t="shared" si="37"/>
        <v>-0.13000000000101863</v>
      </c>
      <c r="CR158" s="340">
        <f t="shared" si="38"/>
        <v>15882</v>
      </c>
      <c r="CS158" s="340">
        <f t="shared" si="39"/>
        <v>0</v>
      </c>
      <c r="CT158" s="90">
        <f t="shared" si="32"/>
        <v>220350.13000000003</v>
      </c>
      <c r="CV158" s="90">
        <f t="shared" si="33"/>
        <v>0</v>
      </c>
    </row>
    <row r="159" spans="1:100">
      <c r="A159" s="325">
        <v>898</v>
      </c>
      <c r="B159" s="325" t="s">
        <v>285</v>
      </c>
      <c r="C159" s="209">
        <v>244371.38</v>
      </c>
      <c r="D159" s="209">
        <v>-10796.69</v>
      </c>
      <c r="E159" s="209">
        <v>0</v>
      </c>
      <c r="F159" s="209">
        <v>-3574.73</v>
      </c>
      <c r="G159" s="209">
        <v>0</v>
      </c>
      <c r="H159" s="209">
        <v>0</v>
      </c>
      <c r="I159" s="223">
        <v>-2068378.53</v>
      </c>
      <c r="J159" s="223">
        <v>0</v>
      </c>
      <c r="K159" s="223">
        <v>-96155</v>
      </c>
      <c r="L159" s="223">
        <v>0</v>
      </c>
      <c r="M159" s="223">
        <v>-45074.83</v>
      </c>
      <c r="N159" s="223">
        <v>-1771.29</v>
      </c>
      <c r="O159" s="223">
        <v>-754.5</v>
      </c>
      <c r="P159" s="223">
        <v>0</v>
      </c>
      <c r="Q159" s="223">
        <v>-157062.58999999997</v>
      </c>
      <c r="R159" s="223">
        <v>-112.71000000000001</v>
      </c>
      <c r="S159" s="223">
        <v>0</v>
      </c>
      <c r="T159" s="223">
        <v>-2440</v>
      </c>
      <c r="U159" s="223">
        <v>-52774.360000000022</v>
      </c>
      <c r="V159" s="223">
        <v>-8318.2900000000009</v>
      </c>
      <c r="W159" s="223">
        <v>0</v>
      </c>
      <c r="X159" s="223">
        <v>0</v>
      </c>
      <c r="Y159" s="223">
        <v>-18.420000000000002</v>
      </c>
      <c r="Z159" s="223">
        <v>0</v>
      </c>
      <c r="AA159" s="223">
        <v>0</v>
      </c>
      <c r="AB159" s="223">
        <v>-161.25</v>
      </c>
      <c r="AC159" s="223">
        <v>-90167</v>
      </c>
      <c r="AD159" s="210">
        <v>1273609.45</v>
      </c>
      <c r="AE159" s="210">
        <v>47769.83</v>
      </c>
      <c r="AF159" s="210">
        <v>460750.66000000003</v>
      </c>
      <c r="AG159" s="210">
        <v>41553.079999999994</v>
      </c>
      <c r="AH159" s="210">
        <v>136094.85</v>
      </c>
      <c r="AI159" s="210">
        <v>0</v>
      </c>
      <c r="AJ159" s="210">
        <v>140604.37</v>
      </c>
      <c r="AK159" s="210">
        <v>4774.53</v>
      </c>
      <c r="AL159" s="210">
        <v>11307.26</v>
      </c>
      <c r="AM159" s="210">
        <v>13475.5</v>
      </c>
      <c r="AN159" s="210">
        <v>0</v>
      </c>
      <c r="AO159" s="210">
        <v>23378.539999999997</v>
      </c>
      <c r="AP159" s="210">
        <v>0</v>
      </c>
      <c r="AQ159" s="210">
        <v>48496.640000000007</v>
      </c>
      <c r="AR159" s="210">
        <v>8027.9199999999992</v>
      </c>
      <c r="AS159" s="210">
        <v>37435.57</v>
      </c>
      <c r="AT159" s="210">
        <v>39936.53</v>
      </c>
      <c r="AU159" s="210">
        <v>3636.8399999999992</v>
      </c>
      <c r="AV159" s="210">
        <v>90321.919999999998</v>
      </c>
      <c r="AW159" s="312">
        <v>0</v>
      </c>
      <c r="AX159" s="210">
        <v>6316.6399999999994</v>
      </c>
      <c r="AY159" s="210">
        <v>0</v>
      </c>
      <c r="AZ159" s="210">
        <v>1823</v>
      </c>
      <c r="BA159" s="210">
        <v>2812.69</v>
      </c>
      <c r="BB159" s="210">
        <v>104</v>
      </c>
      <c r="BC159" s="210">
        <v>109.44</v>
      </c>
      <c r="BD159" s="210">
        <v>4531.6499999999996</v>
      </c>
      <c r="BE159" s="210">
        <v>0</v>
      </c>
      <c r="BF159" s="210">
        <v>12239.779999999999</v>
      </c>
      <c r="BG159" s="210">
        <v>21899.019999999997</v>
      </c>
      <c r="BH159" s="210">
        <v>0</v>
      </c>
      <c r="BI159" s="210">
        <v>88833.16</v>
      </c>
      <c r="BJ159" s="210">
        <v>16493.310000000005</v>
      </c>
      <c r="BK159" s="210">
        <v>56196.29</v>
      </c>
      <c r="BL159" s="210">
        <v>34000.229999999981</v>
      </c>
      <c r="BM159" s="210">
        <v>0</v>
      </c>
      <c r="BN159" s="210">
        <v>0</v>
      </c>
      <c r="BO159" s="210">
        <v>0</v>
      </c>
      <c r="BP159" s="210">
        <v>0</v>
      </c>
      <c r="BQ159" s="211">
        <v>-8680</v>
      </c>
      <c r="BR159" s="211">
        <v>0</v>
      </c>
      <c r="BS159" s="211">
        <v>0</v>
      </c>
      <c r="BT159" s="212">
        <v>0</v>
      </c>
      <c r="BU159" s="212">
        <v>-2585.79</v>
      </c>
      <c r="BV159" s="212">
        <v>0</v>
      </c>
      <c r="BW159" s="212">
        <v>0</v>
      </c>
      <c r="BX159" s="212">
        <v>0</v>
      </c>
      <c r="BY159" s="212">
        <v>0</v>
      </c>
      <c r="BZ159" s="212">
        <v>0</v>
      </c>
      <c r="CA159" s="212">
        <v>1347</v>
      </c>
      <c r="CB159" s="212">
        <v>0</v>
      </c>
      <c r="CC159" s="224">
        <v>323425.09999999998</v>
      </c>
      <c r="CD159" s="213"/>
      <c r="CE159" s="211">
        <v>-339709.74000000017</v>
      </c>
      <c r="CF159" s="211">
        <v>2791.12</v>
      </c>
      <c r="CG159" s="211">
        <v>0</v>
      </c>
      <c r="CH159" s="211">
        <v>13493.52</v>
      </c>
      <c r="CI159" s="211">
        <v>0</v>
      </c>
      <c r="CJ159" s="211">
        <v>0</v>
      </c>
      <c r="CK159" s="211">
        <v>-323425.10000000015</v>
      </c>
      <c r="CL159" s="201"/>
      <c r="CM159" s="201">
        <f t="shared" si="40"/>
        <v>0</v>
      </c>
      <c r="CN159" s="340">
        <f t="shared" si="34"/>
        <v>-339709.74000000017</v>
      </c>
      <c r="CO159" s="340">
        <f t="shared" si="35"/>
        <v>2791.12</v>
      </c>
      <c r="CP159" s="340">
        <f t="shared" si="36"/>
        <v>0</v>
      </c>
      <c r="CQ159" s="340">
        <f t="shared" si="37"/>
        <v>13493.52</v>
      </c>
      <c r="CR159" s="340">
        <f t="shared" si="38"/>
        <v>0</v>
      </c>
      <c r="CS159" s="340">
        <f t="shared" si="39"/>
        <v>0</v>
      </c>
      <c r="CT159" s="90">
        <f t="shared" si="32"/>
        <v>-323425.10000000015</v>
      </c>
      <c r="CV159" s="90">
        <f t="shared" si="33"/>
        <v>0</v>
      </c>
    </row>
    <row r="160" spans="1:100">
      <c r="A160" s="325">
        <v>900</v>
      </c>
      <c r="B160" s="325" t="s">
        <v>256</v>
      </c>
      <c r="C160" s="209">
        <v>-250567.27</v>
      </c>
      <c r="D160" s="209">
        <v>-35309.83</v>
      </c>
      <c r="E160" s="209">
        <v>0</v>
      </c>
      <c r="F160" s="209">
        <v>-3022.53</v>
      </c>
      <c r="G160" s="209">
        <v>0</v>
      </c>
      <c r="H160" s="209">
        <v>0</v>
      </c>
      <c r="I160" s="223">
        <v>-2073565.64</v>
      </c>
      <c r="J160" s="223">
        <v>0</v>
      </c>
      <c r="K160" s="223">
        <v>-230960</v>
      </c>
      <c r="L160" s="223">
        <v>0</v>
      </c>
      <c r="M160" s="223">
        <v>-231198</v>
      </c>
      <c r="N160" s="223">
        <v>-55430.93</v>
      </c>
      <c r="O160" s="223">
        <v>-450</v>
      </c>
      <c r="P160" s="223">
        <v>0</v>
      </c>
      <c r="Q160" s="223">
        <v>-22055.200000000001</v>
      </c>
      <c r="R160" s="223">
        <v>-2598.130000000001</v>
      </c>
      <c r="S160" s="223">
        <v>0</v>
      </c>
      <c r="T160" s="223">
        <v>0</v>
      </c>
      <c r="U160" s="223">
        <v>-6039.399999999996</v>
      </c>
      <c r="V160" s="223">
        <v>-16363.58</v>
      </c>
      <c r="W160" s="223">
        <v>0</v>
      </c>
      <c r="X160" s="223">
        <v>0</v>
      </c>
      <c r="Y160" s="223">
        <v>0</v>
      </c>
      <c r="Z160" s="223">
        <v>0</v>
      </c>
      <c r="AA160" s="223">
        <v>0</v>
      </c>
      <c r="AB160" s="223">
        <v>-1828.5</v>
      </c>
      <c r="AC160" s="223">
        <v>-47050</v>
      </c>
      <c r="AD160" s="210">
        <v>1095378.7500000002</v>
      </c>
      <c r="AE160" s="210">
        <v>26536.630000000005</v>
      </c>
      <c r="AF160" s="210">
        <v>795877.64</v>
      </c>
      <c r="AG160" s="210">
        <v>44559.03</v>
      </c>
      <c r="AH160" s="210">
        <v>75018.25</v>
      </c>
      <c r="AI160" s="210">
        <v>0</v>
      </c>
      <c r="AJ160" s="210">
        <v>54798.499999999993</v>
      </c>
      <c r="AK160" s="210">
        <v>0</v>
      </c>
      <c r="AL160" s="210">
        <v>5907.75</v>
      </c>
      <c r="AM160" s="210">
        <v>1085.8</v>
      </c>
      <c r="AN160" s="210">
        <v>0</v>
      </c>
      <c r="AO160" s="210">
        <v>36170.769999999997</v>
      </c>
      <c r="AP160" s="210">
        <v>7171</v>
      </c>
      <c r="AQ160" s="210">
        <v>39719.24</v>
      </c>
      <c r="AR160" s="210">
        <v>13597.069999999998</v>
      </c>
      <c r="AS160" s="210">
        <v>57160.759999999995</v>
      </c>
      <c r="AT160" s="210">
        <v>12589.46</v>
      </c>
      <c r="AU160" s="210">
        <v>4998.2400000000007</v>
      </c>
      <c r="AV160" s="210">
        <v>90209.72</v>
      </c>
      <c r="AW160" s="312">
        <v>2330.1600000000008</v>
      </c>
      <c r="AX160" s="210">
        <v>7221.09</v>
      </c>
      <c r="AY160" s="210">
        <v>0</v>
      </c>
      <c r="AZ160" s="210">
        <v>6068</v>
      </c>
      <c r="BA160" s="210">
        <v>0</v>
      </c>
      <c r="BB160" s="210">
        <v>0</v>
      </c>
      <c r="BC160" s="210">
        <v>0</v>
      </c>
      <c r="BD160" s="210">
        <v>3560</v>
      </c>
      <c r="BE160" s="210">
        <v>0</v>
      </c>
      <c r="BF160" s="210">
        <v>12441.9</v>
      </c>
      <c r="BG160" s="210">
        <v>18650.84</v>
      </c>
      <c r="BH160" s="210">
        <v>0</v>
      </c>
      <c r="BI160" s="210">
        <v>76656.740000000005</v>
      </c>
      <c r="BJ160" s="210">
        <v>135753.65</v>
      </c>
      <c r="BK160" s="210">
        <v>1860</v>
      </c>
      <c r="BL160" s="210">
        <v>136863.38</v>
      </c>
      <c r="BM160" s="210">
        <v>0</v>
      </c>
      <c r="BN160" s="210">
        <v>0</v>
      </c>
      <c r="BO160" s="210">
        <v>0</v>
      </c>
      <c r="BP160" s="210">
        <v>0</v>
      </c>
      <c r="BQ160" s="211">
        <v>-7954.38</v>
      </c>
      <c r="BR160" s="211">
        <v>0</v>
      </c>
      <c r="BS160" s="211">
        <v>0</v>
      </c>
      <c r="BT160" s="212">
        <v>0</v>
      </c>
      <c r="BU160" s="212">
        <v>-4263.26</v>
      </c>
      <c r="BV160" s="212">
        <v>0</v>
      </c>
      <c r="BW160" s="212">
        <v>0</v>
      </c>
      <c r="BX160" s="212">
        <v>0</v>
      </c>
      <c r="BY160" s="212">
        <v>0</v>
      </c>
      <c r="BZ160" s="212">
        <v>0</v>
      </c>
      <c r="CA160" s="212">
        <v>0</v>
      </c>
      <c r="CB160" s="212">
        <v>0</v>
      </c>
      <c r="CC160" s="224">
        <v>-226472.2799999998</v>
      </c>
      <c r="CD160" s="213"/>
      <c r="CE160" s="211">
        <v>208581.72999999969</v>
      </c>
      <c r="CF160" s="211">
        <v>6690.55</v>
      </c>
      <c r="CG160" s="211">
        <v>0</v>
      </c>
      <c r="CH160" s="211">
        <v>11200</v>
      </c>
      <c r="CI160" s="211">
        <v>0</v>
      </c>
      <c r="CJ160" s="211">
        <v>0</v>
      </c>
      <c r="CK160" s="211">
        <v>226472.27999999968</v>
      </c>
      <c r="CL160" s="201"/>
      <c r="CM160" s="201">
        <f t="shared" si="40"/>
        <v>0</v>
      </c>
      <c r="CN160" s="340">
        <f t="shared" si="34"/>
        <v>208581.72999999969</v>
      </c>
      <c r="CO160" s="340">
        <f t="shared" si="35"/>
        <v>6690.55</v>
      </c>
      <c r="CP160" s="340">
        <f t="shared" si="36"/>
        <v>0</v>
      </c>
      <c r="CQ160" s="340">
        <f t="shared" si="37"/>
        <v>11200</v>
      </c>
      <c r="CR160" s="340">
        <f t="shared" si="38"/>
        <v>0</v>
      </c>
      <c r="CS160" s="340">
        <f t="shared" si="39"/>
        <v>0</v>
      </c>
      <c r="CT160" s="90">
        <f t="shared" si="32"/>
        <v>226472.27999999968</v>
      </c>
      <c r="CV160" s="90">
        <f t="shared" si="33"/>
        <v>0</v>
      </c>
    </row>
    <row r="161" spans="1:100">
      <c r="A161" s="325">
        <v>906</v>
      </c>
      <c r="B161" s="325" t="s">
        <v>412</v>
      </c>
      <c r="C161" s="209">
        <v>-73622.66</v>
      </c>
      <c r="D161" s="209">
        <v>-22882.25</v>
      </c>
      <c r="E161" s="209">
        <v>0</v>
      </c>
      <c r="F161" s="209">
        <v>1220.4000000000001</v>
      </c>
      <c r="G161" s="209">
        <v>0</v>
      </c>
      <c r="H161" s="209">
        <v>0</v>
      </c>
      <c r="I161" s="223">
        <v>-1084434.6400000001</v>
      </c>
      <c r="J161" s="223">
        <v>0</v>
      </c>
      <c r="K161" s="223">
        <v>-121070</v>
      </c>
      <c r="L161" s="223">
        <v>0</v>
      </c>
      <c r="M161" s="223">
        <v>-59575</v>
      </c>
      <c r="N161" s="223">
        <v>-1400</v>
      </c>
      <c r="O161" s="223">
        <v>-800</v>
      </c>
      <c r="P161" s="223">
        <v>0</v>
      </c>
      <c r="Q161" s="223">
        <v>-5225.7300000000005</v>
      </c>
      <c r="R161" s="223">
        <v>0</v>
      </c>
      <c r="S161" s="223">
        <v>-7175</v>
      </c>
      <c r="T161" s="223">
        <v>0</v>
      </c>
      <c r="U161" s="223">
        <v>-7448.6100000000024</v>
      </c>
      <c r="V161" s="223">
        <v>-28207.57</v>
      </c>
      <c r="W161" s="223">
        <v>0</v>
      </c>
      <c r="X161" s="223">
        <v>0</v>
      </c>
      <c r="Y161" s="223">
        <v>0</v>
      </c>
      <c r="Z161" s="223">
        <v>0</v>
      </c>
      <c r="AA161" s="223">
        <v>0</v>
      </c>
      <c r="AB161" s="223">
        <v>430.61999999999989</v>
      </c>
      <c r="AC161" s="223">
        <v>-45510</v>
      </c>
      <c r="AD161" s="210">
        <v>673157.07000000007</v>
      </c>
      <c r="AE161" s="210">
        <v>12742.760000000002</v>
      </c>
      <c r="AF161" s="210">
        <v>271707.78000000003</v>
      </c>
      <c r="AG161" s="210">
        <v>38556.07</v>
      </c>
      <c r="AH161" s="210">
        <v>58601.25</v>
      </c>
      <c r="AI161" s="210">
        <v>0</v>
      </c>
      <c r="AJ161" s="210">
        <v>6459.4</v>
      </c>
      <c r="AK161" s="210">
        <v>3945.54</v>
      </c>
      <c r="AL161" s="210">
        <v>13753.840000000002</v>
      </c>
      <c r="AM161" s="210">
        <v>600.85</v>
      </c>
      <c r="AN161" s="210">
        <v>6079</v>
      </c>
      <c r="AO161" s="210">
        <v>8517.73</v>
      </c>
      <c r="AP161" s="210">
        <v>1285.02</v>
      </c>
      <c r="AQ161" s="210">
        <v>2188.81</v>
      </c>
      <c r="AR161" s="210">
        <v>3823.16</v>
      </c>
      <c r="AS161" s="210">
        <v>13854.080000000002</v>
      </c>
      <c r="AT161" s="210">
        <v>19052.91</v>
      </c>
      <c r="AU161" s="210">
        <v>2809.16</v>
      </c>
      <c r="AV161" s="210">
        <v>104117.10999999999</v>
      </c>
      <c r="AW161" s="312">
        <v>0</v>
      </c>
      <c r="AX161" s="210">
        <v>5092.93</v>
      </c>
      <c r="AY161" s="210">
        <v>0</v>
      </c>
      <c r="AZ161" s="210">
        <v>692.5</v>
      </c>
      <c r="BA161" s="210">
        <v>577</v>
      </c>
      <c r="BB161" s="210">
        <v>2734.08</v>
      </c>
      <c r="BC161" s="210">
        <v>0</v>
      </c>
      <c r="BD161" s="210">
        <v>7282.92</v>
      </c>
      <c r="BE161" s="210">
        <v>0</v>
      </c>
      <c r="BF161" s="210">
        <v>4348.2000000000007</v>
      </c>
      <c r="BG161" s="210">
        <v>11130.11</v>
      </c>
      <c r="BH161" s="210">
        <v>0</v>
      </c>
      <c r="BI161" s="210">
        <v>42592.35</v>
      </c>
      <c r="BJ161" s="210">
        <v>6048</v>
      </c>
      <c r="BK161" s="210">
        <v>10063</v>
      </c>
      <c r="BL161" s="210">
        <v>12723.740000000002</v>
      </c>
      <c r="BM161" s="210">
        <v>0</v>
      </c>
      <c r="BN161" s="210">
        <v>0</v>
      </c>
      <c r="BO161" s="210">
        <v>0</v>
      </c>
      <c r="BP161" s="210">
        <v>0</v>
      </c>
      <c r="BQ161" s="211">
        <v>-6255.63</v>
      </c>
      <c r="BR161" s="211">
        <v>0</v>
      </c>
      <c r="BS161" s="211">
        <v>0</v>
      </c>
      <c r="BT161" s="212">
        <v>0</v>
      </c>
      <c r="BU161" s="212">
        <v>997.29000000000008</v>
      </c>
      <c r="BV161" s="212">
        <v>55</v>
      </c>
      <c r="BW161" s="212">
        <v>0</v>
      </c>
      <c r="BX161" s="212">
        <v>0</v>
      </c>
      <c r="BY161" s="212">
        <v>0</v>
      </c>
      <c r="BZ161" s="212">
        <v>0</v>
      </c>
      <c r="CA161" s="212">
        <v>0</v>
      </c>
      <c r="CB161" s="212">
        <v>0</v>
      </c>
      <c r="CC161" s="224">
        <v>-116367.41000000015</v>
      </c>
      <c r="CD161" s="213"/>
      <c r="CE161" s="211">
        <v>101994.6200000002</v>
      </c>
      <c r="CF161" s="211">
        <v>11330.739999999998</v>
      </c>
      <c r="CG161" s="211">
        <v>0</v>
      </c>
      <c r="CH161" s="211">
        <v>3042.0499999999997</v>
      </c>
      <c r="CI161" s="211">
        <v>0</v>
      </c>
      <c r="CJ161" s="211">
        <v>0</v>
      </c>
      <c r="CK161" s="211">
        <v>116367.41000000019</v>
      </c>
      <c r="CL161" s="201"/>
      <c r="CM161" s="201">
        <f t="shared" si="40"/>
        <v>0</v>
      </c>
      <c r="CN161" s="340">
        <f t="shared" si="34"/>
        <v>101994.6200000002</v>
      </c>
      <c r="CO161" s="340">
        <f t="shared" si="35"/>
        <v>11330.739999999998</v>
      </c>
      <c r="CP161" s="340">
        <f t="shared" si="36"/>
        <v>0</v>
      </c>
      <c r="CQ161" s="340">
        <f t="shared" si="37"/>
        <v>3042.0499999999997</v>
      </c>
      <c r="CR161" s="340">
        <f t="shared" si="38"/>
        <v>0</v>
      </c>
      <c r="CS161" s="340">
        <f t="shared" si="39"/>
        <v>0</v>
      </c>
      <c r="CT161" s="90">
        <f t="shared" si="32"/>
        <v>116367.41000000019</v>
      </c>
      <c r="CV161" s="90">
        <f t="shared" ref="CV161:CV179" si="47">CK161-CT161</f>
        <v>0</v>
      </c>
    </row>
    <row r="162" spans="1:100">
      <c r="A162" s="325">
        <v>907</v>
      </c>
      <c r="B162" s="325" t="s">
        <v>763</v>
      </c>
      <c r="C162" s="209">
        <v>-20941.07</v>
      </c>
      <c r="D162" s="209">
        <v>-16476.39</v>
      </c>
      <c r="E162" s="209">
        <v>0</v>
      </c>
      <c r="F162" s="209">
        <v>0</v>
      </c>
      <c r="G162" s="209">
        <v>0</v>
      </c>
      <c r="H162" s="209">
        <v>0</v>
      </c>
      <c r="I162" s="223">
        <v>-1167121.33</v>
      </c>
      <c r="J162" s="223">
        <v>0</v>
      </c>
      <c r="K162" s="223">
        <v>-103252</v>
      </c>
      <c r="L162" s="223">
        <v>0</v>
      </c>
      <c r="M162" s="223">
        <v>-51700</v>
      </c>
      <c r="N162" s="223">
        <v>-400</v>
      </c>
      <c r="O162" s="223">
        <v>-2320</v>
      </c>
      <c r="P162" s="223">
        <v>-1609</v>
      </c>
      <c r="Q162" s="223">
        <v>-20314.13</v>
      </c>
      <c r="R162" s="223">
        <v>0</v>
      </c>
      <c r="S162" s="223">
        <v>0</v>
      </c>
      <c r="T162" s="223">
        <v>0</v>
      </c>
      <c r="U162" s="223">
        <v>-32564.639999999981</v>
      </c>
      <c r="V162" s="223">
        <v>-9228.8100000000013</v>
      </c>
      <c r="W162" s="223">
        <v>0</v>
      </c>
      <c r="X162" s="223">
        <v>0</v>
      </c>
      <c r="Y162" s="223">
        <v>0</v>
      </c>
      <c r="Z162" s="223">
        <v>0</v>
      </c>
      <c r="AA162" s="223">
        <v>0</v>
      </c>
      <c r="AB162" s="223">
        <v>142.5</v>
      </c>
      <c r="AC162" s="223">
        <v>-18371</v>
      </c>
      <c r="AD162" s="210">
        <v>720704.62</v>
      </c>
      <c r="AE162" s="210">
        <v>13802.47</v>
      </c>
      <c r="AF162" s="210">
        <v>266763.05</v>
      </c>
      <c r="AG162" s="210">
        <v>55482.290000000008</v>
      </c>
      <c r="AH162" s="210">
        <v>91878.53</v>
      </c>
      <c r="AI162" s="210">
        <v>0</v>
      </c>
      <c r="AJ162" s="210">
        <v>24683.179999999997</v>
      </c>
      <c r="AK162" s="210">
        <v>265.19</v>
      </c>
      <c r="AL162" s="210">
        <v>5316.42</v>
      </c>
      <c r="AM162" s="210">
        <v>710.65</v>
      </c>
      <c r="AN162" s="210">
        <v>0</v>
      </c>
      <c r="AO162" s="210">
        <v>4605.79</v>
      </c>
      <c r="AP162" s="210">
        <v>12220.910000000003</v>
      </c>
      <c r="AQ162" s="210">
        <v>2588.8399999999992</v>
      </c>
      <c r="AR162" s="210">
        <v>3158.79</v>
      </c>
      <c r="AS162" s="210">
        <v>17807.07</v>
      </c>
      <c r="AT162" s="210">
        <v>3832.7</v>
      </c>
      <c r="AU162" s="210">
        <v>4846.8999999999996</v>
      </c>
      <c r="AV162" s="210">
        <v>90691.349999999977</v>
      </c>
      <c r="AW162" s="312">
        <v>0</v>
      </c>
      <c r="AX162" s="210">
        <v>5823.15</v>
      </c>
      <c r="AY162" s="210">
        <v>0</v>
      </c>
      <c r="AZ162" s="210">
        <v>2366.16</v>
      </c>
      <c r="BA162" s="210">
        <v>7887.92</v>
      </c>
      <c r="BB162" s="210">
        <v>10161.719999999999</v>
      </c>
      <c r="BC162" s="210">
        <v>1150</v>
      </c>
      <c r="BD162" s="210">
        <v>4330</v>
      </c>
      <c r="BE162" s="210">
        <v>0</v>
      </c>
      <c r="BF162" s="210">
        <v>5922.7599999999984</v>
      </c>
      <c r="BG162" s="210">
        <v>10622.47</v>
      </c>
      <c r="BH162" s="210">
        <v>0</v>
      </c>
      <c r="BI162" s="210">
        <v>13441.43</v>
      </c>
      <c r="BJ162" s="210">
        <v>8009</v>
      </c>
      <c r="BK162" s="210">
        <v>42149.51</v>
      </c>
      <c r="BL162" s="210">
        <v>50403.659999999996</v>
      </c>
      <c r="BM162" s="210">
        <v>0</v>
      </c>
      <c r="BN162" s="210">
        <v>0</v>
      </c>
      <c r="BO162" s="210">
        <v>0</v>
      </c>
      <c r="BP162" s="210">
        <v>0</v>
      </c>
      <c r="BQ162" s="211">
        <v>0</v>
      </c>
      <c r="BR162" s="211">
        <v>0</v>
      </c>
      <c r="BS162" s="211">
        <v>0</v>
      </c>
      <c r="BT162" s="212">
        <v>0</v>
      </c>
      <c r="BU162" s="212">
        <v>0</v>
      </c>
      <c r="BV162" s="212">
        <v>0</v>
      </c>
      <c r="BW162" s="212">
        <v>0</v>
      </c>
      <c r="BX162" s="212">
        <v>0</v>
      </c>
      <c r="BY162" s="212">
        <v>0</v>
      </c>
      <c r="BZ162" s="212">
        <v>0</v>
      </c>
      <c r="CA162" s="212">
        <v>0</v>
      </c>
      <c r="CB162" s="212">
        <v>0</v>
      </c>
      <c r="CC162" s="224">
        <v>37470.660000000084</v>
      </c>
      <c r="CD162" s="213"/>
      <c r="CE162" s="211">
        <v>-41995.969999999652</v>
      </c>
      <c r="CF162" s="211">
        <v>4525.3100000000013</v>
      </c>
      <c r="CG162" s="211">
        <v>0</v>
      </c>
      <c r="CH162" s="211">
        <v>0</v>
      </c>
      <c r="CI162" s="211">
        <v>0</v>
      </c>
      <c r="CJ162" s="211">
        <v>0</v>
      </c>
      <c r="CK162" s="211">
        <v>-37470.659999999654</v>
      </c>
      <c r="CL162" s="201"/>
      <c r="CM162" s="201">
        <f t="shared" si="40"/>
        <v>4.2928149923682213E-10</v>
      </c>
      <c r="CN162" s="340">
        <f t="shared" si="34"/>
        <v>-41995.969999999652</v>
      </c>
      <c r="CO162" s="340">
        <f t="shared" si="35"/>
        <v>4525.3100000000013</v>
      </c>
      <c r="CP162" s="340">
        <f t="shared" si="36"/>
        <v>0</v>
      </c>
      <c r="CQ162" s="340">
        <f t="shared" si="37"/>
        <v>0</v>
      </c>
      <c r="CR162" s="340">
        <f t="shared" si="38"/>
        <v>0</v>
      </c>
      <c r="CS162" s="340">
        <f t="shared" si="39"/>
        <v>0</v>
      </c>
      <c r="CT162" s="90">
        <f t="shared" si="32"/>
        <v>-37470.659999999654</v>
      </c>
      <c r="CV162" s="90">
        <f t="shared" si="47"/>
        <v>0</v>
      </c>
    </row>
    <row r="163" spans="1:100">
      <c r="A163" s="325">
        <v>912</v>
      </c>
      <c r="B163" s="325" t="s">
        <v>1000</v>
      </c>
      <c r="C163" s="209">
        <v>-295696.56</v>
      </c>
      <c r="D163" s="209">
        <v>0</v>
      </c>
      <c r="E163" s="209">
        <v>0</v>
      </c>
      <c r="F163" s="209">
        <v>0</v>
      </c>
      <c r="G163" s="209">
        <v>0</v>
      </c>
      <c r="H163" s="209">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3">
        <v>0</v>
      </c>
      <c r="AA163" s="223">
        <v>0</v>
      </c>
      <c r="AB163" s="223">
        <v>0</v>
      </c>
      <c r="AC163" s="223">
        <v>0</v>
      </c>
      <c r="AD163" s="210">
        <v>-1189.1000000000001</v>
      </c>
      <c r="AE163" s="210">
        <v>0</v>
      </c>
      <c r="AF163" s="210">
        <v>108.56</v>
      </c>
      <c r="AG163" s="210">
        <v>0</v>
      </c>
      <c r="AH163" s="210">
        <v>0</v>
      </c>
      <c r="AI163" s="210">
        <v>0</v>
      </c>
      <c r="AJ163" s="210">
        <v>106.21</v>
      </c>
      <c r="AK163" s="210">
        <v>0</v>
      </c>
      <c r="AL163" s="210">
        <v>0</v>
      </c>
      <c r="AM163" s="210">
        <v>0</v>
      </c>
      <c r="AN163" s="210">
        <v>0</v>
      </c>
      <c r="AO163" s="210">
        <v>0</v>
      </c>
      <c r="AP163" s="210">
        <v>0</v>
      </c>
      <c r="AQ163" s="210">
        <v>0</v>
      </c>
      <c r="AR163" s="210">
        <v>0</v>
      </c>
      <c r="AS163" s="210">
        <v>0</v>
      </c>
      <c r="AT163" s="210">
        <v>0</v>
      </c>
      <c r="AU163" s="210">
        <v>-1.0658141036401503E-13</v>
      </c>
      <c r="AV163" s="210">
        <v>295696.56</v>
      </c>
      <c r="AW163" s="312">
        <v>0</v>
      </c>
      <c r="AX163" s="210">
        <v>0</v>
      </c>
      <c r="AY163" s="210">
        <v>0</v>
      </c>
      <c r="AZ163" s="210">
        <v>0</v>
      </c>
      <c r="BA163" s="210">
        <v>0</v>
      </c>
      <c r="BB163" s="210">
        <v>0</v>
      </c>
      <c r="BC163" s="210">
        <v>0</v>
      </c>
      <c r="BD163" s="210">
        <v>0</v>
      </c>
      <c r="BE163" s="210">
        <v>0</v>
      </c>
      <c r="BF163" s="210">
        <v>0</v>
      </c>
      <c r="BG163" s="210">
        <v>0</v>
      </c>
      <c r="BH163" s="210">
        <v>0</v>
      </c>
      <c r="BI163" s="210">
        <v>0</v>
      </c>
      <c r="BJ163" s="210">
        <v>0</v>
      </c>
      <c r="BK163" s="210">
        <v>0</v>
      </c>
      <c r="BL163" s="210">
        <v>0</v>
      </c>
      <c r="BM163" s="210">
        <v>0</v>
      </c>
      <c r="BN163" s="210">
        <v>0</v>
      </c>
      <c r="BO163" s="210">
        <v>0</v>
      </c>
      <c r="BP163" s="210">
        <v>0</v>
      </c>
      <c r="BQ163" s="211">
        <v>0</v>
      </c>
      <c r="BR163" s="211">
        <v>0</v>
      </c>
      <c r="BS163" s="211">
        <v>0</v>
      </c>
      <c r="BT163" s="212">
        <v>0</v>
      </c>
      <c r="BU163" s="212">
        <v>0</v>
      </c>
      <c r="BV163" s="212">
        <v>0</v>
      </c>
      <c r="BW163" s="212">
        <v>0</v>
      </c>
      <c r="BX163" s="212">
        <v>0</v>
      </c>
      <c r="BY163" s="212">
        <v>0</v>
      </c>
      <c r="BZ163" s="212">
        <v>0</v>
      </c>
      <c r="CA163" s="212">
        <v>0</v>
      </c>
      <c r="CB163" s="212">
        <v>0</v>
      </c>
      <c r="CC163" s="224">
        <v>-974.32999999995809</v>
      </c>
      <c r="CD163" s="213"/>
      <c r="CE163" s="211"/>
      <c r="CF163" s="211"/>
      <c r="CG163" s="211"/>
      <c r="CH163" s="211"/>
      <c r="CI163" s="211"/>
      <c r="CJ163" s="211"/>
      <c r="CK163" s="211"/>
      <c r="CL163" s="201"/>
      <c r="CM163" s="201">
        <f t="shared" si="40"/>
        <v>-974.32999999995809</v>
      </c>
      <c r="CN163" s="340">
        <f t="shared" si="34"/>
        <v>0</v>
      </c>
      <c r="CO163" s="340">
        <f t="shared" si="35"/>
        <v>0</v>
      </c>
      <c r="CP163" s="340">
        <f t="shared" si="36"/>
        <v>0</v>
      </c>
      <c r="CQ163" s="340">
        <f t="shared" si="37"/>
        <v>0</v>
      </c>
      <c r="CR163" s="340">
        <f t="shared" si="38"/>
        <v>0</v>
      </c>
      <c r="CS163" s="340">
        <f t="shared" si="39"/>
        <v>0</v>
      </c>
      <c r="CT163" s="90">
        <f t="shared" si="32"/>
        <v>0</v>
      </c>
      <c r="CV163" s="90">
        <f t="shared" si="47"/>
        <v>0</v>
      </c>
    </row>
    <row r="164" spans="1:100">
      <c r="A164" s="325">
        <v>921</v>
      </c>
      <c r="B164" s="325" t="s">
        <v>279</v>
      </c>
      <c r="C164" s="209">
        <v>-269618.90999999997</v>
      </c>
      <c r="D164" s="209">
        <v>-46502.44</v>
      </c>
      <c r="E164" s="209">
        <v>0</v>
      </c>
      <c r="F164" s="209">
        <v>-5136.12</v>
      </c>
      <c r="G164" s="209">
        <v>0</v>
      </c>
      <c r="H164" s="209">
        <v>-62570.3</v>
      </c>
      <c r="I164" s="223">
        <v>-1118939.96</v>
      </c>
      <c r="J164" s="223">
        <v>0</v>
      </c>
      <c r="K164" s="223">
        <v>-103670</v>
      </c>
      <c r="L164" s="223">
        <v>0</v>
      </c>
      <c r="M164" s="223">
        <v>-71462.490000000005</v>
      </c>
      <c r="N164" s="223">
        <v>0</v>
      </c>
      <c r="O164" s="223">
        <v>0</v>
      </c>
      <c r="P164" s="223">
        <v>0</v>
      </c>
      <c r="Q164" s="223">
        <v>-23091.62</v>
      </c>
      <c r="R164" s="223">
        <v>2692.03</v>
      </c>
      <c r="S164" s="223">
        <v>0</v>
      </c>
      <c r="T164" s="223">
        <v>0</v>
      </c>
      <c r="U164" s="223">
        <v>-12505.299999999997</v>
      </c>
      <c r="V164" s="223">
        <v>-25.670000000000073</v>
      </c>
      <c r="W164" s="223">
        <v>0</v>
      </c>
      <c r="X164" s="223">
        <v>-38420.829999999994</v>
      </c>
      <c r="Y164" s="223">
        <v>-6541.53</v>
      </c>
      <c r="Z164" s="223">
        <v>0</v>
      </c>
      <c r="AA164" s="223">
        <v>0</v>
      </c>
      <c r="AB164" s="223">
        <v>-7507.5</v>
      </c>
      <c r="AC164" s="223">
        <v>-77693</v>
      </c>
      <c r="AD164" s="210">
        <v>600349.89</v>
      </c>
      <c r="AE164" s="210">
        <v>872.2399999999999</v>
      </c>
      <c r="AF164" s="210">
        <v>247261.9</v>
      </c>
      <c r="AG164" s="210">
        <v>51373.11</v>
      </c>
      <c r="AH164" s="210">
        <v>64803.42</v>
      </c>
      <c r="AI164" s="210">
        <v>0</v>
      </c>
      <c r="AJ164" s="210">
        <v>36123.880000000005</v>
      </c>
      <c r="AK164" s="210">
        <v>4495.3099999999995</v>
      </c>
      <c r="AL164" s="210">
        <v>6849.33</v>
      </c>
      <c r="AM164" s="210">
        <v>651.94000000000005</v>
      </c>
      <c r="AN164" s="210">
        <v>553.6</v>
      </c>
      <c r="AO164" s="210">
        <v>14364.739999999998</v>
      </c>
      <c r="AP164" s="210">
        <v>1431.7700000000002</v>
      </c>
      <c r="AQ164" s="210">
        <v>10054.170000000002</v>
      </c>
      <c r="AR164" s="210">
        <v>9404.65</v>
      </c>
      <c r="AS164" s="210">
        <v>22664.34</v>
      </c>
      <c r="AT164" s="210">
        <v>27025.589999999997</v>
      </c>
      <c r="AU164" s="210">
        <v>3157.79</v>
      </c>
      <c r="AV164" s="210">
        <v>507760.29000000004</v>
      </c>
      <c r="AW164" s="312">
        <v>0</v>
      </c>
      <c r="AX164" s="210">
        <v>0</v>
      </c>
      <c r="AY164" s="210">
        <v>0</v>
      </c>
      <c r="AZ164" s="210">
        <v>3005.5</v>
      </c>
      <c r="BA164" s="210">
        <v>0</v>
      </c>
      <c r="BB164" s="210">
        <v>0</v>
      </c>
      <c r="BC164" s="210">
        <v>0</v>
      </c>
      <c r="BD164" s="210">
        <v>2400</v>
      </c>
      <c r="BE164" s="210">
        <v>0</v>
      </c>
      <c r="BF164" s="210">
        <v>9476.2900000000009</v>
      </c>
      <c r="BG164" s="210">
        <v>11198.36</v>
      </c>
      <c r="BH164" s="210">
        <v>0</v>
      </c>
      <c r="BI164" s="210">
        <v>51150.460000000014</v>
      </c>
      <c r="BJ164" s="210">
        <v>25638</v>
      </c>
      <c r="BK164" s="210">
        <v>58305.43</v>
      </c>
      <c r="BL164" s="210">
        <v>23318.899999999998</v>
      </c>
      <c r="BM164" s="210">
        <v>0</v>
      </c>
      <c r="BN164" s="210">
        <v>0</v>
      </c>
      <c r="BO164" s="210">
        <v>51539.630000000005</v>
      </c>
      <c r="BP164" s="210">
        <v>10470.61</v>
      </c>
      <c r="BQ164" s="211">
        <v>-9906.25</v>
      </c>
      <c r="BR164" s="211">
        <v>0</v>
      </c>
      <c r="BS164" s="211">
        <v>0</v>
      </c>
      <c r="BT164" s="212">
        <v>0</v>
      </c>
      <c r="BU164" s="212">
        <v>-4801.25</v>
      </c>
      <c r="BV164" s="212">
        <v>0</v>
      </c>
      <c r="BW164" s="212">
        <v>0</v>
      </c>
      <c r="BX164" s="212">
        <v>0</v>
      </c>
      <c r="BY164" s="212">
        <v>0</v>
      </c>
      <c r="BZ164" s="212">
        <v>0</v>
      </c>
      <c r="CA164" s="212">
        <v>0</v>
      </c>
      <c r="CB164" s="212">
        <v>0</v>
      </c>
      <c r="CC164" s="224">
        <v>1.0186340659856796E-10</v>
      </c>
      <c r="CD164" s="213"/>
      <c r="CE164" s="211"/>
      <c r="CF164" s="211"/>
      <c r="CG164" s="211"/>
      <c r="CH164" s="211"/>
      <c r="CI164" s="211"/>
      <c r="CJ164" s="211"/>
      <c r="CK164" s="211"/>
      <c r="CL164" s="201"/>
      <c r="CM164" s="201">
        <f t="shared" si="40"/>
        <v>1.0186340659856796E-10</v>
      </c>
      <c r="CN164" s="340">
        <f t="shared" ref="CN164:CN180" si="48">CE164-(CL164)</f>
        <v>0</v>
      </c>
      <c r="CO164" s="340">
        <f t="shared" ref="CO164:CO180" si="49">CF164</f>
        <v>0</v>
      </c>
      <c r="CP164" s="340">
        <f t="shared" ref="CP164:CP180" si="50">CG164</f>
        <v>0</v>
      </c>
      <c r="CQ164" s="340">
        <f t="shared" ref="CQ164:CQ180" si="51">CH164</f>
        <v>0</v>
      </c>
      <c r="CR164" s="340">
        <f t="shared" ref="CR164:CR180" si="52">CI164</f>
        <v>0</v>
      </c>
      <c r="CS164" s="340">
        <f t="shared" ref="CS164:CS180" si="53">CJ164</f>
        <v>0</v>
      </c>
      <c r="CT164" s="90">
        <f t="shared" si="32"/>
        <v>0</v>
      </c>
      <c r="CV164" s="90">
        <f t="shared" si="47"/>
        <v>0</v>
      </c>
    </row>
    <row r="165" spans="1:100">
      <c r="A165" s="325">
        <v>924</v>
      </c>
      <c r="B165" s="325" t="s">
        <v>222</v>
      </c>
      <c r="C165" s="209">
        <v>-46017.22</v>
      </c>
      <c r="D165" s="209">
        <v>-3111</v>
      </c>
      <c r="E165" s="209">
        <v>0</v>
      </c>
      <c r="F165" s="209">
        <v>-2973.52</v>
      </c>
      <c r="G165" s="209">
        <v>0</v>
      </c>
      <c r="H165" s="209">
        <v>0</v>
      </c>
      <c r="I165" s="223">
        <v>-1373179</v>
      </c>
      <c r="J165" s="223">
        <v>0</v>
      </c>
      <c r="K165" s="223">
        <v>-143353</v>
      </c>
      <c r="L165" s="223">
        <v>0</v>
      </c>
      <c r="M165" s="223">
        <v>-127550</v>
      </c>
      <c r="N165" s="223">
        <v>-39949.269999999997</v>
      </c>
      <c r="O165" s="223">
        <v>-18623.7</v>
      </c>
      <c r="P165" s="223">
        <v>0</v>
      </c>
      <c r="Q165" s="223">
        <v>-36869.569999999985</v>
      </c>
      <c r="R165" s="223">
        <v>-2371.2699999999991</v>
      </c>
      <c r="S165" s="223">
        <v>0</v>
      </c>
      <c r="T165" s="223">
        <v>0</v>
      </c>
      <c r="U165" s="223">
        <v>-17311.120000000006</v>
      </c>
      <c r="V165" s="223">
        <v>-11781.89</v>
      </c>
      <c r="W165" s="223">
        <v>0</v>
      </c>
      <c r="X165" s="223">
        <v>-54154.130000000005</v>
      </c>
      <c r="Y165" s="223">
        <v>-222.38</v>
      </c>
      <c r="Z165" s="223">
        <v>0</v>
      </c>
      <c r="AA165" s="223">
        <v>0</v>
      </c>
      <c r="AB165" s="223">
        <v>119.86999999999989</v>
      </c>
      <c r="AC165" s="223">
        <v>-45725</v>
      </c>
      <c r="AD165" s="210">
        <v>735238.30999999982</v>
      </c>
      <c r="AE165" s="210">
        <v>0</v>
      </c>
      <c r="AF165" s="210">
        <v>444021.68999999994</v>
      </c>
      <c r="AG165" s="210">
        <v>42234.35</v>
      </c>
      <c r="AH165" s="210">
        <v>76444.070000000007</v>
      </c>
      <c r="AI165" s="210">
        <v>0</v>
      </c>
      <c r="AJ165" s="210">
        <v>92770.459999999992</v>
      </c>
      <c r="AK165" s="210">
        <v>5358.01</v>
      </c>
      <c r="AL165" s="210">
        <v>4169</v>
      </c>
      <c r="AM165" s="210">
        <v>735.05</v>
      </c>
      <c r="AN165" s="210">
        <v>0</v>
      </c>
      <c r="AO165" s="210">
        <v>23768.27</v>
      </c>
      <c r="AP165" s="210">
        <v>3895.6900000000005</v>
      </c>
      <c r="AQ165" s="210">
        <v>30419.62</v>
      </c>
      <c r="AR165" s="210">
        <v>4949.5499999999993</v>
      </c>
      <c r="AS165" s="210">
        <v>25635.660000000003</v>
      </c>
      <c r="AT165" s="210">
        <v>41030.120000000003</v>
      </c>
      <c r="AU165" s="210">
        <v>3432.6899999999996</v>
      </c>
      <c r="AV165" s="210">
        <v>50242.729999999996</v>
      </c>
      <c r="AW165" s="312">
        <v>0</v>
      </c>
      <c r="AX165" s="210">
        <v>2561.5700000000002</v>
      </c>
      <c r="AY165" s="210">
        <v>0</v>
      </c>
      <c r="AZ165" s="210">
        <v>7181.08</v>
      </c>
      <c r="BA165" s="210">
        <v>6534.3500000000013</v>
      </c>
      <c r="BB165" s="210">
        <v>319.99</v>
      </c>
      <c r="BC165" s="210">
        <v>0</v>
      </c>
      <c r="BD165" s="210">
        <v>10164.83</v>
      </c>
      <c r="BE165" s="210">
        <v>0</v>
      </c>
      <c r="BF165" s="210">
        <v>2854.3700000000003</v>
      </c>
      <c r="BG165" s="210">
        <v>13435.27</v>
      </c>
      <c r="BH165" s="210">
        <v>0</v>
      </c>
      <c r="BI165" s="210">
        <v>83507.919999999984</v>
      </c>
      <c r="BJ165" s="210">
        <v>358</v>
      </c>
      <c r="BK165" s="210">
        <v>23562.69</v>
      </c>
      <c r="BL165" s="210">
        <v>12054.51</v>
      </c>
      <c r="BM165" s="210">
        <v>0</v>
      </c>
      <c r="BN165" s="210">
        <v>1925.5</v>
      </c>
      <c r="BO165" s="210">
        <v>46602.939999999988</v>
      </c>
      <c r="BP165" s="210">
        <v>4779.55</v>
      </c>
      <c r="BQ165" s="211">
        <v>-6705.63</v>
      </c>
      <c r="BR165" s="211">
        <v>0</v>
      </c>
      <c r="BS165" s="211">
        <v>-1925.5</v>
      </c>
      <c r="BT165" s="212">
        <v>0</v>
      </c>
      <c r="BU165" s="212">
        <v>6664.46</v>
      </c>
      <c r="BV165" s="212">
        <v>0</v>
      </c>
      <c r="BW165" s="212">
        <v>0</v>
      </c>
      <c r="BX165" s="212">
        <v>0</v>
      </c>
      <c r="BY165" s="212">
        <v>0</v>
      </c>
      <c r="BZ165" s="212">
        <v>0</v>
      </c>
      <c r="CA165" s="212">
        <v>1511.99</v>
      </c>
      <c r="CB165" s="212">
        <v>1925.5</v>
      </c>
      <c r="CC165" s="224">
        <v>-121413.5400000001</v>
      </c>
      <c r="CD165" s="213"/>
      <c r="CE165" s="211">
        <v>119910.32000000033</v>
      </c>
      <c r="CF165" s="211">
        <v>0</v>
      </c>
      <c r="CG165" s="211">
        <v>0</v>
      </c>
      <c r="CH165" s="211">
        <v>1503.2200000000007</v>
      </c>
      <c r="CI165" s="211">
        <v>0</v>
      </c>
      <c r="CJ165" s="211">
        <v>0</v>
      </c>
      <c r="CK165" s="211">
        <v>121413.54000000033</v>
      </c>
      <c r="CL165" s="201"/>
      <c r="CM165" s="201">
        <f t="shared" si="40"/>
        <v>2.3283064365386963E-10</v>
      </c>
      <c r="CN165" s="340">
        <f t="shared" si="48"/>
        <v>119910.32000000033</v>
      </c>
      <c r="CO165" s="340">
        <f t="shared" si="49"/>
        <v>0</v>
      </c>
      <c r="CP165" s="340">
        <f t="shared" si="50"/>
        <v>0</v>
      </c>
      <c r="CQ165" s="340">
        <f t="shared" si="51"/>
        <v>1503.2200000000007</v>
      </c>
      <c r="CR165" s="340">
        <f t="shared" si="52"/>
        <v>0</v>
      </c>
      <c r="CS165" s="340">
        <f t="shared" si="53"/>
        <v>0</v>
      </c>
      <c r="CT165" s="90">
        <f t="shared" si="32"/>
        <v>121413.54000000033</v>
      </c>
      <c r="CV165" s="90">
        <f t="shared" si="47"/>
        <v>0</v>
      </c>
    </row>
    <row r="166" spans="1:100">
      <c r="A166" s="325">
        <v>925</v>
      </c>
      <c r="B166" s="325" t="s">
        <v>202</v>
      </c>
      <c r="C166" s="209">
        <v>-108913.51000000001</v>
      </c>
      <c r="D166" s="209">
        <v>-393.76</v>
      </c>
      <c r="E166" s="209">
        <v>0</v>
      </c>
      <c r="F166" s="209">
        <v>0</v>
      </c>
      <c r="G166" s="209">
        <v>0</v>
      </c>
      <c r="H166" s="209">
        <v>0</v>
      </c>
      <c r="I166" s="223">
        <v>-1283971</v>
      </c>
      <c r="J166" s="223">
        <v>0</v>
      </c>
      <c r="K166" s="223">
        <v>-53787</v>
      </c>
      <c r="L166" s="223">
        <v>0</v>
      </c>
      <c r="M166" s="223">
        <v>-25180</v>
      </c>
      <c r="N166" s="223">
        <v>0</v>
      </c>
      <c r="O166" s="223">
        <v>0</v>
      </c>
      <c r="P166" s="223">
        <v>-3549.47</v>
      </c>
      <c r="Q166" s="223">
        <v>-91111.87999999999</v>
      </c>
      <c r="R166" s="223">
        <v>0</v>
      </c>
      <c r="S166" s="223">
        <v>0</v>
      </c>
      <c r="T166" s="223">
        <v>0</v>
      </c>
      <c r="U166" s="223">
        <v>-3539.43</v>
      </c>
      <c r="V166" s="223">
        <v>-1572.4300000000007</v>
      </c>
      <c r="W166" s="223">
        <v>0</v>
      </c>
      <c r="X166" s="223">
        <v>0</v>
      </c>
      <c r="Y166" s="223">
        <v>0</v>
      </c>
      <c r="Z166" s="223">
        <v>0</v>
      </c>
      <c r="AA166" s="223">
        <v>0</v>
      </c>
      <c r="AB166" s="223">
        <v>-106.25</v>
      </c>
      <c r="AC166" s="223">
        <v>-128616</v>
      </c>
      <c r="AD166" s="210">
        <v>815689.85999999987</v>
      </c>
      <c r="AE166" s="210">
        <v>9263.619999999999</v>
      </c>
      <c r="AF166" s="210">
        <v>287069.40000000002</v>
      </c>
      <c r="AG166" s="210">
        <v>27915.32</v>
      </c>
      <c r="AH166" s="210">
        <v>62846.17</v>
      </c>
      <c r="AI166" s="210">
        <v>0</v>
      </c>
      <c r="AJ166" s="210">
        <v>84883.010000000009</v>
      </c>
      <c r="AK166" s="210">
        <v>4734.5</v>
      </c>
      <c r="AL166" s="210">
        <v>10312.5</v>
      </c>
      <c r="AM166" s="210">
        <v>805.2</v>
      </c>
      <c r="AN166" s="210">
        <v>0</v>
      </c>
      <c r="AO166" s="210">
        <v>10656.039999999999</v>
      </c>
      <c r="AP166" s="210">
        <v>250</v>
      </c>
      <c r="AQ166" s="210">
        <v>23363.789999999997</v>
      </c>
      <c r="AR166" s="210">
        <v>5105.0999999999995</v>
      </c>
      <c r="AS166" s="210">
        <v>14406.25</v>
      </c>
      <c r="AT166" s="210">
        <v>0</v>
      </c>
      <c r="AU166" s="210">
        <v>2406.7599999999998</v>
      </c>
      <c r="AV166" s="210">
        <v>35580.760000000024</v>
      </c>
      <c r="AW166" s="312">
        <v>0</v>
      </c>
      <c r="AX166" s="210">
        <v>3812.4900000000002</v>
      </c>
      <c r="AY166" s="210">
        <v>0</v>
      </c>
      <c r="AZ166" s="210">
        <v>964</v>
      </c>
      <c r="BA166" s="210">
        <v>0</v>
      </c>
      <c r="BB166" s="210">
        <v>31.830000000000002</v>
      </c>
      <c r="BC166" s="210">
        <v>0</v>
      </c>
      <c r="BD166" s="210">
        <v>2640</v>
      </c>
      <c r="BE166" s="210">
        <v>0</v>
      </c>
      <c r="BF166" s="210">
        <v>5534.5199999999995</v>
      </c>
      <c r="BG166" s="210">
        <v>13830.960000000001</v>
      </c>
      <c r="BH166" s="210">
        <v>0</v>
      </c>
      <c r="BI166" s="210">
        <v>123225.68000000001</v>
      </c>
      <c r="BJ166" s="210">
        <v>0</v>
      </c>
      <c r="BK166" s="210">
        <v>1207</v>
      </c>
      <c r="BL166" s="210">
        <v>16184.710000000001</v>
      </c>
      <c r="BM166" s="210">
        <v>0</v>
      </c>
      <c r="BN166" s="210">
        <v>0</v>
      </c>
      <c r="BO166" s="210">
        <v>0</v>
      </c>
      <c r="BP166" s="210">
        <v>0</v>
      </c>
      <c r="BQ166" s="211">
        <v>-7026.25</v>
      </c>
      <c r="BR166" s="211">
        <v>0</v>
      </c>
      <c r="BS166" s="211">
        <v>0</v>
      </c>
      <c r="BT166" s="212">
        <v>0</v>
      </c>
      <c r="BU166" s="212">
        <v>13247.75</v>
      </c>
      <c r="BV166" s="212">
        <v>0</v>
      </c>
      <c r="BW166" s="212">
        <v>0</v>
      </c>
      <c r="BX166" s="212">
        <v>0</v>
      </c>
      <c r="BY166" s="212">
        <v>0</v>
      </c>
      <c r="BZ166" s="212">
        <v>0</v>
      </c>
      <c r="CA166" s="212">
        <v>0</v>
      </c>
      <c r="CB166" s="212">
        <v>0</v>
      </c>
      <c r="CC166" s="224">
        <v>-131799.75999999992</v>
      </c>
      <c r="CD166" s="213"/>
      <c r="CE166" s="211">
        <v>131799.76000000024</v>
      </c>
      <c r="CF166" s="211">
        <v>0</v>
      </c>
      <c r="CG166" s="211">
        <v>0</v>
      </c>
      <c r="CH166" s="211">
        <v>0</v>
      </c>
      <c r="CI166" s="211">
        <v>0</v>
      </c>
      <c r="CJ166" s="211">
        <v>0</v>
      </c>
      <c r="CK166" s="211">
        <v>131799.76000000024</v>
      </c>
      <c r="CL166" s="201"/>
      <c r="CM166" s="201">
        <f t="shared" si="40"/>
        <v>3.2014213502407074E-10</v>
      </c>
      <c r="CN166" s="340">
        <f t="shared" si="48"/>
        <v>131799.76000000024</v>
      </c>
      <c r="CO166" s="340">
        <f t="shared" si="49"/>
        <v>0</v>
      </c>
      <c r="CP166" s="340">
        <f t="shared" si="50"/>
        <v>0</v>
      </c>
      <c r="CQ166" s="340">
        <f t="shared" si="51"/>
        <v>0</v>
      </c>
      <c r="CR166" s="340">
        <f t="shared" si="52"/>
        <v>0</v>
      </c>
      <c r="CS166" s="340">
        <f t="shared" si="53"/>
        <v>0</v>
      </c>
      <c r="CT166" s="90">
        <f t="shared" si="32"/>
        <v>131799.76000000024</v>
      </c>
      <c r="CV166" s="90">
        <f t="shared" si="47"/>
        <v>0</v>
      </c>
    </row>
    <row r="167" spans="1:100">
      <c r="A167" s="325">
        <v>926</v>
      </c>
      <c r="B167" s="325" t="s">
        <v>267</v>
      </c>
      <c r="C167" s="209">
        <v>-1336.03</v>
      </c>
      <c r="D167" s="209">
        <v>-15063.1</v>
      </c>
      <c r="E167" s="209">
        <v>0</v>
      </c>
      <c r="F167" s="209">
        <v>-4769.8900000000003</v>
      </c>
      <c r="G167" s="209">
        <v>0</v>
      </c>
      <c r="H167" s="209">
        <v>0</v>
      </c>
      <c r="I167" s="223">
        <v>-1782972</v>
      </c>
      <c r="J167" s="223">
        <v>0</v>
      </c>
      <c r="K167" s="223">
        <v>-140307</v>
      </c>
      <c r="L167" s="223">
        <v>0</v>
      </c>
      <c r="M167" s="223">
        <v>-59654</v>
      </c>
      <c r="N167" s="223">
        <v>0</v>
      </c>
      <c r="O167" s="223">
        <v>-900</v>
      </c>
      <c r="P167" s="223">
        <v>-6250</v>
      </c>
      <c r="Q167" s="223">
        <v>-88872.91</v>
      </c>
      <c r="R167" s="223">
        <v>-3761.64</v>
      </c>
      <c r="S167" s="223">
        <v>-2080</v>
      </c>
      <c r="T167" s="223">
        <v>0</v>
      </c>
      <c r="U167" s="223">
        <v>-50782.42</v>
      </c>
      <c r="V167" s="223">
        <v>-11405.84</v>
      </c>
      <c r="W167" s="223">
        <v>0</v>
      </c>
      <c r="X167" s="223">
        <v>0</v>
      </c>
      <c r="Y167" s="223">
        <v>0</v>
      </c>
      <c r="Z167" s="223">
        <v>0</v>
      </c>
      <c r="AA167" s="223">
        <v>0</v>
      </c>
      <c r="AB167" s="223">
        <v>509.36999999999989</v>
      </c>
      <c r="AC167" s="223">
        <v>-19593</v>
      </c>
      <c r="AD167" s="210">
        <v>1078564.79</v>
      </c>
      <c r="AE167" s="210">
        <v>17388.43</v>
      </c>
      <c r="AF167" s="210">
        <v>539627.29999999993</v>
      </c>
      <c r="AG167" s="210">
        <v>21310.19</v>
      </c>
      <c r="AH167" s="210">
        <v>83763.899999999994</v>
      </c>
      <c r="AI167" s="210">
        <v>0</v>
      </c>
      <c r="AJ167" s="210">
        <v>28384.71</v>
      </c>
      <c r="AK167" s="210">
        <v>5750</v>
      </c>
      <c r="AL167" s="210">
        <v>4064</v>
      </c>
      <c r="AM167" s="210">
        <v>8405.880000000001</v>
      </c>
      <c r="AN167" s="210">
        <v>1827</v>
      </c>
      <c r="AO167" s="210">
        <v>16397.39</v>
      </c>
      <c r="AP167" s="210">
        <v>545</v>
      </c>
      <c r="AQ167" s="210">
        <v>30897.709999999995</v>
      </c>
      <c r="AR167" s="210">
        <v>11573.33</v>
      </c>
      <c r="AS167" s="210">
        <v>27556.380000000008</v>
      </c>
      <c r="AT167" s="210">
        <v>31128</v>
      </c>
      <c r="AU167" s="210">
        <v>4712.6400000000012</v>
      </c>
      <c r="AV167" s="210">
        <v>100071.10000000003</v>
      </c>
      <c r="AW167" s="312">
        <v>0</v>
      </c>
      <c r="AX167" s="210">
        <v>0</v>
      </c>
      <c r="AY167" s="210">
        <v>2373.92</v>
      </c>
      <c r="AZ167" s="210">
        <v>1781.5</v>
      </c>
      <c r="BA167" s="210">
        <v>895</v>
      </c>
      <c r="BB167" s="210">
        <v>2657.1</v>
      </c>
      <c r="BC167" s="210">
        <v>3824.3</v>
      </c>
      <c r="BD167" s="210">
        <v>5600</v>
      </c>
      <c r="BE167" s="210">
        <v>0</v>
      </c>
      <c r="BF167" s="210">
        <v>8875.98</v>
      </c>
      <c r="BG167" s="210">
        <v>18860.400000000001</v>
      </c>
      <c r="BH167" s="210">
        <v>0</v>
      </c>
      <c r="BI167" s="210">
        <v>21209.27</v>
      </c>
      <c r="BJ167" s="210">
        <v>21858</v>
      </c>
      <c r="BK167" s="210">
        <v>27260.71</v>
      </c>
      <c r="BL167" s="210">
        <v>25064.66</v>
      </c>
      <c r="BM167" s="210">
        <v>0</v>
      </c>
      <c r="BN167" s="210">
        <v>0</v>
      </c>
      <c r="BO167" s="210">
        <v>0</v>
      </c>
      <c r="BP167" s="210">
        <v>0</v>
      </c>
      <c r="BQ167" s="211">
        <v>-8061.25</v>
      </c>
      <c r="BR167" s="211">
        <v>0</v>
      </c>
      <c r="BS167" s="211">
        <v>0</v>
      </c>
      <c r="BT167" s="212">
        <v>0</v>
      </c>
      <c r="BU167" s="212">
        <v>-125</v>
      </c>
      <c r="BV167" s="212">
        <v>0</v>
      </c>
      <c r="BW167" s="212">
        <v>0</v>
      </c>
      <c r="BX167" s="212">
        <v>0</v>
      </c>
      <c r="BY167" s="212">
        <v>0</v>
      </c>
      <c r="BZ167" s="212">
        <v>0</v>
      </c>
      <c r="CA167" s="212">
        <v>1093</v>
      </c>
      <c r="CB167" s="212">
        <v>0</v>
      </c>
      <c r="CC167" s="224">
        <v>-42103.119999999952</v>
      </c>
      <c r="CD167" s="213"/>
      <c r="CE167" s="211">
        <v>20303.169999999929</v>
      </c>
      <c r="CF167" s="211">
        <v>12507.880000000001</v>
      </c>
      <c r="CG167" s="211">
        <v>0</v>
      </c>
      <c r="CH167" s="211">
        <v>9292.07</v>
      </c>
      <c r="CI167" s="211">
        <v>0</v>
      </c>
      <c r="CJ167" s="211">
        <v>0</v>
      </c>
      <c r="CK167" s="211">
        <v>42103.11999999993</v>
      </c>
      <c r="CL167" s="201"/>
      <c r="CM167" s="201">
        <f t="shared" si="40"/>
        <v>0</v>
      </c>
      <c r="CN167" s="340">
        <f t="shared" si="48"/>
        <v>20303.169999999929</v>
      </c>
      <c r="CO167" s="340">
        <f t="shared" si="49"/>
        <v>12507.880000000001</v>
      </c>
      <c r="CP167" s="340">
        <f t="shared" si="50"/>
        <v>0</v>
      </c>
      <c r="CQ167" s="340">
        <f t="shared" si="51"/>
        <v>9292.07</v>
      </c>
      <c r="CR167" s="340">
        <f t="shared" si="52"/>
        <v>0</v>
      </c>
      <c r="CS167" s="340">
        <f t="shared" si="53"/>
        <v>0</v>
      </c>
      <c r="CT167" s="90">
        <f t="shared" si="32"/>
        <v>42103.11999999993</v>
      </c>
      <c r="CV167" s="90">
        <f t="shared" si="47"/>
        <v>0</v>
      </c>
    </row>
    <row r="168" spans="1:100">
      <c r="A168" s="325">
        <v>928</v>
      </c>
      <c r="B168" s="325" t="s">
        <v>414</v>
      </c>
      <c r="C168" s="209">
        <v>-76420.39</v>
      </c>
      <c r="D168" s="209">
        <v>-7416.03</v>
      </c>
      <c r="E168" s="209">
        <v>0</v>
      </c>
      <c r="F168" s="209">
        <v>-23583.87</v>
      </c>
      <c r="G168" s="209">
        <v>0</v>
      </c>
      <c r="H168" s="209">
        <v>0</v>
      </c>
      <c r="I168" s="223">
        <v>-3120823.14</v>
      </c>
      <c r="J168" s="223">
        <v>0</v>
      </c>
      <c r="K168" s="223">
        <v>-99076</v>
      </c>
      <c r="L168" s="223">
        <v>0</v>
      </c>
      <c r="M168" s="223">
        <v>-142140</v>
      </c>
      <c r="N168" s="223">
        <v>-3656.93</v>
      </c>
      <c r="O168" s="223">
        <v>-7000</v>
      </c>
      <c r="P168" s="223">
        <v>-17227.5</v>
      </c>
      <c r="Q168" s="223">
        <v>-18012.240000000002</v>
      </c>
      <c r="R168" s="223">
        <v>-1857.24</v>
      </c>
      <c r="S168" s="223">
        <v>0</v>
      </c>
      <c r="T168" s="223">
        <v>-1969.95</v>
      </c>
      <c r="U168" s="223">
        <v>-57143.520000000004</v>
      </c>
      <c r="V168" s="223">
        <v>-23860.769999999971</v>
      </c>
      <c r="W168" s="223">
        <v>0</v>
      </c>
      <c r="X168" s="223">
        <v>0</v>
      </c>
      <c r="Y168" s="223">
        <v>0</v>
      </c>
      <c r="Z168" s="223">
        <v>0</v>
      </c>
      <c r="AA168" s="223">
        <v>0</v>
      </c>
      <c r="AB168" s="223">
        <v>-5576.75</v>
      </c>
      <c r="AC168" s="223">
        <v>-123863</v>
      </c>
      <c r="AD168" s="210">
        <v>1936235.37</v>
      </c>
      <c r="AE168" s="210">
        <v>43991.78</v>
      </c>
      <c r="AF168" s="210">
        <v>695356.00999999989</v>
      </c>
      <c r="AG168" s="210">
        <v>144313.66</v>
      </c>
      <c r="AH168" s="210">
        <v>140000.97000000003</v>
      </c>
      <c r="AI168" s="210">
        <v>0</v>
      </c>
      <c r="AJ168" s="210">
        <v>95160.540000000008</v>
      </c>
      <c r="AK168" s="210">
        <v>11338.26</v>
      </c>
      <c r="AL168" s="210">
        <v>7236.25</v>
      </c>
      <c r="AM168" s="210">
        <v>1918.45</v>
      </c>
      <c r="AN168" s="210">
        <v>0</v>
      </c>
      <c r="AO168" s="210">
        <v>27786.329999999998</v>
      </c>
      <c r="AP168" s="210">
        <v>9358.0599999999977</v>
      </c>
      <c r="AQ168" s="210">
        <v>9244.2699999999968</v>
      </c>
      <c r="AR168" s="210">
        <v>8785</v>
      </c>
      <c r="AS168" s="210">
        <v>63581.049999999981</v>
      </c>
      <c r="AT168" s="210">
        <v>62889.14</v>
      </c>
      <c r="AU168" s="210">
        <v>9376.19</v>
      </c>
      <c r="AV168" s="210">
        <v>165207.01999999996</v>
      </c>
      <c r="AW168" s="312">
        <v>9.0949470177292824E-13</v>
      </c>
      <c r="AX168" s="210">
        <v>2587.3000000000002</v>
      </c>
      <c r="AY168" s="210">
        <v>0</v>
      </c>
      <c r="AZ168" s="210">
        <v>12495.99</v>
      </c>
      <c r="BA168" s="210">
        <v>6824.12</v>
      </c>
      <c r="BB168" s="210">
        <v>4676</v>
      </c>
      <c r="BC168" s="210">
        <v>0</v>
      </c>
      <c r="BD168" s="210">
        <v>10600</v>
      </c>
      <c r="BE168" s="210">
        <v>0</v>
      </c>
      <c r="BF168" s="210">
        <v>17305.21</v>
      </c>
      <c r="BG168" s="210">
        <v>32953.31</v>
      </c>
      <c r="BH168" s="210">
        <v>0</v>
      </c>
      <c r="BI168" s="210">
        <v>153537.77000000002</v>
      </c>
      <c r="BJ168" s="210">
        <v>6052</v>
      </c>
      <c r="BK168" s="210">
        <v>2006</v>
      </c>
      <c r="BL168" s="210">
        <v>26036.309999999983</v>
      </c>
      <c r="BM168" s="210">
        <v>0</v>
      </c>
      <c r="BN168" s="210">
        <v>0</v>
      </c>
      <c r="BO168" s="210">
        <v>0</v>
      </c>
      <c r="BP168" s="210">
        <v>0</v>
      </c>
      <c r="BQ168" s="211">
        <v>-11025.63</v>
      </c>
      <c r="BR168" s="211">
        <v>0</v>
      </c>
      <c r="BS168" s="211">
        <v>0</v>
      </c>
      <c r="BT168" s="212">
        <v>0</v>
      </c>
      <c r="BU168" s="212">
        <v>20062.190000000002</v>
      </c>
      <c r="BV168" s="212">
        <v>0</v>
      </c>
      <c r="BW168" s="212">
        <v>0</v>
      </c>
      <c r="BX168" s="212">
        <v>0</v>
      </c>
      <c r="BY168" s="212">
        <v>0</v>
      </c>
      <c r="BZ168" s="212">
        <v>0</v>
      </c>
      <c r="CA168" s="212">
        <v>0</v>
      </c>
      <c r="CB168" s="212">
        <v>0</v>
      </c>
      <c r="CC168" s="224">
        <v>-13738.410000000942</v>
      </c>
      <c r="CD168" s="213"/>
      <c r="CE168" s="211">
        <v>-8583.9000000002998</v>
      </c>
      <c r="CF168" s="211">
        <v>7775</v>
      </c>
      <c r="CG168" s="211">
        <v>0</v>
      </c>
      <c r="CH168" s="211">
        <v>14547.309999999996</v>
      </c>
      <c r="CI168" s="211">
        <v>0</v>
      </c>
      <c r="CJ168" s="211">
        <v>0</v>
      </c>
      <c r="CK168" s="211">
        <v>13738.409999999696</v>
      </c>
      <c r="CL168" s="201"/>
      <c r="CM168" s="201">
        <f t="shared" si="40"/>
        <v>-1.2460077414289117E-9</v>
      </c>
      <c r="CN168" s="340">
        <f t="shared" si="48"/>
        <v>-8583.9000000002998</v>
      </c>
      <c r="CO168" s="340">
        <f t="shared" si="49"/>
        <v>7775</v>
      </c>
      <c r="CP168" s="340">
        <f t="shared" si="50"/>
        <v>0</v>
      </c>
      <c r="CQ168" s="340">
        <f t="shared" si="51"/>
        <v>14547.309999999996</v>
      </c>
      <c r="CR168" s="340">
        <f t="shared" si="52"/>
        <v>0</v>
      </c>
      <c r="CS168" s="340">
        <f t="shared" si="53"/>
        <v>0</v>
      </c>
      <c r="CT168" s="90">
        <f t="shared" si="32"/>
        <v>13738.409999999696</v>
      </c>
      <c r="CV168" s="90">
        <f t="shared" si="47"/>
        <v>0</v>
      </c>
    </row>
    <row r="169" spans="1:100">
      <c r="A169" s="325">
        <v>929</v>
      </c>
      <c r="B169" s="325" t="s">
        <v>415</v>
      </c>
      <c r="C169" s="209">
        <v>-121907.98</v>
      </c>
      <c r="D169" s="209">
        <v>-50222.83</v>
      </c>
      <c r="E169" s="209">
        <v>0</v>
      </c>
      <c r="F169" s="209">
        <v>-4987.34</v>
      </c>
      <c r="G169" s="209">
        <v>0</v>
      </c>
      <c r="H169" s="209">
        <v>0</v>
      </c>
      <c r="I169" s="223">
        <v>-2159147.86</v>
      </c>
      <c r="J169" s="223">
        <v>0</v>
      </c>
      <c r="K169" s="223">
        <v>-298822</v>
      </c>
      <c r="L169" s="223">
        <v>0</v>
      </c>
      <c r="M169" s="223">
        <v>-235215.76</v>
      </c>
      <c r="N169" s="223">
        <v>-400</v>
      </c>
      <c r="O169" s="223">
        <v>0</v>
      </c>
      <c r="P169" s="223">
        <v>-2100</v>
      </c>
      <c r="Q169" s="223">
        <v>-41418</v>
      </c>
      <c r="R169" s="223">
        <v>0</v>
      </c>
      <c r="S169" s="223">
        <v>0</v>
      </c>
      <c r="T169" s="223">
        <v>0</v>
      </c>
      <c r="U169" s="223">
        <v>-28698.299999999988</v>
      </c>
      <c r="V169" s="223">
        <v>-6342.22</v>
      </c>
      <c r="W169" s="223">
        <v>0</v>
      </c>
      <c r="X169" s="223">
        <v>0</v>
      </c>
      <c r="Y169" s="223">
        <v>0</v>
      </c>
      <c r="Z169" s="223">
        <v>0</v>
      </c>
      <c r="AA169" s="223">
        <v>0</v>
      </c>
      <c r="AB169" s="223">
        <v>-13676.380000000001</v>
      </c>
      <c r="AC169" s="223">
        <v>-66111</v>
      </c>
      <c r="AD169" s="210">
        <v>1330785.5599999998</v>
      </c>
      <c r="AE169" s="210">
        <v>0</v>
      </c>
      <c r="AF169" s="210">
        <v>760902.38000000012</v>
      </c>
      <c r="AG169" s="210">
        <v>64919.76</v>
      </c>
      <c r="AH169" s="210">
        <v>125717.45000000001</v>
      </c>
      <c r="AI169" s="210">
        <v>0</v>
      </c>
      <c r="AJ169" s="210">
        <v>55010.31</v>
      </c>
      <c r="AK169" s="210">
        <v>368.54</v>
      </c>
      <c r="AL169" s="210">
        <v>7375</v>
      </c>
      <c r="AM169" s="210">
        <v>1165.0999999999999</v>
      </c>
      <c r="AN169" s="210">
        <v>0</v>
      </c>
      <c r="AO169" s="210">
        <v>14583.79</v>
      </c>
      <c r="AP169" s="210">
        <v>5513.5199999999995</v>
      </c>
      <c r="AQ169" s="210">
        <v>42322.209999999992</v>
      </c>
      <c r="AR169" s="210">
        <v>3889.02</v>
      </c>
      <c r="AS169" s="210">
        <v>36664.590000000004</v>
      </c>
      <c r="AT169" s="210">
        <v>5595.34</v>
      </c>
      <c r="AU169" s="210">
        <v>10166.949999999997</v>
      </c>
      <c r="AV169" s="210">
        <v>118349.79999999999</v>
      </c>
      <c r="AW169" s="312">
        <v>787.6</v>
      </c>
      <c r="AX169" s="210">
        <v>4982.32</v>
      </c>
      <c r="AY169" s="210">
        <v>0</v>
      </c>
      <c r="AZ169" s="210">
        <v>0</v>
      </c>
      <c r="BA169" s="210">
        <v>166.09</v>
      </c>
      <c r="BB169" s="210">
        <v>0</v>
      </c>
      <c r="BC169" s="210">
        <v>3066</v>
      </c>
      <c r="BD169" s="210">
        <v>3600</v>
      </c>
      <c r="BE169" s="210">
        <v>0</v>
      </c>
      <c r="BF169" s="210">
        <v>12486.909999999998</v>
      </c>
      <c r="BG169" s="210">
        <v>21631.54</v>
      </c>
      <c r="BH169" s="210">
        <v>0</v>
      </c>
      <c r="BI169" s="210">
        <v>94146.34000000004</v>
      </c>
      <c r="BJ169" s="210">
        <v>3401</v>
      </c>
      <c r="BK169" s="210">
        <v>45527.25</v>
      </c>
      <c r="BL169" s="210">
        <v>32238.549999999985</v>
      </c>
      <c r="BM169" s="210">
        <v>0</v>
      </c>
      <c r="BN169" s="210">
        <v>0</v>
      </c>
      <c r="BO169" s="210">
        <v>0</v>
      </c>
      <c r="BP169" s="210">
        <v>0</v>
      </c>
      <c r="BQ169" s="211">
        <v>-8325.6299999999992</v>
      </c>
      <c r="BR169" s="211">
        <v>0</v>
      </c>
      <c r="BS169" s="211">
        <v>0</v>
      </c>
      <c r="BT169" s="212">
        <v>0</v>
      </c>
      <c r="BU169" s="212">
        <v>6794.3799999999992</v>
      </c>
      <c r="BV169" s="212">
        <v>3427.1400000000003</v>
      </c>
      <c r="BW169" s="212">
        <v>0</v>
      </c>
      <c r="BX169" s="212">
        <v>0</v>
      </c>
      <c r="BY169" s="212">
        <v>0</v>
      </c>
      <c r="BZ169" s="212">
        <v>0</v>
      </c>
      <c r="CA169" s="212">
        <v>0</v>
      </c>
      <c r="CB169" s="212">
        <v>0</v>
      </c>
      <c r="CC169" s="224">
        <v>-221790.85999999958</v>
      </c>
      <c r="CD169" s="213"/>
      <c r="CE169" s="211">
        <v>186165.41000000009</v>
      </c>
      <c r="CF169" s="211">
        <v>32534</v>
      </c>
      <c r="CG169" s="211">
        <v>0</v>
      </c>
      <c r="CH169" s="211">
        <v>3091.4499999999989</v>
      </c>
      <c r="CI169" s="211">
        <v>0</v>
      </c>
      <c r="CJ169" s="211">
        <v>0</v>
      </c>
      <c r="CK169" s="211">
        <v>221790.8600000001</v>
      </c>
      <c r="CL169" s="201"/>
      <c r="CM169" s="201">
        <f t="shared" si="40"/>
        <v>5.2386894822120667E-10</v>
      </c>
      <c r="CN169" s="340">
        <f t="shared" si="48"/>
        <v>186165.41000000009</v>
      </c>
      <c r="CO169" s="340">
        <f t="shared" si="49"/>
        <v>32534</v>
      </c>
      <c r="CP169" s="340">
        <f t="shared" si="50"/>
        <v>0</v>
      </c>
      <c r="CQ169" s="340">
        <f t="shared" si="51"/>
        <v>3091.4499999999989</v>
      </c>
      <c r="CR169" s="340">
        <f t="shared" si="52"/>
        <v>0</v>
      </c>
      <c r="CS169" s="340">
        <f t="shared" si="53"/>
        <v>0</v>
      </c>
      <c r="CT169" s="90">
        <f t="shared" si="32"/>
        <v>221790.8600000001</v>
      </c>
      <c r="CV169" s="90">
        <f t="shared" si="47"/>
        <v>0</v>
      </c>
    </row>
    <row r="170" spans="1:100">
      <c r="A170" s="325">
        <v>933</v>
      </c>
      <c r="B170" s="325" t="s">
        <v>223</v>
      </c>
      <c r="C170" s="209">
        <v>-166624.95999999999</v>
      </c>
      <c r="D170" s="209">
        <v>-15114.84</v>
      </c>
      <c r="E170" s="209">
        <v>0</v>
      </c>
      <c r="F170" s="209">
        <v>-24572.07</v>
      </c>
      <c r="G170" s="209">
        <v>0</v>
      </c>
      <c r="H170" s="209">
        <v>0</v>
      </c>
      <c r="I170" s="223">
        <v>-1288453.3</v>
      </c>
      <c r="J170" s="223">
        <v>0</v>
      </c>
      <c r="K170" s="223">
        <v>-27135</v>
      </c>
      <c r="L170" s="223">
        <v>0</v>
      </c>
      <c r="M170" s="223">
        <v>-70160</v>
      </c>
      <c r="N170" s="223">
        <v>-6228.22</v>
      </c>
      <c r="O170" s="223">
        <v>0</v>
      </c>
      <c r="P170" s="223">
        <v>0</v>
      </c>
      <c r="Q170" s="223">
        <v>-17136.52</v>
      </c>
      <c r="R170" s="223">
        <v>0</v>
      </c>
      <c r="S170" s="223">
        <v>0</v>
      </c>
      <c r="T170" s="223">
        <v>0</v>
      </c>
      <c r="U170" s="223">
        <v>-4132.1000000000004</v>
      </c>
      <c r="V170" s="223">
        <v>0</v>
      </c>
      <c r="W170" s="223">
        <v>0</v>
      </c>
      <c r="X170" s="223">
        <v>0</v>
      </c>
      <c r="Y170" s="223">
        <v>0</v>
      </c>
      <c r="Z170" s="223">
        <v>0</v>
      </c>
      <c r="AA170" s="223">
        <v>0</v>
      </c>
      <c r="AB170" s="223">
        <v>-256.25</v>
      </c>
      <c r="AC170" s="223">
        <v>-96206</v>
      </c>
      <c r="AD170" s="210">
        <v>748234.38</v>
      </c>
      <c r="AE170" s="210">
        <v>5632.5999999999985</v>
      </c>
      <c r="AF170" s="210">
        <v>327563.71999999997</v>
      </c>
      <c r="AG170" s="210">
        <v>61858.850000000006</v>
      </c>
      <c r="AH170" s="210">
        <v>55566.650000000009</v>
      </c>
      <c r="AI170" s="210">
        <v>0</v>
      </c>
      <c r="AJ170" s="210">
        <v>37396.080000000002</v>
      </c>
      <c r="AK170" s="210">
        <v>4561</v>
      </c>
      <c r="AL170" s="210">
        <v>3185.67</v>
      </c>
      <c r="AM170" s="210">
        <v>759.45</v>
      </c>
      <c r="AN170" s="210">
        <v>0</v>
      </c>
      <c r="AO170" s="210">
        <v>6113.17</v>
      </c>
      <c r="AP170" s="210">
        <v>2377.6800000000003</v>
      </c>
      <c r="AQ170" s="210">
        <v>2325.9099999999994</v>
      </c>
      <c r="AR170" s="210">
        <v>1283.8800000000001</v>
      </c>
      <c r="AS170" s="210">
        <v>23567.489999999998</v>
      </c>
      <c r="AT170" s="210">
        <v>0</v>
      </c>
      <c r="AU170" s="210">
        <v>2055.54</v>
      </c>
      <c r="AV170" s="210">
        <v>42224.180000000008</v>
      </c>
      <c r="AW170" s="312">
        <v>2116.36</v>
      </c>
      <c r="AX170" s="210">
        <v>0</v>
      </c>
      <c r="AY170" s="210">
        <v>0</v>
      </c>
      <c r="AZ170" s="210">
        <v>833.52</v>
      </c>
      <c r="BA170" s="210">
        <v>0</v>
      </c>
      <c r="BB170" s="210">
        <v>0</v>
      </c>
      <c r="BC170" s="210">
        <v>0</v>
      </c>
      <c r="BD170" s="210">
        <v>5851.5</v>
      </c>
      <c r="BE170" s="210">
        <v>0</v>
      </c>
      <c r="BF170" s="210">
        <v>9540.64</v>
      </c>
      <c r="BG170" s="210">
        <v>13045.11</v>
      </c>
      <c r="BH170" s="210">
        <v>0</v>
      </c>
      <c r="BI170" s="210">
        <v>80262.199999999983</v>
      </c>
      <c r="BJ170" s="210">
        <v>1969</v>
      </c>
      <c r="BK170" s="210">
        <v>21960.58</v>
      </c>
      <c r="BL170" s="210">
        <v>23962.04</v>
      </c>
      <c r="BM170" s="210">
        <v>0</v>
      </c>
      <c r="BN170" s="210">
        <v>0</v>
      </c>
      <c r="BO170" s="210">
        <v>0</v>
      </c>
      <c r="BP170" s="210">
        <v>27.21</v>
      </c>
      <c r="BQ170" s="211">
        <v>-6902.5</v>
      </c>
      <c r="BR170" s="211">
        <v>0</v>
      </c>
      <c r="BS170" s="211">
        <v>0</v>
      </c>
      <c r="BT170" s="212">
        <v>0</v>
      </c>
      <c r="BU170" s="212">
        <v>13909.5</v>
      </c>
      <c r="BV170" s="212">
        <v>0</v>
      </c>
      <c r="BW170" s="212">
        <v>0</v>
      </c>
      <c r="BX170" s="212">
        <v>0</v>
      </c>
      <c r="BY170" s="212">
        <v>0</v>
      </c>
      <c r="BZ170" s="212">
        <v>0</v>
      </c>
      <c r="CA170" s="212">
        <v>0</v>
      </c>
      <c r="CB170" s="212">
        <v>619</v>
      </c>
      <c r="CC170" s="224">
        <v>-224118.85000000015</v>
      </c>
      <c r="CD170" s="213"/>
      <c r="CE170" s="211">
        <v>185083.48000000021</v>
      </c>
      <c r="CF170" s="211">
        <v>22089.300000000003</v>
      </c>
      <c r="CG170" s="211">
        <v>0</v>
      </c>
      <c r="CH170" s="211">
        <v>16946.07</v>
      </c>
      <c r="CI170" s="211">
        <v>0</v>
      </c>
      <c r="CJ170" s="211">
        <v>0</v>
      </c>
      <c r="CK170" s="211">
        <v>224118.85000000021</v>
      </c>
      <c r="CL170" s="201"/>
      <c r="CM170" s="201">
        <f t="shared" si="40"/>
        <v>0</v>
      </c>
      <c r="CN170" s="340">
        <f t="shared" si="48"/>
        <v>185083.48000000021</v>
      </c>
      <c r="CO170" s="340">
        <f t="shared" si="49"/>
        <v>22089.300000000003</v>
      </c>
      <c r="CP170" s="340">
        <f t="shared" si="50"/>
        <v>0</v>
      </c>
      <c r="CQ170" s="340">
        <f t="shared" si="51"/>
        <v>16946.07</v>
      </c>
      <c r="CR170" s="340">
        <f t="shared" si="52"/>
        <v>0</v>
      </c>
      <c r="CS170" s="340">
        <f t="shared" si="53"/>
        <v>0</v>
      </c>
      <c r="CT170" s="90">
        <f t="shared" si="32"/>
        <v>224118.85000000021</v>
      </c>
      <c r="CV170" s="90">
        <f t="shared" si="47"/>
        <v>0</v>
      </c>
    </row>
    <row r="171" spans="1:100">
      <c r="A171" s="325">
        <v>935</v>
      </c>
      <c r="B171" s="325" t="s">
        <v>182</v>
      </c>
      <c r="C171" s="209">
        <v>-10666.46</v>
      </c>
      <c r="D171" s="209">
        <v>0</v>
      </c>
      <c r="E171" s="209">
        <v>54996.33</v>
      </c>
      <c r="F171" s="209">
        <v>-111.13</v>
      </c>
      <c r="G171" s="209">
        <v>0</v>
      </c>
      <c r="H171" s="209">
        <v>2752.06</v>
      </c>
      <c r="I171" s="223">
        <v>-85966.970000000016</v>
      </c>
      <c r="J171" s="223">
        <v>0</v>
      </c>
      <c r="K171" s="223">
        <v>-28484</v>
      </c>
      <c r="L171" s="223">
        <v>0</v>
      </c>
      <c r="M171" s="223">
        <v>0</v>
      </c>
      <c r="N171" s="223">
        <v>0</v>
      </c>
      <c r="O171" s="223">
        <v>0</v>
      </c>
      <c r="P171" s="223">
        <v>0</v>
      </c>
      <c r="Q171" s="223">
        <v>0</v>
      </c>
      <c r="R171" s="223">
        <v>0</v>
      </c>
      <c r="S171" s="223">
        <v>0</v>
      </c>
      <c r="T171" s="223">
        <v>-1800</v>
      </c>
      <c r="U171" s="223">
        <v>0</v>
      </c>
      <c r="V171" s="223">
        <v>0</v>
      </c>
      <c r="W171" s="223">
        <v>0</v>
      </c>
      <c r="X171" s="223">
        <v>-49048.25</v>
      </c>
      <c r="Y171" s="223">
        <v>-125</v>
      </c>
      <c r="Z171" s="223">
        <v>0</v>
      </c>
      <c r="AA171" s="223">
        <v>0</v>
      </c>
      <c r="AB171" s="223">
        <v>-928.13</v>
      </c>
      <c r="AC171" s="223">
        <v>-7079</v>
      </c>
      <c r="AD171" s="210">
        <v>39436.089999999997</v>
      </c>
      <c r="AE171" s="210">
        <v>0</v>
      </c>
      <c r="AF171" s="210">
        <v>20410.47</v>
      </c>
      <c r="AG171" s="210">
        <v>1946.47</v>
      </c>
      <c r="AH171" s="210">
        <v>7462.4400000000005</v>
      </c>
      <c r="AI171" s="210">
        <v>0</v>
      </c>
      <c r="AJ171" s="210">
        <v>3478.7200000000003</v>
      </c>
      <c r="AK171" s="210">
        <v>301</v>
      </c>
      <c r="AL171" s="210">
        <v>1370.4</v>
      </c>
      <c r="AM171" s="210">
        <v>8026.25</v>
      </c>
      <c r="AN171" s="210">
        <v>0</v>
      </c>
      <c r="AO171" s="210">
        <v>610.46</v>
      </c>
      <c r="AP171" s="210">
        <v>0</v>
      </c>
      <c r="AQ171" s="210">
        <v>109.25</v>
      </c>
      <c r="AR171" s="210">
        <v>441.78</v>
      </c>
      <c r="AS171" s="210">
        <v>3382.51</v>
      </c>
      <c r="AT171" s="210">
        <v>4530.369999999999</v>
      </c>
      <c r="AU171" s="210">
        <v>841.86</v>
      </c>
      <c r="AV171" s="210">
        <v>4893.68</v>
      </c>
      <c r="AW171" s="312">
        <v>0</v>
      </c>
      <c r="AX171" s="210">
        <v>0</v>
      </c>
      <c r="AY171" s="210">
        <v>0</v>
      </c>
      <c r="AZ171" s="210">
        <v>0</v>
      </c>
      <c r="BA171" s="210">
        <v>0</v>
      </c>
      <c r="BB171" s="210">
        <v>0</v>
      </c>
      <c r="BC171" s="210">
        <v>0</v>
      </c>
      <c r="BD171" s="210">
        <v>154</v>
      </c>
      <c r="BE171" s="210">
        <v>0</v>
      </c>
      <c r="BF171" s="210">
        <v>1673.8200000000002</v>
      </c>
      <c r="BG171" s="210">
        <v>1729.2899999999995</v>
      </c>
      <c r="BH171" s="210">
        <v>0</v>
      </c>
      <c r="BI171" s="210">
        <v>5588.34</v>
      </c>
      <c r="BJ171" s="210">
        <v>2327</v>
      </c>
      <c r="BK171" s="210">
        <v>3892</v>
      </c>
      <c r="BL171" s="210">
        <v>5569.1500000000005</v>
      </c>
      <c r="BM171" s="210">
        <v>0</v>
      </c>
      <c r="BN171" s="210">
        <v>0</v>
      </c>
      <c r="BO171" s="210">
        <v>7658.73</v>
      </c>
      <c r="BP171" s="210">
        <v>626.47</v>
      </c>
      <c r="BQ171" s="211">
        <v>0</v>
      </c>
      <c r="BR171" s="211">
        <v>0</v>
      </c>
      <c r="BS171" s="211">
        <v>0</v>
      </c>
      <c r="BT171" s="212">
        <v>0</v>
      </c>
      <c r="BU171" s="212">
        <v>0</v>
      </c>
      <c r="BV171" s="212">
        <v>0</v>
      </c>
      <c r="BW171" s="212">
        <v>0</v>
      </c>
      <c r="BX171" s="212">
        <v>0</v>
      </c>
      <c r="BY171" s="212">
        <v>0</v>
      </c>
      <c r="BZ171" s="212">
        <v>0</v>
      </c>
      <c r="CA171" s="212">
        <v>0</v>
      </c>
      <c r="CB171" s="212">
        <v>0</v>
      </c>
      <c r="CC171" s="224">
        <v>-8.4128259913995862E-12</v>
      </c>
      <c r="CD171" s="213"/>
      <c r="CE171" s="211"/>
      <c r="CF171" s="211"/>
      <c r="CG171" s="211"/>
      <c r="CH171" s="211"/>
      <c r="CI171" s="211"/>
      <c r="CJ171" s="211"/>
      <c r="CK171" s="211"/>
      <c r="CL171" s="201"/>
      <c r="CM171" s="201">
        <f t="shared" si="40"/>
        <v>-8.4128259913995862E-12</v>
      </c>
      <c r="CN171" s="340">
        <f t="shared" si="48"/>
        <v>0</v>
      </c>
      <c r="CO171" s="340">
        <f t="shared" si="49"/>
        <v>0</v>
      </c>
      <c r="CP171" s="340">
        <f t="shared" si="50"/>
        <v>0</v>
      </c>
      <c r="CQ171" s="340">
        <f t="shared" si="51"/>
        <v>0</v>
      </c>
      <c r="CR171" s="340">
        <f t="shared" si="52"/>
        <v>0</v>
      </c>
      <c r="CS171" s="340">
        <f t="shared" si="53"/>
        <v>0</v>
      </c>
      <c r="CT171" s="90">
        <f t="shared" si="32"/>
        <v>0</v>
      </c>
      <c r="CV171" s="90">
        <f t="shared" si="47"/>
        <v>0</v>
      </c>
    </row>
    <row r="172" spans="1:100">
      <c r="A172" s="325">
        <v>936</v>
      </c>
      <c r="B172" s="327" t="s">
        <v>260</v>
      </c>
      <c r="C172" s="209">
        <v>36482.1</v>
      </c>
      <c r="D172" s="209">
        <v>-6482.37</v>
      </c>
      <c r="E172" s="209">
        <v>0</v>
      </c>
      <c r="F172" s="209">
        <v>-9076.6299999999992</v>
      </c>
      <c r="G172" s="209">
        <v>0</v>
      </c>
      <c r="H172" s="209">
        <v>0</v>
      </c>
      <c r="I172" s="223">
        <v>-1160014.23</v>
      </c>
      <c r="J172" s="223">
        <v>0</v>
      </c>
      <c r="K172" s="223">
        <v>-149804</v>
      </c>
      <c r="L172" s="223">
        <v>0</v>
      </c>
      <c r="M172" s="223">
        <v>-61200</v>
      </c>
      <c r="N172" s="223">
        <v>-1200</v>
      </c>
      <c r="O172" s="223">
        <v>-3920</v>
      </c>
      <c r="P172" s="223">
        <v>0</v>
      </c>
      <c r="Q172" s="223">
        <v>-51010.6</v>
      </c>
      <c r="R172" s="223">
        <v>-18899.599999999999</v>
      </c>
      <c r="S172" s="223">
        <v>-18300</v>
      </c>
      <c r="T172" s="223">
        <v>-24</v>
      </c>
      <c r="U172" s="223">
        <v>-26237.370000000006</v>
      </c>
      <c r="V172" s="223">
        <v>-10429.549999999999</v>
      </c>
      <c r="W172" s="223">
        <v>0</v>
      </c>
      <c r="X172" s="223">
        <v>0</v>
      </c>
      <c r="Y172" s="223">
        <v>-56.5</v>
      </c>
      <c r="Z172" s="223">
        <v>0</v>
      </c>
      <c r="AA172" s="223">
        <v>0</v>
      </c>
      <c r="AB172" s="223">
        <v>-1949.88</v>
      </c>
      <c r="AC172" s="223">
        <v>-49780</v>
      </c>
      <c r="AD172" s="210">
        <v>665323.15</v>
      </c>
      <c r="AE172" s="210">
        <v>11826.249999999998</v>
      </c>
      <c r="AF172" s="210">
        <v>389561.66000000003</v>
      </c>
      <c r="AG172" s="210">
        <v>22875.3</v>
      </c>
      <c r="AH172" s="210">
        <v>69931.179999999993</v>
      </c>
      <c r="AI172" s="210">
        <v>0</v>
      </c>
      <c r="AJ172" s="210">
        <v>50056.970000000008</v>
      </c>
      <c r="AK172" s="210">
        <v>14722.5</v>
      </c>
      <c r="AL172" s="210">
        <v>4666.25</v>
      </c>
      <c r="AM172" s="210">
        <v>646.6</v>
      </c>
      <c r="AN172" s="210">
        <v>7729.48</v>
      </c>
      <c r="AO172" s="210">
        <v>25068.26</v>
      </c>
      <c r="AP172" s="210">
        <v>2500.0400000000004</v>
      </c>
      <c r="AQ172" s="210">
        <v>26700.279999999992</v>
      </c>
      <c r="AR172" s="210">
        <v>3429.67</v>
      </c>
      <c r="AS172" s="210">
        <v>17124.660000000003</v>
      </c>
      <c r="AT172" s="210">
        <v>11542.25</v>
      </c>
      <c r="AU172" s="210">
        <v>3545.9900000000002</v>
      </c>
      <c r="AV172" s="210">
        <v>90961.18</v>
      </c>
      <c r="AW172" s="312">
        <v>0</v>
      </c>
      <c r="AX172" s="210">
        <v>3956.8700000000003</v>
      </c>
      <c r="AY172" s="210">
        <v>0</v>
      </c>
      <c r="AZ172" s="210">
        <v>0</v>
      </c>
      <c r="BA172" s="210">
        <v>0</v>
      </c>
      <c r="BB172" s="210">
        <v>0</v>
      </c>
      <c r="BC172" s="210">
        <v>0</v>
      </c>
      <c r="BD172" s="210">
        <v>4982</v>
      </c>
      <c r="BE172" s="210">
        <v>0</v>
      </c>
      <c r="BF172" s="210">
        <v>5366.119999999999</v>
      </c>
      <c r="BG172" s="210">
        <v>11106.68</v>
      </c>
      <c r="BH172" s="210">
        <v>0</v>
      </c>
      <c r="BI172" s="210">
        <v>62018.37</v>
      </c>
      <c r="BJ172" s="210">
        <v>36479.849999999977</v>
      </c>
      <c r="BK172" s="210">
        <v>743</v>
      </c>
      <c r="BL172" s="210">
        <v>15506.07</v>
      </c>
      <c r="BM172" s="210">
        <v>0</v>
      </c>
      <c r="BN172" s="210">
        <v>0</v>
      </c>
      <c r="BO172" s="210">
        <v>0</v>
      </c>
      <c r="BP172" s="210">
        <v>0</v>
      </c>
      <c r="BQ172" s="211">
        <v>-6373.75</v>
      </c>
      <c r="BR172" s="211">
        <v>0</v>
      </c>
      <c r="BS172" s="211">
        <v>0</v>
      </c>
      <c r="BT172" s="212">
        <v>0</v>
      </c>
      <c r="BU172" s="212">
        <v>5756.13</v>
      </c>
      <c r="BV172" s="212">
        <v>0</v>
      </c>
      <c r="BW172" s="212">
        <v>0</v>
      </c>
      <c r="BX172" s="212">
        <v>3443.16</v>
      </c>
      <c r="BY172" s="212">
        <v>0</v>
      </c>
      <c r="BZ172" s="212">
        <v>360</v>
      </c>
      <c r="CA172" s="212">
        <v>884.04</v>
      </c>
      <c r="CB172" s="212">
        <v>1239.99</v>
      </c>
      <c r="CC172" s="224">
        <v>31777.569999999858</v>
      </c>
      <c r="CD172" s="213"/>
      <c r="CE172" s="211">
        <v>-43155.629999999903</v>
      </c>
      <c r="CF172" s="211">
        <v>7611</v>
      </c>
      <c r="CG172" s="211">
        <v>0</v>
      </c>
      <c r="CH172" s="211">
        <v>3767.0599999999977</v>
      </c>
      <c r="CI172" s="211">
        <v>0</v>
      </c>
      <c r="CJ172" s="211">
        <v>0</v>
      </c>
      <c r="CK172" s="211">
        <v>-31777.569999999905</v>
      </c>
      <c r="CL172" s="201"/>
      <c r="CM172" s="201">
        <f t="shared" si="40"/>
        <v>-4.7293724492192268E-11</v>
      </c>
      <c r="CN172" s="340">
        <f t="shared" si="48"/>
        <v>-43155.629999999903</v>
      </c>
      <c r="CO172" s="340">
        <f t="shared" si="49"/>
        <v>7611</v>
      </c>
      <c r="CP172" s="340">
        <f t="shared" si="50"/>
        <v>0</v>
      </c>
      <c r="CQ172" s="340">
        <f t="shared" si="51"/>
        <v>3767.0599999999977</v>
      </c>
      <c r="CR172" s="340">
        <f t="shared" si="52"/>
        <v>0</v>
      </c>
      <c r="CS172" s="340">
        <f t="shared" si="53"/>
        <v>0</v>
      </c>
      <c r="CT172" s="90">
        <f t="shared" si="32"/>
        <v>-31777.569999999905</v>
      </c>
      <c r="CV172" s="90">
        <f t="shared" si="47"/>
        <v>0</v>
      </c>
    </row>
    <row r="173" spans="1:100">
      <c r="A173" s="325">
        <v>937</v>
      </c>
      <c r="B173" s="325" t="s">
        <v>224</v>
      </c>
      <c r="C173" s="209">
        <v>-68598.710000000006</v>
      </c>
      <c r="D173" s="209">
        <v>-6905</v>
      </c>
      <c r="E173" s="209">
        <v>0</v>
      </c>
      <c r="F173" s="209">
        <v>0</v>
      </c>
      <c r="G173" s="209">
        <v>0</v>
      </c>
      <c r="H173" s="209">
        <v>-9271.64</v>
      </c>
      <c r="I173" s="223">
        <v>-1081479.0699999998</v>
      </c>
      <c r="J173" s="223">
        <v>0</v>
      </c>
      <c r="K173" s="223">
        <v>-64735</v>
      </c>
      <c r="L173" s="223">
        <v>0</v>
      </c>
      <c r="M173" s="223">
        <v>-47075</v>
      </c>
      <c r="N173" s="223">
        <v>-3456.93</v>
      </c>
      <c r="O173" s="223">
        <v>-480</v>
      </c>
      <c r="P173" s="223">
        <v>-4120</v>
      </c>
      <c r="Q173" s="223">
        <v>-71843.000000000015</v>
      </c>
      <c r="R173" s="223">
        <v>-246</v>
      </c>
      <c r="S173" s="223">
        <v>-10436.75</v>
      </c>
      <c r="T173" s="223">
        <v>0</v>
      </c>
      <c r="U173" s="223">
        <v>-24378.46</v>
      </c>
      <c r="V173" s="223">
        <v>-10794</v>
      </c>
      <c r="W173" s="223">
        <v>0</v>
      </c>
      <c r="X173" s="223">
        <v>-134221.49</v>
      </c>
      <c r="Y173" s="223">
        <v>-7954.7800000000007</v>
      </c>
      <c r="Z173" s="223">
        <v>0</v>
      </c>
      <c r="AA173" s="223">
        <v>0</v>
      </c>
      <c r="AB173" s="223">
        <v>-1814.38</v>
      </c>
      <c r="AC173" s="223">
        <v>-29632</v>
      </c>
      <c r="AD173" s="210">
        <v>671123.79999999981</v>
      </c>
      <c r="AE173" s="210">
        <v>2254.29</v>
      </c>
      <c r="AF173" s="210">
        <v>311084.62000000005</v>
      </c>
      <c r="AG173" s="210">
        <v>41490.680000000008</v>
      </c>
      <c r="AH173" s="210">
        <v>50670.49</v>
      </c>
      <c r="AI173" s="210">
        <v>0</v>
      </c>
      <c r="AJ173" s="210">
        <v>62614.859999999993</v>
      </c>
      <c r="AK173" s="210">
        <v>4707</v>
      </c>
      <c r="AL173" s="210">
        <v>2135</v>
      </c>
      <c r="AM173" s="210">
        <v>634.4</v>
      </c>
      <c r="AN173" s="210">
        <v>8831.369999999999</v>
      </c>
      <c r="AO173" s="210">
        <v>9991.4799999999959</v>
      </c>
      <c r="AP173" s="210">
        <v>1072.4299999999998</v>
      </c>
      <c r="AQ173" s="210">
        <v>3168.8799999999992</v>
      </c>
      <c r="AR173" s="210">
        <v>5680.8600000000006</v>
      </c>
      <c r="AS173" s="210">
        <v>18487.769999999997</v>
      </c>
      <c r="AT173" s="210">
        <v>22314.03</v>
      </c>
      <c r="AU173" s="210">
        <v>3953.31</v>
      </c>
      <c r="AV173" s="210">
        <v>80351.14</v>
      </c>
      <c r="AW173" s="312">
        <v>0</v>
      </c>
      <c r="AX173" s="210">
        <v>1886.8</v>
      </c>
      <c r="AY173" s="210">
        <v>0</v>
      </c>
      <c r="AZ173" s="210">
        <v>626</v>
      </c>
      <c r="BA173" s="210">
        <v>1396</v>
      </c>
      <c r="BB173" s="210">
        <v>20.82</v>
      </c>
      <c r="BC173" s="210">
        <v>14.78</v>
      </c>
      <c r="BD173" s="210">
        <v>4888</v>
      </c>
      <c r="BE173" s="210">
        <v>0</v>
      </c>
      <c r="BF173" s="210">
        <v>2372.67</v>
      </c>
      <c r="BG173" s="210">
        <v>11065.72</v>
      </c>
      <c r="BH173" s="210">
        <v>0</v>
      </c>
      <c r="BI173" s="210">
        <v>22240.15</v>
      </c>
      <c r="BJ173" s="210">
        <v>3014.7999999999997</v>
      </c>
      <c r="BK173" s="210">
        <v>4271</v>
      </c>
      <c r="BL173" s="210">
        <v>21704.7</v>
      </c>
      <c r="BM173" s="210">
        <v>0</v>
      </c>
      <c r="BN173" s="210">
        <v>0</v>
      </c>
      <c r="BO173" s="210">
        <v>126149.79000000002</v>
      </c>
      <c r="BP173" s="210">
        <v>6404.4800000000023</v>
      </c>
      <c r="BQ173" s="211">
        <v>-6407.5</v>
      </c>
      <c r="BR173" s="211">
        <v>0</v>
      </c>
      <c r="BS173" s="211">
        <v>0</v>
      </c>
      <c r="BT173" s="212">
        <v>0</v>
      </c>
      <c r="BU173" s="212">
        <v>0</v>
      </c>
      <c r="BV173" s="212">
        <v>2000</v>
      </c>
      <c r="BW173" s="212">
        <v>0</v>
      </c>
      <c r="BX173" s="212">
        <v>0</v>
      </c>
      <c r="BY173" s="212">
        <v>0</v>
      </c>
      <c r="BZ173" s="212">
        <v>0</v>
      </c>
      <c r="CA173" s="212">
        <v>0</v>
      </c>
      <c r="CB173" s="212">
        <v>0</v>
      </c>
      <c r="CC173" s="224">
        <v>-75227.589999999735</v>
      </c>
      <c r="CD173" s="213"/>
      <c r="CE173" s="211">
        <v>53385.650000000023</v>
      </c>
      <c r="CF173" s="211">
        <v>2834.5299999999997</v>
      </c>
      <c r="CG173" s="211">
        <v>0</v>
      </c>
      <c r="CH173" s="211">
        <v>2988.7700000000004</v>
      </c>
      <c r="CI173" s="211">
        <v>0</v>
      </c>
      <c r="CJ173" s="211">
        <v>16018.639999999956</v>
      </c>
      <c r="CK173" s="211">
        <v>75227.589999999982</v>
      </c>
      <c r="CL173" s="201"/>
      <c r="CM173" s="201">
        <f t="shared" si="40"/>
        <v>2.4738255888223648E-10</v>
      </c>
      <c r="CN173" s="340">
        <f t="shared" si="48"/>
        <v>53385.650000000023</v>
      </c>
      <c r="CO173" s="340">
        <f t="shared" si="49"/>
        <v>2834.5299999999997</v>
      </c>
      <c r="CP173" s="340">
        <f t="shared" si="50"/>
        <v>0</v>
      </c>
      <c r="CQ173" s="340">
        <f t="shared" si="51"/>
        <v>2988.7700000000004</v>
      </c>
      <c r="CR173" s="340">
        <f t="shared" si="52"/>
        <v>0</v>
      </c>
      <c r="CS173" s="340">
        <f t="shared" si="53"/>
        <v>16018.639999999956</v>
      </c>
      <c r="CT173" s="90">
        <f t="shared" si="32"/>
        <v>75227.589999999982</v>
      </c>
      <c r="CV173" s="90">
        <f t="shared" si="47"/>
        <v>0</v>
      </c>
    </row>
    <row r="174" spans="1:100">
      <c r="A174" s="325">
        <v>940</v>
      </c>
      <c r="B174" s="325" t="s">
        <v>253</v>
      </c>
      <c r="C174" s="209">
        <v>-221101.65</v>
      </c>
      <c r="D174" s="209">
        <v>0</v>
      </c>
      <c r="E174" s="209">
        <v>0</v>
      </c>
      <c r="F174" s="209">
        <v>0</v>
      </c>
      <c r="G174" s="209">
        <v>0</v>
      </c>
      <c r="H174" s="209">
        <v>0</v>
      </c>
      <c r="I174" s="223">
        <v>-2218825.3000000003</v>
      </c>
      <c r="J174" s="223">
        <v>0</v>
      </c>
      <c r="K174" s="223">
        <v>-87312</v>
      </c>
      <c r="L174" s="223">
        <v>0</v>
      </c>
      <c r="M174" s="223">
        <v>-173350</v>
      </c>
      <c r="N174" s="223">
        <v>-4200</v>
      </c>
      <c r="O174" s="223">
        <v>-390</v>
      </c>
      <c r="P174" s="223">
        <v>-2270</v>
      </c>
      <c r="Q174" s="223">
        <v>-70322.120000000024</v>
      </c>
      <c r="R174" s="223">
        <v>-15586.000000000002</v>
      </c>
      <c r="S174" s="223">
        <v>0</v>
      </c>
      <c r="T174" s="223">
        <v>0</v>
      </c>
      <c r="U174" s="223">
        <v>-21423.33</v>
      </c>
      <c r="V174" s="223">
        <v>0</v>
      </c>
      <c r="W174" s="223">
        <v>0</v>
      </c>
      <c r="X174" s="223">
        <v>0</v>
      </c>
      <c r="Y174" s="223">
        <v>0</v>
      </c>
      <c r="Z174" s="223">
        <v>0</v>
      </c>
      <c r="AA174" s="223">
        <v>0</v>
      </c>
      <c r="AB174" s="223">
        <v>-6840</v>
      </c>
      <c r="AC174" s="223">
        <v>-91597</v>
      </c>
      <c r="AD174" s="210">
        <v>1222243.6200000001</v>
      </c>
      <c r="AE174" s="210">
        <v>17731.32</v>
      </c>
      <c r="AF174" s="210">
        <v>708705.10000000009</v>
      </c>
      <c r="AG174" s="210">
        <v>56530.17</v>
      </c>
      <c r="AH174" s="210">
        <v>128628.12</v>
      </c>
      <c r="AI174" s="210">
        <v>89746.079999999987</v>
      </c>
      <c r="AJ174" s="210">
        <v>110933.12000000002</v>
      </c>
      <c r="AK174" s="210">
        <v>8036.66</v>
      </c>
      <c r="AL174" s="210">
        <v>14355.5</v>
      </c>
      <c r="AM174" s="210">
        <v>1274.9000000000001</v>
      </c>
      <c r="AN174" s="210">
        <v>0</v>
      </c>
      <c r="AO174" s="210">
        <v>15609.329999999996</v>
      </c>
      <c r="AP174" s="210">
        <v>3912.2200000000007</v>
      </c>
      <c r="AQ174" s="210">
        <v>28905.639999999996</v>
      </c>
      <c r="AR174" s="210">
        <v>6570.5400000000009</v>
      </c>
      <c r="AS174" s="210">
        <v>39395.210000000006</v>
      </c>
      <c r="AT174" s="210">
        <v>43101.48</v>
      </c>
      <c r="AU174" s="210">
        <v>5343.9900000000007</v>
      </c>
      <c r="AV174" s="210">
        <v>94263.040000000008</v>
      </c>
      <c r="AW174" s="312">
        <v>0</v>
      </c>
      <c r="AX174" s="210">
        <v>5430</v>
      </c>
      <c r="AY174" s="210">
        <v>0</v>
      </c>
      <c r="AZ174" s="210">
        <v>0</v>
      </c>
      <c r="BA174" s="210">
        <v>2736</v>
      </c>
      <c r="BB174" s="210">
        <v>839</v>
      </c>
      <c r="BC174" s="210">
        <v>4010.98</v>
      </c>
      <c r="BD174" s="210">
        <v>11273.95</v>
      </c>
      <c r="BE174" s="210">
        <v>0</v>
      </c>
      <c r="BF174" s="210">
        <v>13937.81</v>
      </c>
      <c r="BG174" s="210">
        <v>21899.019999999997</v>
      </c>
      <c r="BH174" s="210">
        <v>0</v>
      </c>
      <c r="BI174" s="210">
        <v>55329.910000000011</v>
      </c>
      <c r="BJ174" s="210">
        <v>19158</v>
      </c>
      <c r="BK174" s="210">
        <v>47597.67</v>
      </c>
      <c r="BL174" s="210">
        <v>32046.98</v>
      </c>
      <c r="BM174" s="210">
        <v>0</v>
      </c>
      <c r="BN174" s="210">
        <v>0</v>
      </c>
      <c r="BO174" s="210">
        <v>0</v>
      </c>
      <c r="BP174" s="210">
        <v>0</v>
      </c>
      <c r="BQ174" s="211">
        <v>-8713.75</v>
      </c>
      <c r="BR174" s="211">
        <v>0</v>
      </c>
      <c r="BS174" s="211">
        <v>0</v>
      </c>
      <c r="BT174" s="212">
        <v>0</v>
      </c>
      <c r="BU174" s="212">
        <v>3636.25</v>
      </c>
      <c r="BV174" s="212">
        <v>218.8</v>
      </c>
      <c r="BW174" s="212">
        <v>0</v>
      </c>
      <c r="BX174" s="212">
        <v>0</v>
      </c>
      <c r="BY174" s="212">
        <v>0</v>
      </c>
      <c r="BZ174" s="212">
        <v>0</v>
      </c>
      <c r="CA174" s="212">
        <v>1360.1</v>
      </c>
      <c r="CB174" s="212">
        <v>1170</v>
      </c>
      <c r="CC174" s="224">
        <v>-106000.64000000013</v>
      </c>
      <c r="CD174" s="213"/>
      <c r="CE174" s="211">
        <v>103453.24000000031</v>
      </c>
      <c r="CF174" s="211">
        <v>0</v>
      </c>
      <c r="CG174" s="211">
        <v>0</v>
      </c>
      <c r="CH174" s="211">
        <v>2547.3999999999996</v>
      </c>
      <c r="CI174" s="211">
        <v>0</v>
      </c>
      <c r="CJ174" s="211">
        <v>0</v>
      </c>
      <c r="CK174" s="211">
        <v>106000.64000000031</v>
      </c>
      <c r="CL174" s="201"/>
      <c r="CM174" s="201">
        <f t="shared" si="40"/>
        <v>1.7462298274040222E-10</v>
      </c>
      <c r="CN174" s="340">
        <f t="shared" si="48"/>
        <v>103453.24000000031</v>
      </c>
      <c r="CO174" s="340">
        <f t="shared" si="49"/>
        <v>0</v>
      </c>
      <c r="CP174" s="340">
        <f t="shared" si="50"/>
        <v>0</v>
      </c>
      <c r="CQ174" s="340">
        <f t="shared" si="51"/>
        <v>2547.3999999999996</v>
      </c>
      <c r="CR174" s="340">
        <f t="shared" si="52"/>
        <v>0</v>
      </c>
      <c r="CS174" s="340">
        <f t="shared" si="53"/>
        <v>0</v>
      </c>
      <c r="CT174" s="90">
        <f t="shared" si="32"/>
        <v>106000.64000000031</v>
      </c>
      <c r="CV174" s="90">
        <f t="shared" si="47"/>
        <v>0</v>
      </c>
    </row>
    <row r="175" spans="1:100">
      <c r="A175" s="325">
        <v>941</v>
      </c>
      <c r="B175" s="325" t="s">
        <v>183</v>
      </c>
      <c r="C175" s="209">
        <v>0</v>
      </c>
      <c r="D175" s="209">
        <v>0</v>
      </c>
      <c r="E175" s="209">
        <v>0</v>
      </c>
      <c r="F175" s="209">
        <v>0</v>
      </c>
      <c r="G175" s="209">
        <v>0</v>
      </c>
      <c r="H175" s="209">
        <v>0</v>
      </c>
      <c r="I175" s="223">
        <v>0</v>
      </c>
      <c r="J175" s="223">
        <v>0</v>
      </c>
      <c r="K175" s="223">
        <v>0</v>
      </c>
      <c r="L175" s="223">
        <v>0</v>
      </c>
      <c r="M175" s="223">
        <v>0</v>
      </c>
      <c r="N175" s="223">
        <v>0</v>
      </c>
      <c r="O175" s="223">
        <v>0</v>
      </c>
      <c r="P175" s="223">
        <v>0</v>
      </c>
      <c r="Q175" s="223">
        <v>-14197.03</v>
      </c>
      <c r="R175" s="223">
        <v>0</v>
      </c>
      <c r="S175" s="223">
        <v>0</v>
      </c>
      <c r="T175" s="223">
        <v>0</v>
      </c>
      <c r="U175" s="223">
        <v>0</v>
      </c>
      <c r="V175" s="223">
        <v>0</v>
      </c>
      <c r="W175" s="223">
        <v>0</v>
      </c>
      <c r="X175" s="223">
        <v>0</v>
      </c>
      <c r="Y175" s="223">
        <v>0</v>
      </c>
      <c r="Z175" s="223">
        <v>0</v>
      </c>
      <c r="AA175" s="223">
        <v>0</v>
      </c>
      <c r="AB175" s="223">
        <v>0</v>
      </c>
      <c r="AC175" s="223">
        <v>0</v>
      </c>
      <c r="AD175" s="210">
        <v>7.9899999999999993</v>
      </c>
      <c r="AE175" s="210">
        <v>279.7</v>
      </c>
      <c r="AF175" s="210">
        <v>1254.9099999999999</v>
      </c>
      <c r="AG175" s="210">
        <v>-18.2</v>
      </c>
      <c r="AH175" s="210">
        <v>1989.93</v>
      </c>
      <c r="AI175" s="210">
        <v>0</v>
      </c>
      <c r="AJ175" s="210">
        <v>36.239999999999995</v>
      </c>
      <c r="AK175" s="210">
        <v>11</v>
      </c>
      <c r="AL175" s="210">
        <v>0</v>
      </c>
      <c r="AM175" s="210">
        <v>0</v>
      </c>
      <c r="AN175" s="210">
        <v>0</v>
      </c>
      <c r="AO175" s="210">
        <v>0</v>
      </c>
      <c r="AP175" s="210">
        <v>48</v>
      </c>
      <c r="AQ175" s="210">
        <v>0</v>
      </c>
      <c r="AR175" s="210">
        <v>0</v>
      </c>
      <c r="AS175" s="210">
        <v>10132.64</v>
      </c>
      <c r="AT175" s="210">
        <v>0</v>
      </c>
      <c r="AU175" s="210">
        <v>300.02</v>
      </c>
      <c r="AV175" s="210">
        <v>0</v>
      </c>
      <c r="AW175" s="312">
        <v>0</v>
      </c>
      <c r="AX175" s="210">
        <v>0</v>
      </c>
      <c r="AY175" s="210">
        <v>0</v>
      </c>
      <c r="AZ175" s="210">
        <v>0</v>
      </c>
      <c r="BA175" s="210">
        <v>0</v>
      </c>
      <c r="BB175" s="210">
        <v>0</v>
      </c>
      <c r="BC175" s="210">
        <v>0</v>
      </c>
      <c r="BD175" s="210">
        <v>0</v>
      </c>
      <c r="BE175" s="210">
        <v>0</v>
      </c>
      <c r="BF175" s="210">
        <v>0</v>
      </c>
      <c r="BG175" s="210">
        <v>0</v>
      </c>
      <c r="BH175" s="210">
        <v>0</v>
      </c>
      <c r="BI175" s="210">
        <v>0</v>
      </c>
      <c r="BJ175" s="210">
        <v>0</v>
      </c>
      <c r="BK175" s="210">
        <v>0</v>
      </c>
      <c r="BL175" s="210">
        <v>154.80000000000001</v>
      </c>
      <c r="BM175" s="210">
        <v>0</v>
      </c>
      <c r="BN175" s="210">
        <v>0</v>
      </c>
      <c r="BO175" s="210">
        <v>0</v>
      </c>
      <c r="BP175" s="210">
        <v>0</v>
      </c>
      <c r="BQ175" s="211">
        <v>0</v>
      </c>
      <c r="BR175" s="211">
        <v>0</v>
      </c>
      <c r="BS175" s="211">
        <v>0</v>
      </c>
      <c r="BT175" s="212">
        <v>0</v>
      </c>
      <c r="BU175" s="212">
        <v>0</v>
      </c>
      <c r="BV175" s="212">
        <v>0</v>
      </c>
      <c r="BW175" s="212">
        <v>0</v>
      </c>
      <c r="BX175" s="212">
        <v>0</v>
      </c>
      <c r="BY175" s="212">
        <v>0</v>
      </c>
      <c r="BZ175" s="212">
        <v>0</v>
      </c>
      <c r="CA175" s="212">
        <v>0</v>
      </c>
      <c r="CB175" s="212">
        <v>0</v>
      </c>
      <c r="CC175" s="224">
        <v>-1.5347723092418164E-12</v>
      </c>
      <c r="CD175" s="213"/>
      <c r="CE175" s="211"/>
      <c r="CF175" s="211"/>
      <c r="CG175" s="211"/>
      <c r="CH175" s="211"/>
      <c r="CI175" s="211"/>
      <c r="CJ175" s="211"/>
      <c r="CK175" s="211"/>
      <c r="CL175" s="201"/>
      <c r="CM175" s="201">
        <f t="shared" si="40"/>
        <v>-1.5347723092418164E-12</v>
      </c>
      <c r="CN175" s="340">
        <f t="shared" si="48"/>
        <v>0</v>
      </c>
      <c r="CO175" s="340">
        <f t="shared" si="49"/>
        <v>0</v>
      </c>
      <c r="CP175" s="340">
        <f t="shared" si="50"/>
        <v>0</v>
      </c>
      <c r="CQ175" s="340">
        <f t="shared" si="51"/>
        <v>0</v>
      </c>
      <c r="CR175" s="340">
        <f t="shared" si="52"/>
        <v>0</v>
      </c>
      <c r="CS175" s="340">
        <f t="shared" si="53"/>
        <v>0</v>
      </c>
      <c r="CT175" s="90">
        <f t="shared" si="32"/>
        <v>0</v>
      </c>
      <c r="CV175" s="90">
        <f t="shared" si="47"/>
        <v>0</v>
      </c>
    </row>
    <row r="176" spans="1:100">
      <c r="A176" s="325">
        <v>947</v>
      </c>
      <c r="B176" s="325" t="s">
        <v>416</v>
      </c>
      <c r="C176" s="209">
        <v>-169167.33</v>
      </c>
      <c r="D176" s="209">
        <v>0</v>
      </c>
      <c r="E176" s="209">
        <v>0</v>
      </c>
      <c r="F176" s="209">
        <v>-1314.68</v>
      </c>
      <c r="G176" s="209">
        <v>0</v>
      </c>
      <c r="H176" s="209">
        <v>0</v>
      </c>
      <c r="I176" s="223">
        <v>-86579.79999999993</v>
      </c>
      <c r="J176" s="223">
        <v>0</v>
      </c>
      <c r="K176" s="223">
        <v>-19838</v>
      </c>
      <c r="L176" s="223">
        <v>0</v>
      </c>
      <c r="M176" s="223">
        <v>0</v>
      </c>
      <c r="N176" s="223">
        <v>-1200</v>
      </c>
      <c r="O176" s="223">
        <v>0</v>
      </c>
      <c r="P176" s="223">
        <v>0</v>
      </c>
      <c r="Q176" s="223">
        <v>-10509.46</v>
      </c>
      <c r="R176" s="223">
        <v>0</v>
      </c>
      <c r="S176" s="223">
        <v>0</v>
      </c>
      <c r="T176" s="223">
        <v>0</v>
      </c>
      <c r="U176" s="223">
        <v>0</v>
      </c>
      <c r="V176" s="223">
        <v>0</v>
      </c>
      <c r="W176" s="223">
        <v>0</v>
      </c>
      <c r="X176" s="223">
        <v>0</v>
      </c>
      <c r="Y176" s="223">
        <v>0</v>
      </c>
      <c r="Z176" s="223">
        <v>0</v>
      </c>
      <c r="AA176" s="223">
        <v>0</v>
      </c>
      <c r="AB176" s="223">
        <v>-2390.63</v>
      </c>
      <c r="AC176" s="223">
        <v>-7354</v>
      </c>
      <c r="AD176" s="210">
        <v>57638.709999999992</v>
      </c>
      <c r="AE176" s="210">
        <v>0</v>
      </c>
      <c r="AF176" s="210">
        <v>21248</v>
      </c>
      <c r="AG176" s="210">
        <v>2106.4900000000002</v>
      </c>
      <c r="AH176" s="210">
        <v>5684.15</v>
      </c>
      <c r="AI176" s="210">
        <v>0</v>
      </c>
      <c r="AJ176" s="210">
        <v>1195.18</v>
      </c>
      <c r="AK176" s="210">
        <v>323</v>
      </c>
      <c r="AL176" s="210">
        <v>368</v>
      </c>
      <c r="AM176" s="210">
        <v>208.42000000000002</v>
      </c>
      <c r="AN176" s="210">
        <v>0</v>
      </c>
      <c r="AO176" s="210">
        <v>661.18999999999994</v>
      </c>
      <c r="AP176" s="210">
        <v>28.75</v>
      </c>
      <c r="AQ176" s="210">
        <v>49.94</v>
      </c>
      <c r="AR176" s="210">
        <v>33.17</v>
      </c>
      <c r="AS176" s="210">
        <v>4721.45</v>
      </c>
      <c r="AT176" s="210">
        <v>2954.369999999999</v>
      </c>
      <c r="AU176" s="210">
        <v>752.2</v>
      </c>
      <c r="AV176" s="210">
        <v>186005.65</v>
      </c>
      <c r="AW176" s="312">
        <v>2923.3</v>
      </c>
      <c r="AX176" s="210">
        <v>0</v>
      </c>
      <c r="AY176" s="210">
        <v>0</v>
      </c>
      <c r="AZ176" s="210">
        <v>0</v>
      </c>
      <c r="BA176" s="210">
        <v>0</v>
      </c>
      <c r="BB176" s="210">
        <v>0</v>
      </c>
      <c r="BC176" s="210">
        <v>0</v>
      </c>
      <c r="BD176" s="210">
        <v>136.66999999999999</v>
      </c>
      <c r="BE176" s="210">
        <v>0</v>
      </c>
      <c r="BF176" s="210">
        <v>4130.21</v>
      </c>
      <c r="BG176" s="210">
        <v>1841.5800000000004</v>
      </c>
      <c r="BH176" s="210">
        <v>0</v>
      </c>
      <c r="BI176" s="210">
        <v>2096.58</v>
      </c>
      <c r="BJ176" s="210">
        <v>523.44000000000005</v>
      </c>
      <c r="BK176" s="210">
        <v>307</v>
      </c>
      <c r="BL176" s="210">
        <v>2416.4500000000003</v>
      </c>
      <c r="BM176" s="210">
        <v>0</v>
      </c>
      <c r="BN176" s="210">
        <v>0</v>
      </c>
      <c r="BO176" s="210">
        <v>0</v>
      </c>
      <c r="BP176" s="210">
        <v>0</v>
      </c>
      <c r="BQ176" s="211">
        <v>0</v>
      </c>
      <c r="BR176" s="211">
        <v>0</v>
      </c>
      <c r="BS176" s="211">
        <v>0</v>
      </c>
      <c r="BT176" s="212">
        <v>0</v>
      </c>
      <c r="BU176" s="212">
        <v>0</v>
      </c>
      <c r="BV176" s="212">
        <v>0</v>
      </c>
      <c r="BW176" s="212">
        <v>0</v>
      </c>
      <c r="BX176" s="212">
        <v>0</v>
      </c>
      <c r="BY176" s="212">
        <v>0</v>
      </c>
      <c r="BZ176" s="212">
        <v>0</v>
      </c>
      <c r="CA176" s="212">
        <v>0</v>
      </c>
      <c r="CB176" s="212">
        <v>0</v>
      </c>
      <c r="CC176" s="224">
        <v>4.8203219193965197E-11</v>
      </c>
      <c r="CD176" s="213"/>
      <c r="CE176" s="211"/>
      <c r="CF176" s="211"/>
      <c r="CG176" s="211"/>
      <c r="CH176" s="211"/>
      <c r="CI176" s="211"/>
      <c r="CJ176" s="211"/>
      <c r="CK176" s="211"/>
      <c r="CL176" s="201"/>
      <c r="CM176" s="201">
        <f t="shared" si="40"/>
        <v>4.8203219193965197E-11</v>
      </c>
      <c r="CN176" s="340">
        <f t="shared" si="48"/>
        <v>0</v>
      </c>
      <c r="CO176" s="340">
        <f t="shared" si="49"/>
        <v>0</v>
      </c>
      <c r="CP176" s="340">
        <f t="shared" si="50"/>
        <v>0</v>
      </c>
      <c r="CQ176" s="340">
        <f t="shared" si="51"/>
        <v>0</v>
      </c>
      <c r="CR176" s="340">
        <f t="shared" si="52"/>
        <v>0</v>
      </c>
      <c r="CS176" s="340">
        <f t="shared" si="53"/>
        <v>0</v>
      </c>
      <c r="CT176" s="90">
        <f t="shared" si="32"/>
        <v>0</v>
      </c>
      <c r="CV176" s="90">
        <f t="shared" si="47"/>
        <v>0</v>
      </c>
    </row>
    <row r="177" spans="1:100">
      <c r="A177" s="325">
        <v>948</v>
      </c>
      <c r="B177" s="327" t="s">
        <v>417</v>
      </c>
      <c r="C177" s="209">
        <v>-241499.77</v>
      </c>
      <c r="D177" s="209">
        <v>-80344.89</v>
      </c>
      <c r="E177" s="209">
        <v>0</v>
      </c>
      <c r="F177" s="209">
        <v>-6064.58</v>
      </c>
      <c r="G177" s="209">
        <v>0</v>
      </c>
      <c r="H177" s="209">
        <v>-6164.97</v>
      </c>
      <c r="I177" s="223">
        <v>-1315083.1100000001</v>
      </c>
      <c r="J177" s="223">
        <v>0</v>
      </c>
      <c r="K177" s="223">
        <v>-112876</v>
      </c>
      <c r="L177" s="223">
        <v>0</v>
      </c>
      <c r="M177" s="223">
        <v>-133550</v>
      </c>
      <c r="N177" s="223">
        <v>-5028.1299999999992</v>
      </c>
      <c r="O177" s="223">
        <v>0</v>
      </c>
      <c r="P177" s="223">
        <v>0</v>
      </c>
      <c r="Q177" s="223">
        <v>-14343.25</v>
      </c>
      <c r="R177" s="223">
        <v>-11875.330000000002</v>
      </c>
      <c r="S177" s="223">
        <v>0</v>
      </c>
      <c r="T177" s="223">
        <v>-434</v>
      </c>
      <c r="U177" s="223">
        <v>-5036.5299999999988</v>
      </c>
      <c r="V177" s="223">
        <v>-363.85</v>
      </c>
      <c r="W177" s="223">
        <v>0</v>
      </c>
      <c r="X177" s="223">
        <v>-119673.90999999997</v>
      </c>
      <c r="Y177" s="223">
        <v>-8803.2800000000007</v>
      </c>
      <c r="Z177" s="223">
        <v>0</v>
      </c>
      <c r="AA177" s="223">
        <v>0</v>
      </c>
      <c r="AB177" s="223">
        <v>-5355.63</v>
      </c>
      <c r="AC177" s="223">
        <v>-40965</v>
      </c>
      <c r="AD177" s="210">
        <v>736391.96</v>
      </c>
      <c r="AE177" s="210">
        <v>13397.010000000002</v>
      </c>
      <c r="AF177" s="210">
        <v>306132.14000000007</v>
      </c>
      <c r="AG177" s="210">
        <v>48753.599999999999</v>
      </c>
      <c r="AH177" s="210">
        <v>62691.31</v>
      </c>
      <c r="AI177" s="210">
        <v>1959.52</v>
      </c>
      <c r="AJ177" s="210">
        <v>34533.160000000003</v>
      </c>
      <c r="AK177" s="210">
        <v>4929.17</v>
      </c>
      <c r="AL177" s="210">
        <v>10629.5</v>
      </c>
      <c r="AM177" s="210">
        <v>628.29999999999995</v>
      </c>
      <c r="AN177" s="210">
        <v>0</v>
      </c>
      <c r="AO177" s="210">
        <v>25222.819999999985</v>
      </c>
      <c r="AP177" s="210">
        <v>973.06999999999994</v>
      </c>
      <c r="AQ177" s="210">
        <v>4020.579999999999</v>
      </c>
      <c r="AR177" s="210">
        <v>1973.1799999999996</v>
      </c>
      <c r="AS177" s="210">
        <v>15362.740000000002</v>
      </c>
      <c r="AT177" s="210">
        <v>17616.86</v>
      </c>
      <c r="AU177" s="210">
        <v>5000.28</v>
      </c>
      <c r="AV177" s="210">
        <v>45055.810000000012</v>
      </c>
      <c r="AW177" s="312">
        <v>0</v>
      </c>
      <c r="AX177" s="210">
        <v>3795</v>
      </c>
      <c r="AY177" s="210">
        <v>0</v>
      </c>
      <c r="AZ177" s="210">
        <v>8947.3799999999992</v>
      </c>
      <c r="BA177" s="210">
        <v>4059.6</v>
      </c>
      <c r="BB177" s="210">
        <v>3253.73</v>
      </c>
      <c r="BC177" s="210">
        <v>1385.61</v>
      </c>
      <c r="BD177" s="210">
        <v>8228</v>
      </c>
      <c r="BE177" s="210">
        <v>0</v>
      </c>
      <c r="BF177" s="210">
        <v>10797.75</v>
      </c>
      <c r="BG177" s="210">
        <v>10792.34</v>
      </c>
      <c r="BH177" s="210">
        <v>0</v>
      </c>
      <c r="BI177" s="210">
        <v>72074.370000000097</v>
      </c>
      <c r="BJ177" s="210">
        <v>4433</v>
      </c>
      <c r="BK177" s="210">
        <v>90299.869999999966</v>
      </c>
      <c r="BL177" s="210">
        <v>61224.410000000011</v>
      </c>
      <c r="BM177" s="210">
        <v>0</v>
      </c>
      <c r="BN177" s="210">
        <v>0</v>
      </c>
      <c r="BO177" s="210">
        <v>96031.16</v>
      </c>
      <c r="BP177" s="210">
        <v>6833.33</v>
      </c>
      <c r="BQ177" s="211">
        <v>-6283.75</v>
      </c>
      <c r="BR177" s="211">
        <v>0</v>
      </c>
      <c r="BS177" s="211">
        <v>0</v>
      </c>
      <c r="BT177" s="212">
        <v>0</v>
      </c>
      <c r="BU177" s="212">
        <v>-3900</v>
      </c>
      <c r="BV177" s="212">
        <v>0</v>
      </c>
      <c r="BW177" s="212">
        <v>0</v>
      </c>
      <c r="BX177" s="212">
        <v>0</v>
      </c>
      <c r="BY177" s="212">
        <v>0</v>
      </c>
      <c r="BZ177" s="212">
        <v>0</v>
      </c>
      <c r="CA177" s="212">
        <v>9580</v>
      </c>
      <c r="CB177" s="212">
        <v>1500</v>
      </c>
      <c r="CC177" s="224">
        <v>-389139.41999999975</v>
      </c>
      <c r="CD177" s="213"/>
      <c r="CE177" s="211">
        <v>304232.23999999993</v>
      </c>
      <c r="CF177" s="211">
        <v>47821.18</v>
      </c>
      <c r="CG177" s="211">
        <v>0</v>
      </c>
      <c r="CH177" s="211">
        <v>5168.33</v>
      </c>
      <c r="CI177" s="211">
        <v>0</v>
      </c>
      <c r="CJ177" s="211">
        <v>31917.669999999969</v>
      </c>
      <c r="CK177" s="211">
        <v>389139.41999999993</v>
      </c>
      <c r="CL177" s="201"/>
      <c r="CM177" s="201">
        <f t="shared" si="40"/>
        <v>0</v>
      </c>
      <c r="CN177" s="340">
        <f t="shared" si="48"/>
        <v>304232.23999999993</v>
      </c>
      <c r="CO177" s="340">
        <f t="shared" si="49"/>
        <v>47821.18</v>
      </c>
      <c r="CP177" s="340">
        <f t="shared" si="50"/>
        <v>0</v>
      </c>
      <c r="CQ177" s="340">
        <f t="shared" si="51"/>
        <v>5168.33</v>
      </c>
      <c r="CR177" s="340">
        <f t="shared" si="52"/>
        <v>0</v>
      </c>
      <c r="CS177" s="340">
        <f t="shared" si="53"/>
        <v>31917.669999999969</v>
      </c>
      <c r="CT177" s="90">
        <f t="shared" ref="CT177:CT180" si="54">SUM(CN177:CS177)</f>
        <v>389139.41999999993</v>
      </c>
      <c r="CV177" s="90">
        <f t="shared" si="47"/>
        <v>0</v>
      </c>
    </row>
    <row r="178" spans="1:100">
      <c r="A178" s="325">
        <v>952</v>
      </c>
      <c r="B178" s="325" t="s">
        <v>269</v>
      </c>
      <c r="C178" s="209">
        <v>-222602.01</v>
      </c>
      <c r="D178" s="209">
        <v>-26165.95</v>
      </c>
      <c r="E178" s="209">
        <v>0</v>
      </c>
      <c r="F178" s="209">
        <v>0</v>
      </c>
      <c r="G178" s="209">
        <v>0</v>
      </c>
      <c r="H178" s="209">
        <v>0</v>
      </c>
      <c r="I178" s="223">
        <v>-1897524.4500000002</v>
      </c>
      <c r="J178" s="223">
        <v>0</v>
      </c>
      <c r="K178" s="223">
        <v>-119478</v>
      </c>
      <c r="L178" s="223">
        <v>0</v>
      </c>
      <c r="M178" s="223">
        <v>-249189.62999999998</v>
      </c>
      <c r="N178" s="223">
        <v>-2800</v>
      </c>
      <c r="O178" s="223">
        <v>0</v>
      </c>
      <c r="P178" s="223">
        <v>-81.86</v>
      </c>
      <c r="Q178" s="223">
        <v>-10744.61</v>
      </c>
      <c r="R178" s="223">
        <v>-1936.4400000000003</v>
      </c>
      <c r="S178" s="223">
        <v>0</v>
      </c>
      <c r="T178" s="223">
        <v>0</v>
      </c>
      <c r="U178" s="223">
        <v>-10404.07</v>
      </c>
      <c r="V178" s="223">
        <v>0</v>
      </c>
      <c r="W178" s="223">
        <v>0</v>
      </c>
      <c r="X178" s="223">
        <v>0</v>
      </c>
      <c r="Y178" s="223">
        <v>0</v>
      </c>
      <c r="Z178" s="223">
        <v>0</v>
      </c>
      <c r="AA178" s="223">
        <v>0</v>
      </c>
      <c r="AB178" s="223">
        <v>-10617.5</v>
      </c>
      <c r="AC178" s="223">
        <v>-19111</v>
      </c>
      <c r="AD178" s="210">
        <v>1183391.75</v>
      </c>
      <c r="AE178" s="210">
        <v>15306.419999999998</v>
      </c>
      <c r="AF178" s="210">
        <v>382425.35</v>
      </c>
      <c r="AG178" s="210">
        <v>42033.590000000004</v>
      </c>
      <c r="AH178" s="210">
        <v>146000.17000000001</v>
      </c>
      <c r="AI178" s="210">
        <v>0</v>
      </c>
      <c r="AJ178" s="210">
        <v>22380.469999999998</v>
      </c>
      <c r="AK178" s="210">
        <v>6819</v>
      </c>
      <c r="AL178" s="210">
        <v>3277</v>
      </c>
      <c r="AM178" s="210">
        <v>939.4</v>
      </c>
      <c r="AN178" s="210">
        <v>0</v>
      </c>
      <c r="AO178" s="210">
        <v>16522.760000000002</v>
      </c>
      <c r="AP178" s="210">
        <v>1875.2999999999997</v>
      </c>
      <c r="AQ178" s="210">
        <v>4523.3</v>
      </c>
      <c r="AR178" s="210">
        <v>6538.3600000000006</v>
      </c>
      <c r="AS178" s="210">
        <v>31393.559999999998</v>
      </c>
      <c r="AT178" s="210">
        <v>24841.4</v>
      </c>
      <c r="AU178" s="210">
        <v>6495.36</v>
      </c>
      <c r="AV178" s="210">
        <v>61454.37</v>
      </c>
      <c r="AW178" s="312">
        <v>0</v>
      </c>
      <c r="AX178" s="210">
        <v>2753.41</v>
      </c>
      <c r="AY178" s="210">
        <v>0</v>
      </c>
      <c r="AZ178" s="210">
        <v>9470.82</v>
      </c>
      <c r="BA178" s="210">
        <v>4173.32</v>
      </c>
      <c r="BB178" s="210">
        <v>1015.98</v>
      </c>
      <c r="BC178" s="210">
        <v>927.98</v>
      </c>
      <c r="BD178" s="210">
        <v>7972.0300000000007</v>
      </c>
      <c r="BE178" s="210">
        <v>0</v>
      </c>
      <c r="BF178" s="210">
        <v>3393.11</v>
      </c>
      <c r="BG178" s="210">
        <v>16136.119999999999</v>
      </c>
      <c r="BH178" s="210">
        <v>0</v>
      </c>
      <c r="BI178" s="210">
        <v>66083.13</v>
      </c>
      <c r="BJ178" s="210">
        <v>18750.59</v>
      </c>
      <c r="BK178" s="210">
        <v>87259.74000000002</v>
      </c>
      <c r="BL178" s="210">
        <v>31624.609999999993</v>
      </c>
      <c r="BM178" s="210">
        <v>0</v>
      </c>
      <c r="BN178" s="210">
        <v>4846.4799999999996</v>
      </c>
      <c r="BO178" s="210">
        <v>0</v>
      </c>
      <c r="BP178" s="210">
        <v>0</v>
      </c>
      <c r="BQ178" s="211">
        <v>-7453.75</v>
      </c>
      <c r="BR178" s="211">
        <v>0</v>
      </c>
      <c r="BS178" s="211">
        <v>-4846.4799999999996</v>
      </c>
      <c r="BT178" s="212">
        <v>0</v>
      </c>
      <c r="BU178" s="212">
        <v>14875.48</v>
      </c>
      <c r="BV178" s="212">
        <v>0</v>
      </c>
      <c r="BW178" s="212">
        <v>0</v>
      </c>
      <c r="BX178" s="212">
        <v>0</v>
      </c>
      <c r="BY178" s="212">
        <v>0</v>
      </c>
      <c r="BZ178" s="212">
        <v>0</v>
      </c>
      <c r="CA178" s="212">
        <v>0</v>
      </c>
      <c r="CB178" s="212">
        <v>0</v>
      </c>
      <c r="CC178" s="224">
        <v>-357455.38999999966</v>
      </c>
      <c r="CD178" s="213"/>
      <c r="CE178" s="211">
        <v>352085.33000000019</v>
      </c>
      <c r="CF178" s="211">
        <v>7945.31</v>
      </c>
      <c r="CG178" s="211">
        <v>0</v>
      </c>
      <c r="CH178" s="211">
        <v>-2575.25</v>
      </c>
      <c r="CI178" s="211">
        <v>0</v>
      </c>
      <c r="CJ178" s="211">
        <v>0</v>
      </c>
      <c r="CK178" s="211">
        <v>357455.39000000019</v>
      </c>
      <c r="CL178" s="201"/>
      <c r="CM178" s="201">
        <f t="shared" si="40"/>
        <v>5.2386894822120667E-10</v>
      </c>
      <c r="CN178" s="340">
        <f t="shared" si="48"/>
        <v>352085.33000000019</v>
      </c>
      <c r="CO178" s="340">
        <f t="shared" si="49"/>
        <v>7945.31</v>
      </c>
      <c r="CP178" s="340">
        <f t="shared" si="50"/>
        <v>0</v>
      </c>
      <c r="CQ178" s="340">
        <f t="shared" si="51"/>
        <v>-2575.25</v>
      </c>
      <c r="CR178" s="340">
        <f t="shared" si="52"/>
        <v>0</v>
      </c>
      <c r="CS178" s="340">
        <f t="shared" si="53"/>
        <v>0</v>
      </c>
      <c r="CT178" s="90">
        <f t="shared" si="54"/>
        <v>357455.39000000019</v>
      </c>
      <c r="CV178" s="90">
        <f t="shared" si="47"/>
        <v>0</v>
      </c>
    </row>
    <row r="179" spans="1:100">
      <c r="A179" s="325">
        <v>956</v>
      </c>
      <c r="B179" s="325" t="s">
        <v>978</v>
      </c>
      <c r="C179" s="209">
        <v>0</v>
      </c>
      <c r="D179" s="209">
        <v>0</v>
      </c>
      <c r="E179" s="209">
        <v>0</v>
      </c>
      <c r="F179" s="209">
        <v>0</v>
      </c>
      <c r="G179" s="209">
        <v>0</v>
      </c>
      <c r="H179" s="209">
        <v>0</v>
      </c>
      <c r="I179" s="223">
        <v>0</v>
      </c>
      <c r="J179" s="223">
        <v>0</v>
      </c>
      <c r="K179" s="223">
        <v>0</v>
      </c>
      <c r="L179" s="223">
        <v>0</v>
      </c>
      <c r="M179" s="223">
        <v>0</v>
      </c>
      <c r="N179" s="223">
        <v>0</v>
      </c>
      <c r="O179" s="223">
        <v>0</v>
      </c>
      <c r="P179" s="223">
        <v>0</v>
      </c>
      <c r="Q179" s="223">
        <v>0</v>
      </c>
      <c r="R179" s="223">
        <v>0</v>
      </c>
      <c r="S179" s="223">
        <v>0</v>
      </c>
      <c r="T179" s="223">
        <v>0</v>
      </c>
      <c r="U179" s="223">
        <v>0</v>
      </c>
      <c r="V179" s="223">
        <v>0</v>
      </c>
      <c r="W179" s="223">
        <v>0</v>
      </c>
      <c r="X179" s="223">
        <v>0</v>
      </c>
      <c r="Y179" s="223">
        <v>0</v>
      </c>
      <c r="Z179" s="223">
        <v>0</v>
      </c>
      <c r="AA179" s="223">
        <v>0</v>
      </c>
      <c r="AB179" s="223">
        <v>0</v>
      </c>
      <c r="AC179" s="223">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312"/>
      <c r="AX179" s="210">
        <v>0</v>
      </c>
      <c r="AY179" s="210">
        <v>0</v>
      </c>
      <c r="AZ179" s="210">
        <v>0</v>
      </c>
      <c r="BA179" s="210">
        <v>0</v>
      </c>
      <c r="BB179" s="210">
        <v>0</v>
      </c>
      <c r="BC179" s="210">
        <v>0</v>
      </c>
      <c r="BD179" s="210">
        <v>0</v>
      </c>
      <c r="BE179" s="210">
        <v>0</v>
      </c>
      <c r="BF179" s="210">
        <v>0</v>
      </c>
      <c r="BG179" s="210">
        <v>0</v>
      </c>
      <c r="BH179" s="210">
        <v>0</v>
      </c>
      <c r="BI179" s="210">
        <v>0</v>
      </c>
      <c r="BJ179" s="210">
        <v>0</v>
      </c>
      <c r="BK179" s="210">
        <v>0</v>
      </c>
      <c r="BL179" s="210">
        <v>0</v>
      </c>
      <c r="BM179" s="210">
        <v>0</v>
      </c>
      <c r="BN179" s="210">
        <v>0</v>
      </c>
      <c r="BO179" s="210">
        <v>0</v>
      </c>
      <c r="BP179" s="210">
        <v>0</v>
      </c>
      <c r="BQ179" s="211">
        <v>0</v>
      </c>
      <c r="BR179" s="211">
        <v>0</v>
      </c>
      <c r="BS179" s="211">
        <v>0</v>
      </c>
      <c r="BT179" s="212">
        <v>0</v>
      </c>
      <c r="BU179" s="212">
        <v>0</v>
      </c>
      <c r="BV179" s="212">
        <v>0</v>
      </c>
      <c r="BW179" s="212"/>
      <c r="BX179" s="212">
        <v>0</v>
      </c>
      <c r="BY179" s="212">
        <v>0</v>
      </c>
      <c r="BZ179" s="212">
        <v>0</v>
      </c>
      <c r="CA179" s="212">
        <v>0</v>
      </c>
      <c r="CB179" s="212">
        <v>0</v>
      </c>
      <c r="CC179" s="224"/>
      <c r="CD179" s="213"/>
      <c r="CE179" s="211"/>
      <c r="CF179" s="211"/>
      <c r="CG179" s="211"/>
      <c r="CH179" s="211"/>
      <c r="CI179" s="211"/>
      <c r="CJ179" s="211"/>
      <c r="CK179" s="211"/>
      <c r="CL179" s="201"/>
      <c r="CM179" s="201">
        <f t="shared" si="40"/>
        <v>0</v>
      </c>
      <c r="CN179" s="340">
        <f t="shared" si="48"/>
        <v>0</v>
      </c>
      <c r="CO179" s="340">
        <f t="shared" si="49"/>
        <v>0</v>
      </c>
      <c r="CP179" s="340">
        <f t="shared" si="50"/>
        <v>0</v>
      </c>
      <c r="CQ179" s="340">
        <f t="shared" si="51"/>
        <v>0</v>
      </c>
      <c r="CR179" s="340">
        <f t="shared" si="52"/>
        <v>0</v>
      </c>
      <c r="CS179" s="340">
        <f t="shared" si="53"/>
        <v>0</v>
      </c>
      <c r="CT179" s="90">
        <f t="shared" si="54"/>
        <v>0</v>
      </c>
      <c r="CV179" s="90">
        <f t="shared" si="47"/>
        <v>0</v>
      </c>
    </row>
    <row r="180" spans="1:100">
      <c r="A180" s="325">
        <v>958</v>
      </c>
      <c r="B180" s="325" t="s">
        <v>418</v>
      </c>
      <c r="C180" s="209">
        <v>-184814.19</v>
      </c>
      <c r="D180" s="209">
        <v>-13001.76</v>
      </c>
      <c r="E180" s="209">
        <v>0</v>
      </c>
      <c r="F180" s="209">
        <v>-15693.64</v>
      </c>
      <c r="G180" s="209">
        <v>0</v>
      </c>
      <c r="H180" s="209">
        <v>8656.49</v>
      </c>
      <c r="I180" s="223">
        <v>-2255574.7000000002</v>
      </c>
      <c r="J180" s="223">
        <v>0</v>
      </c>
      <c r="K180" s="223">
        <v>-158063</v>
      </c>
      <c r="L180" s="223">
        <v>0</v>
      </c>
      <c r="M180" s="223">
        <v>-134890</v>
      </c>
      <c r="N180" s="223">
        <v>-3313.8599999999997</v>
      </c>
      <c r="O180" s="223">
        <v>-250</v>
      </c>
      <c r="P180" s="223">
        <v>-7418.73</v>
      </c>
      <c r="Q180" s="223">
        <v>-89514.000000000058</v>
      </c>
      <c r="R180" s="223">
        <v>-31016.920000000006</v>
      </c>
      <c r="S180" s="223">
        <v>0</v>
      </c>
      <c r="T180" s="223">
        <v>0</v>
      </c>
      <c r="U180" s="223">
        <v>-46140.270000000011</v>
      </c>
      <c r="V180" s="223">
        <v>-6265.87</v>
      </c>
      <c r="W180" s="223">
        <v>0</v>
      </c>
      <c r="X180" s="223">
        <v>-126723.93000000001</v>
      </c>
      <c r="Y180" s="223">
        <v>-14649.390000000001</v>
      </c>
      <c r="Z180" s="223">
        <v>0</v>
      </c>
      <c r="AA180" s="223">
        <v>0</v>
      </c>
      <c r="AB180" s="223">
        <v>75</v>
      </c>
      <c r="AC180" s="223">
        <v>-90503</v>
      </c>
      <c r="AD180" s="210">
        <v>1262012.29</v>
      </c>
      <c r="AE180" s="210">
        <v>12608.239999999998</v>
      </c>
      <c r="AF180" s="210">
        <v>611343.50999999989</v>
      </c>
      <c r="AG180" s="210">
        <v>33219.160000000003</v>
      </c>
      <c r="AH180" s="210">
        <v>159289.18</v>
      </c>
      <c r="AI180" s="210">
        <v>67218.44</v>
      </c>
      <c r="AJ180" s="210">
        <v>119772.95999999999</v>
      </c>
      <c r="AK180" s="210">
        <v>468.91</v>
      </c>
      <c r="AL180" s="210">
        <v>6164.95</v>
      </c>
      <c r="AM180" s="210">
        <v>10645.03</v>
      </c>
      <c r="AN180" s="210">
        <v>879.01</v>
      </c>
      <c r="AO180" s="210">
        <v>28256.140000000003</v>
      </c>
      <c r="AP180" s="210">
        <v>1042.49</v>
      </c>
      <c r="AQ180" s="210">
        <v>45011.869999999995</v>
      </c>
      <c r="AR180" s="210">
        <v>4073.9200000000005</v>
      </c>
      <c r="AS180" s="210">
        <v>43864.21</v>
      </c>
      <c r="AT180" s="210">
        <v>16203.1</v>
      </c>
      <c r="AU180" s="210">
        <v>10339.349999999997</v>
      </c>
      <c r="AV180" s="210">
        <v>94795.460000000021</v>
      </c>
      <c r="AW180" s="312">
        <v>0</v>
      </c>
      <c r="AX180" s="210">
        <v>0</v>
      </c>
      <c r="AY180" s="210">
        <v>0</v>
      </c>
      <c r="AZ180" s="210">
        <v>0</v>
      </c>
      <c r="BA180" s="210">
        <v>1554.3</v>
      </c>
      <c r="BB180" s="210">
        <v>3149.49</v>
      </c>
      <c r="BC180" s="210">
        <v>635</v>
      </c>
      <c r="BD180" s="210">
        <v>3210.42</v>
      </c>
      <c r="BE180" s="210">
        <v>0</v>
      </c>
      <c r="BF180" s="210">
        <v>16432.099999999999</v>
      </c>
      <c r="BG180" s="210">
        <v>21741.85</v>
      </c>
      <c r="BH180" s="210">
        <v>0</v>
      </c>
      <c r="BI180" s="210">
        <v>38096.160000000025</v>
      </c>
      <c r="BJ180" s="210">
        <v>33341.760000000002</v>
      </c>
      <c r="BK180" s="210">
        <v>48947.17</v>
      </c>
      <c r="BL180" s="210">
        <v>56510.04</v>
      </c>
      <c r="BM180" s="210">
        <v>0</v>
      </c>
      <c r="BN180" s="210">
        <v>0</v>
      </c>
      <c r="BO180" s="210">
        <v>119591.09000000001</v>
      </c>
      <c r="BP180" s="210">
        <v>3644.23</v>
      </c>
      <c r="BQ180" s="211">
        <v>-8696.8799999999992</v>
      </c>
      <c r="BR180" s="211">
        <v>0</v>
      </c>
      <c r="BS180" s="211">
        <v>0</v>
      </c>
      <c r="BT180" s="212">
        <v>0</v>
      </c>
      <c r="BU180" s="212">
        <v>0</v>
      </c>
      <c r="BV180" s="212">
        <v>2850</v>
      </c>
      <c r="BW180" s="212">
        <v>0</v>
      </c>
      <c r="BX180" s="212">
        <v>0</v>
      </c>
      <c r="BY180" s="212">
        <v>0</v>
      </c>
      <c r="BZ180" s="212">
        <v>0</v>
      </c>
      <c r="CA180" s="212">
        <v>0</v>
      </c>
      <c r="CB180" s="212">
        <v>8240.43</v>
      </c>
      <c r="CC180" s="224">
        <v>-292646.39000000071</v>
      </c>
      <c r="CD180" s="213"/>
      <c r="CE180" s="211">
        <v>248211.17999999985</v>
      </c>
      <c r="CF180" s="211">
        <v>21586.649999999994</v>
      </c>
      <c r="CG180" s="211">
        <v>0</v>
      </c>
      <c r="CH180" s="211">
        <v>13300.089999999998</v>
      </c>
      <c r="CI180" s="211">
        <v>0</v>
      </c>
      <c r="CJ180" s="211">
        <v>9548.4700000000012</v>
      </c>
      <c r="CK180" s="211">
        <v>292646.3899999999</v>
      </c>
      <c r="CL180" s="201"/>
      <c r="CM180" s="201">
        <f t="shared" si="40"/>
        <v>-8.149072527885437E-10</v>
      </c>
      <c r="CN180" s="340">
        <f t="shared" si="48"/>
        <v>248211.17999999985</v>
      </c>
      <c r="CO180" s="340">
        <f t="shared" si="49"/>
        <v>21586.649999999994</v>
      </c>
      <c r="CP180" s="340">
        <f t="shared" si="50"/>
        <v>0</v>
      </c>
      <c r="CQ180" s="340">
        <f t="shared" si="51"/>
        <v>13300.089999999998</v>
      </c>
      <c r="CR180" s="340">
        <f t="shared" si="52"/>
        <v>0</v>
      </c>
      <c r="CS180" s="340">
        <f t="shared" si="53"/>
        <v>9548.4700000000012</v>
      </c>
      <c r="CT180" s="90">
        <f t="shared" si="54"/>
        <v>292646.3899999999</v>
      </c>
      <c r="CV180" s="90">
        <f>CK180-CT180</f>
        <v>0</v>
      </c>
    </row>
    <row r="181" spans="1:100">
      <c r="A181" s="244"/>
      <c r="B181" s="244"/>
      <c r="C181" s="209"/>
      <c r="D181" s="209"/>
      <c r="E181" s="209"/>
      <c r="F181" s="209"/>
      <c r="G181" s="209"/>
      <c r="H181" s="209"/>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4"/>
      <c r="CD181" s="213"/>
      <c r="CE181" s="211"/>
      <c r="CF181" s="211"/>
      <c r="CG181" s="211"/>
      <c r="CH181" s="211"/>
      <c r="CI181" s="211"/>
      <c r="CJ181" s="211"/>
      <c r="CK181" s="211"/>
      <c r="CL181" s="201"/>
      <c r="CM181" s="201"/>
    </row>
    <row r="182" spans="1:100">
      <c r="A182" s="244"/>
      <c r="B182" s="244"/>
      <c r="C182" s="209"/>
      <c r="D182" s="209"/>
      <c r="E182" s="209"/>
      <c r="F182" s="209"/>
      <c r="G182" s="209"/>
      <c r="H182" s="209"/>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4"/>
      <c r="CD182" s="213"/>
      <c r="CE182" s="211"/>
      <c r="CF182" s="211"/>
      <c r="CG182" s="211"/>
      <c r="CH182" s="211"/>
      <c r="CI182" s="211"/>
      <c r="CJ182" s="211"/>
      <c r="CK182" s="211"/>
      <c r="CL182" s="201"/>
      <c r="CM182" s="201"/>
    </row>
    <row r="183" spans="1:100">
      <c r="A183" s="244"/>
      <c r="B183" s="244"/>
      <c r="C183" s="209"/>
      <c r="D183" s="209"/>
      <c r="E183" s="209"/>
      <c r="F183" s="209"/>
      <c r="G183" s="209"/>
      <c r="H183" s="209"/>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4"/>
      <c r="CD183" s="213"/>
      <c r="CE183" s="211"/>
      <c r="CF183" s="211"/>
      <c r="CG183" s="211"/>
      <c r="CH183" s="211"/>
      <c r="CI183" s="211"/>
      <c r="CJ183" s="211"/>
      <c r="CK183" s="211"/>
      <c r="CL183" s="201"/>
      <c r="CM183" s="201"/>
    </row>
    <row r="184" spans="1:100">
      <c r="A184" s="244"/>
      <c r="B184" s="244"/>
      <c r="C184" s="209"/>
      <c r="D184" s="209"/>
      <c r="E184" s="209"/>
      <c r="F184" s="209"/>
      <c r="G184" s="209"/>
      <c r="H184" s="209"/>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4"/>
      <c r="CD184" s="213"/>
      <c r="CE184" s="211"/>
      <c r="CF184" s="211"/>
      <c r="CG184" s="211"/>
      <c r="CH184" s="211"/>
      <c r="CI184" s="211"/>
      <c r="CJ184" s="211"/>
      <c r="CK184" s="211"/>
      <c r="CL184" s="201"/>
      <c r="CM184" s="201"/>
    </row>
    <row r="185" spans="1:100">
      <c r="A185" s="244"/>
      <c r="B185" s="244"/>
      <c r="C185" s="209"/>
      <c r="D185" s="209"/>
      <c r="E185" s="209"/>
      <c r="F185" s="209"/>
      <c r="G185" s="209"/>
      <c r="H185" s="209"/>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4"/>
      <c r="CD185" s="213"/>
      <c r="CE185" s="211"/>
      <c r="CF185" s="211"/>
      <c r="CG185" s="211"/>
      <c r="CH185" s="211"/>
      <c r="CI185" s="211"/>
      <c r="CJ185" s="211"/>
      <c r="CK185" s="211"/>
      <c r="CL185" s="201"/>
      <c r="CM185" s="201"/>
    </row>
    <row r="186" spans="1:100">
      <c r="A186" s="244"/>
      <c r="B186" s="244"/>
      <c r="C186" s="209"/>
      <c r="D186" s="209"/>
      <c r="E186" s="209"/>
      <c r="F186" s="209"/>
      <c r="G186" s="209"/>
      <c r="H186" s="209"/>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4">
        <v>0</v>
      </c>
      <c r="CD186" s="213"/>
      <c r="CE186" s="211"/>
      <c r="CF186" s="211"/>
      <c r="CG186" s="211"/>
      <c r="CH186" s="211"/>
      <c r="CI186" s="211"/>
      <c r="CJ186" s="211"/>
      <c r="CK186" s="211"/>
      <c r="CL186" s="201">
        <v>0</v>
      </c>
      <c r="CM186" s="201">
        <v>0</v>
      </c>
    </row>
    <row r="187" spans="1:100">
      <c r="A187" s="244"/>
      <c r="B187" s="244"/>
      <c r="C187" s="209"/>
      <c r="D187" s="209"/>
      <c r="E187" s="209"/>
      <c r="F187" s="209"/>
      <c r="G187" s="209"/>
      <c r="H187" s="209"/>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4">
        <v>0</v>
      </c>
      <c r="CD187" s="213"/>
      <c r="CE187" s="211"/>
      <c r="CF187" s="211"/>
      <c r="CG187" s="211"/>
      <c r="CH187" s="211"/>
      <c r="CI187" s="211"/>
      <c r="CJ187" s="211"/>
      <c r="CK187" s="211"/>
      <c r="CL187" s="201">
        <v>0</v>
      </c>
      <c r="CM187" s="201">
        <v>0</v>
      </c>
    </row>
    <row r="188" spans="1:100">
      <c r="A188" s="244"/>
      <c r="B188" s="244"/>
      <c r="C188" s="209"/>
      <c r="D188" s="209"/>
      <c r="E188" s="209"/>
      <c r="F188" s="209"/>
      <c r="G188" s="209"/>
      <c r="H188" s="209"/>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4">
        <v>0</v>
      </c>
      <c r="CD188" s="213"/>
      <c r="CE188" s="211"/>
      <c r="CF188" s="211"/>
      <c r="CG188" s="211"/>
      <c r="CH188" s="211"/>
      <c r="CI188" s="211"/>
      <c r="CJ188" s="211"/>
      <c r="CK188" s="211"/>
      <c r="CL188" s="201">
        <v>0</v>
      </c>
      <c r="CM188" s="201">
        <v>0</v>
      </c>
    </row>
    <row r="189" spans="1:100">
      <c r="A189" s="244"/>
      <c r="B189" s="244"/>
      <c r="C189" s="209"/>
      <c r="D189" s="209"/>
      <c r="E189" s="209"/>
      <c r="F189" s="209"/>
      <c r="G189" s="209"/>
      <c r="H189" s="209"/>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4">
        <v>0</v>
      </c>
      <c r="CD189" s="213"/>
      <c r="CE189" s="211"/>
      <c r="CF189" s="211"/>
      <c r="CG189" s="211"/>
      <c r="CH189" s="211"/>
      <c r="CI189" s="211"/>
      <c r="CJ189" s="211"/>
      <c r="CK189" s="211"/>
      <c r="CL189" s="201">
        <v>0</v>
      </c>
      <c r="CM189" s="201">
        <v>0</v>
      </c>
    </row>
    <row r="190" spans="1:100">
      <c r="A190" s="244"/>
      <c r="B190" s="244"/>
      <c r="C190" s="209"/>
      <c r="D190" s="209"/>
      <c r="E190" s="209"/>
      <c r="F190" s="209"/>
      <c r="G190" s="209"/>
      <c r="H190" s="209"/>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4">
        <v>0</v>
      </c>
      <c r="CD190" s="213"/>
      <c r="CE190" s="211"/>
      <c r="CF190" s="211"/>
      <c r="CG190" s="211"/>
      <c r="CH190" s="211"/>
      <c r="CI190" s="211"/>
      <c r="CJ190" s="211"/>
      <c r="CK190" s="211"/>
      <c r="CL190" s="201">
        <v>0</v>
      </c>
      <c r="CM190" s="201">
        <v>0</v>
      </c>
    </row>
    <row r="191" spans="1:100">
      <c r="A191" s="244"/>
      <c r="B191" s="244"/>
      <c r="C191" s="209"/>
      <c r="D191" s="209"/>
      <c r="E191" s="209"/>
      <c r="F191" s="209"/>
      <c r="G191" s="209"/>
      <c r="H191" s="209"/>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4">
        <v>0</v>
      </c>
      <c r="CD191" s="213"/>
      <c r="CE191" s="211"/>
      <c r="CF191" s="211"/>
      <c r="CG191" s="211"/>
      <c r="CH191" s="211"/>
      <c r="CI191" s="211"/>
      <c r="CJ191" s="211"/>
      <c r="CK191" s="211"/>
      <c r="CL191" s="201">
        <v>0</v>
      </c>
      <c r="CM191" s="201">
        <v>0</v>
      </c>
    </row>
    <row r="192" spans="1:100">
      <c r="A192" s="244"/>
      <c r="B192" s="244"/>
      <c r="C192" s="209"/>
      <c r="D192" s="209"/>
      <c r="E192" s="209"/>
      <c r="F192" s="209"/>
      <c r="G192" s="209"/>
      <c r="H192" s="209"/>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4">
        <v>0</v>
      </c>
      <c r="CD192" s="213"/>
      <c r="CE192" s="211"/>
      <c r="CF192" s="211"/>
      <c r="CG192" s="211"/>
      <c r="CH192" s="211"/>
      <c r="CI192" s="211"/>
      <c r="CJ192" s="211"/>
      <c r="CK192" s="211"/>
      <c r="CL192" s="201">
        <v>0</v>
      </c>
      <c r="CM192" s="201">
        <v>0</v>
      </c>
    </row>
    <row r="193" spans="1:91">
      <c r="A193" s="244"/>
      <c r="B193" s="244"/>
      <c r="C193" s="209"/>
      <c r="D193" s="209"/>
      <c r="E193" s="209"/>
      <c r="F193" s="209"/>
      <c r="G193" s="209"/>
      <c r="H193" s="209"/>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4">
        <v>0</v>
      </c>
      <c r="CD193" s="213"/>
      <c r="CE193" s="211"/>
      <c r="CF193" s="211"/>
      <c r="CG193" s="211"/>
      <c r="CH193" s="211"/>
      <c r="CI193" s="211"/>
      <c r="CJ193" s="211"/>
      <c r="CK193" s="211"/>
      <c r="CL193" s="201">
        <v>0</v>
      </c>
      <c r="CM193" s="201">
        <v>0</v>
      </c>
    </row>
    <row r="194" spans="1:91">
      <c r="A194" s="244"/>
      <c r="B194" s="244"/>
      <c r="C194" s="209"/>
      <c r="D194" s="209"/>
      <c r="E194" s="209"/>
      <c r="F194" s="209"/>
      <c r="G194" s="209"/>
      <c r="H194" s="209"/>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4">
        <v>0</v>
      </c>
      <c r="CD194" s="213"/>
      <c r="CE194" s="211"/>
      <c r="CF194" s="211"/>
      <c r="CG194" s="211"/>
      <c r="CH194" s="211"/>
      <c r="CI194" s="211"/>
      <c r="CJ194" s="211"/>
      <c r="CK194" s="211"/>
      <c r="CL194" s="201">
        <v>0</v>
      </c>
      <c r="CM194" s="201">
        <v>0</v>
      </c>
    </row>
    <row r="195" spans="1:91">
      <c r="A195" s="244"/>
      <c r="B195" s="244"/>
      <c r="C195" s="209"/>
      <c r="D195" s="209"/>
      <c r="E195" s="209"/>
      <c r="F195" s="209"/>
      <c r="G195" s="209"/>
      <c r="H195" s="209"/>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4">
        <v>0</v>
      </c>
      <c r="CD195" s="213"/>
      <c r="CE195" s="211"/>
      <c r="CF195" s="211"/>
      <c r="CG195" s="211"/>
      <c r="CH195" s="211"/>
      <c r="CI195" s="211"/>
      <c r="CJ195" s="211"/>
      <c r="CK195" s="211"/>
      <c r="CL195" s="201">
        <v>0</v>
      </c>
      <c r="CM195" s="201">
        <v>0</v>
      </c>
    </row>
    <row r="196" spans="1:91">
      <c r="A196" s="244"/>
      <c r="B196" s="244"/>
      <c r="C196" s="209"/>
      <c r="D196" s="209"/>
      <c r="E196" s="209"/>
      <c r="F196" s="209"/>
      <c r="G196" s="209"/>
      <c r="H196" s="209"/>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4">
        <v>0</v>
      </c>
      <c r="CD196" s="213"/>
      <c r="CE196" s="211"/>
      <c r="CF196" s="211"/>
      <c r="CG196" s="211"/>
      <c r="CH196" s="211"/>
      <c r="CI196" s="211"/>
      <c r="CJ196" s="211"/>
      <c r="CK196" s="211"/>
      <c r="CL196" s="201">
        <v>0</v>
      </c>
      <c r="CM196" s="201">
        <v>0</v>
      </c>
    </row>
    <row r="197" spans="1:91">
      <c r="A197" s="244"/>
      <c r="B197" s="244"/>
      <c r="C197" s="209"/>
      <c r="D197" s="209"/>
      <c r="E197" s="209"/>
      <c r="F197" s="209"/>
      <c r="G197" s="209"/>
      <c r="H197" s="209"/>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5"/>
      <c r="CD197" s="213"/>
      <c r="CE197" s="211"/>
      <c r="CF197" s="211"/>
      <c r="CG197" s="211"/>
      <c r="CH197" s="211"/>
      <c r="CI197" s="211"/>
      <c r="CJ197" s="211"/>
      <c r="CK197" s="211"/>
      <c r="CL197" s="201">
        <v>0</v>
      </c>
    </row>
    <row r="198" spans="1:91">
      <c r="A198" s="244"/>
      <c r="B198" s="244"/>
      <c r="C198" s="209"/>
      <c r="D198" s="209"/>
      <c r="E198" s="209"/>
      <c r="F198" s="209"/>
      <c r="G198" s="209"/>
      <c r="H198" s="209"/>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5"/>
      <c r="CD198" s="213"/>
      <c r="CE198" s="211"/>
      <c r="CF198" s="211"/>
      <c r="CG198" s="211"/>
      <c r="CH198" s="211"/>
      <c r="CI198" s="211"/>
      <c r="CJ198" s="211"/>
      <c r="CK198" s="211"/>
      <c r="CL198" s="201">
        <v>0</v>
      </c>
    </row>
    <row r="199" spans="1:91">
      <c r="A199" s="244"/>
      <c r="B199" s="244"/>
      <c r="C199" s="209"/>
      <c r="D199" s="209"/>
      <c r="E199" s="209"/>
      <c r="F199" s="209"/>
      <c r="G199" s="209"/>
      <c r="H199" s="209"/>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5"/>
      <c r="CD199" s="213"/>
      <c r="CE199" s="211"/>
      <c r="CF199" s="211"/>
      <c r="CG199" s="211"/>
      <c r="CH199" s="211"/>
      <c r="CI199" s="211"/>
      <c r="CJ199" s="211"/>
      <c r="CK199" s="211"/>
      <c r="CL199" s="201">
        <v>0</v>
      </c>
    </row>
    <row r="200" spans="1:91">
      <c r="A200" s="244"/>
      <c r="B200" s="244"/>
      <c r="C200" s="209"/>
      <c r="D200" s="209"/>
      <c r="E200" s="209"/>
      <c r="F200" s="209"/>
      <c r="G200" s="209"/>
      <c r="H200" s="209"/>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5"/>
      <c r="CD200" s="213"/>
      <c r="CE200" s="211"/>
      <c r="CF200" s="211"/>
      <c r="CG200" s="211"/>
      <c r="CH200" s="211"/>
      <c r="CI200" s="211"/>
      <c r="CJ200" s="211"/>
      <c r="CK200" s="211"/>
      <c r="CL200" s="201">
        <v>0</v>
      </c>
    </row>
    <row r="201" spans="1:91">
      <c r="A201" s="244"/>
      <c r="B201" s="244"/>
      <c r="C201" s="209"/>
      <c r="D201" s="209"/>
      <c r="E201" s="209"/>
      <c r="F201" s="209"/>
      <c r="G201" s="209"/>
      <c r="H201" s="209"/>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5"/>
      <c r="CD201" s="213"/>
      <c r="CE201" s="211"/>
      <c r="CF201" s="211"/>
      <c r="CG201" s="211"/>
      <c r="CH201" s="211"/>
      <c r="CI201" s="211"/>
      <c r="CJ201" s="211"/>
      <c r="CK201" s="211"/>
      <c r="CL201" s="201">
        <v>0</v>
      </c>
    </row>
    <row r="202" spans="1:91">
      <c r="A202" s="244"/>
      <c r="B202" s="244"/>
      <c r="C202" s="209"/>
      <c r="D202" s="209"/>
      <c r="E202" s="209"/>
      <c r="F202" s="209"/>
      <c r="G202" s="209"/>
      <c r="H202" s="209"/>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5"/>
      <c r="CD202" s="213"/>
      <c r="CE202" s="211"/>
      <c r="CF202" s="211"/>
      <c r="CG202" s="211"/>
      <c r="CH202" s="211"/>
      <c r="CI202" s="211"/>
      <c r="CJ202" s="211"/>
      <c r="CK202" s="211"/>
    </row>
    <row r="203" spans="1:91">
      <c r="A203" s="244"/>
      <c r="B203" s="244"/>
      <c r="C203" s="209"/>
      <c r="D203" s="209"/>
      <c r="E203" s="209"/>
      <c r="F203" s="209"/>
      <c r="G203" s="209"/>
      <c r="H203" s="209"/>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5"/>
      <c r="CD203" s="213"/>
      <c r="CE203" s="211"/>
      <c r="CF203" s="211"/>
      <c r="CG203" s="211"/>
      <c r="CH203" s="211"/>
      <c r="CI203" s="211"/>
      <c r="CJ203" s="211"/>
      <c r="CK203" s="211"/>
    </row>
    <row r="204" spans="1:91">
      <c r="A204" s="244"/>
      <c r="B204" s="244"/>
      <c r="C204" s="209"/>
      <c r="D204" s="209"/>
      <c r="E204" s="209"/>
      <c r="F204" s="209"/>
      <c r="G204" s="209"/>
      <c r="H204" s="209"/>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5"/>
      <c r="CD204" s="213"/>
      <c r="CE204" s="211"/>
      <c r="CF204" s="211"/>
      <c r="CG204" s="211"/>
      <c r="CH204" s="211"/>
      <c r="CI204" s="211"/>
      <c r="CJ204" s="211"/>
      <c r="CK204" s="211"/>
    </row>
    <row r="205" spans="1:91">
      <c r="A205" s="244"/>
      <c r="B205" s="244"/>
      <c r="C205" s="209"/>
      <c r="D205" s="209"/>
      <c r="E205" s="209"/>
      <c r="F205" s="209"/>
      <c r="G205" s="209"/>
      <c r="H205" s="209"/>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5"/>
      <c r="CD205" s="213"/>
      <c r="CE205" s="211"/>
      <c r="CF205" s="211"/>
      <c r="CG205" s="211"/>
      <c r="CH205" s="211"/>
      <c r="CI205" s="211"/>
      <c r="CJ205" s="211"/>
      <c r="CK205" s="211"/>
    </row>
    <row r="206" spans="1:91">
      <c r="A206" s="244"/>
      <c r="B206" s="244"/>
      <c r="C206" s="209"/>
      <c r="D206" s="209"/>
      <c r="E206" s="209"/>
      <c r="F206" s="209"/>
      <c r="G206" s="209"/>
      <c r="H206" s="209"/>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5"/>
      <c r="CD206" s="213"/>
      <c r="CE206" s="211"/>
      <c r="CF206" s="211"/>
      <c r="CG206" s="211"/>
      <c r="CH206" s="211"/>
      <c r="CI206" s="211"/>
      <c r="CJ206" s="211"/>
      <c r="CK206" s="211"/>
    </row>
    <row r="207" spans="1:91">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c r="CE207" s="90">
        <v>19497386.910000008</v>
      </c>
      <c r="CF207" s="90">
        <v>2051144.9399999992</v>
      </c>
      <c r="CG207" s="90">
        <v>5024.2</v>
      </c>
      <c r="CH207" s="90">
        <v>1726876.9700000004</v>
      </c>
      <c r="CI207" s="90">
        <v>223256.99</v>
      </c>
      <c r="CJ207" s="90">
        <v>572673.41</v>
      </c>
      <c r="CK207" s="90">
        <v>24076363.419999994</v>
      </c>
    </row>
  </sheetData>
  <autoFilter ref="A1:CN201" xr:uid="{00000000-0001-0000-0200-000000000000}"/>
  <mergeCells count="6">
    <mergeCell ref="CN2:CU2"/>
    <mergeCell ref="C2:H2"/>
    <mergeCell ref="I2:AC2"/>
    <mergeCell ref="AD2:BP2"/>
    <mergeCell ref="BQ2:BS2"/>
    <mergeCell ref="BT2:CB2"/>
  </mergeCells>
  <phoneticPr fontId="13"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CC4" activePane="bottomRight" state="frozen"/>
      <selection activeCell="Z1" sqref="Z1:AC1048576"/>
      <selection pane="topRight" activeCell="Z1" sqref="Z1:AC1048576"/>
      <selection pane="bottomLeft" activeCell="Z1" sqref="Z1:AC1048576"/>
      <selection pane="bottomRight" activeCell="CG4" sqref="CG4"/>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1" width="9.140625" customWidth="1"/>
    <col min="32" max="32" width="11.57031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419</v>
      </c>
      <c r="CO1" s="67" t="s">
        <v>419</v>
      </c>
      <c r="CP1" s="67" t="s">
        <v>419</v>
      </c>
      <c r="CQ1" s="67" t="s">
        <v>419</v>
      </c>
      <c r="CR1" s="88" t="s">
        <v>419</v>
      </c>
      <c r="CS1" s="67" t="s">
        <v>292</v>
      </c>
    </row>
    <row r="2" spans="1:100" ht="12.75" customHeight="1">
      <c r="B2" s="55"/>
      <c r="C2" s="55"/>
      <c r="D2" s="129" t="s">
        <v>420</v>
      </c>
      <c r="E2" s="129" t="s">
        <v>420</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421</v>
      </c>
      <c r="CO2" s="95" t="s">
        <v>422</v>
      </c>
      <c r="CP2" s="96" t="s">
        <v>423</v>
      </c>
      <c r="CQ2" s="96" t="s">
        <v>424</v>
      </c>
      <c r="CR2" s="93" t="s">
        <v>425</v>
      </c>
      <c r="CS2" s="91" t="s">
        <v>426</v>
      </c>
    </row>
    <row r="3" spans="1:100" ht="30.75" customHeight="1" thickBot="1">
      <c r="A3" s="61" t="s">
        <v>427</v>
      </c>
      <c r="B3" s="61" t="s">
        <v>428</v>
      </c>
      <c r="C3" s="61" t="s">
        <v>165</v>
      </c>
      <c r="D3" s="62" t="s">
        <v>317</v>
      </c>
      <c r="E3" s="62" t="s">
        <v>5</v>
      </c>
      <c r="F3" s="62" t="s">
        <v>319</v>
      </c>
      <c r="G3" s="62" t="s">
        <v>320</v>
      </c>
      <c r="H3" s="62" t="s">
        <v>429</v>
      </c>
      <c r="I3" s="62" t="s">
        <v>321</v>
      </c>
      <c r="J3" s="62" t="s">
        <v>322</v>
      </c>
      <c r="K3" s="63" t="s">
        <v>323</v>
      </c>
      <c r="L3" s="63" t="s">
        <v>324</v>
      </c>
      <c r="M3" s="63" t="s">
        <v>325</v>
      </c>
      <c r="N3" s="63" t="s">
        <v>326</v>
      </c>
      <c r="O3" s="63" t="s">
        <v>327</v>
      </c>
      <c r="P3" s="63" t="s">
        <v>328</v>
      </c>
      <c r="Q3" s="63" t="s">
        <v>329</v>
      </c>
      <c r="R3" s="63" t="s">
        <v>32</v>
      </c>
      <c r="S3" s="63" t="s">
        <v>34</v>
      </c>
      <c r="T3" s="63" t="s">
        <v>332</v>
      </c>
      <c r="U3" s="63" t="s">
        <v>333</v>
      </c>
      <c r="V3" s="63" t="s">
        <v>334</v>
      </c>
      <c r="W3" s="63" t="s">
        <v>335</v>
      </c>
      <c r="X3" s="63" t="s">
        <v>336</v>
      </c>
      <c r="Y3" s="163" t="s">
        <v>430</v>
      </c>
      <c r="Z3" s="63" t="s">
        <v>337</v>
      </c>
      <c r="AA3" s="63" t="s">
        <v>338</v>
      </c>
      <c r="AB3" s="63" t="s">
        <v>339</v>
      </c>
      <c r="AC3" s="311" t="s">
        <v>340</v>
      </c>
      <c r="AD3" s="311" t="s">
        <v>341</v>
      </c>
      <c r="AE3" s="311" t="s">
        <v>342</v>
      </c>
      <c r="AF3" s="311" t="s">
        <v>343</v>
      </c>
      <c r="AG3" s="64" t="s">
        <v>344</v>
      </c>
      <c r="AH3" s="64" t="s">
        <v>345</v>
      </c>
      <c r="AI3" s="64" t="s">
        <v>346</v>
      </c>
      <c r="AJ3" s="64" t="s">
        <v>347</v>
      </c>
      <c r="AK3" s="64" t="s">
        <v>348</v>
      </c>
      <c r="AL3" s="64" t="s">
        <v>349</v>
      </c>
      <c r="AM3" s="64" t="s">
        <v>350</v>
      </c>
      <c r="AN3" s="64" t="s">
        <v>351</v>
      </c>
      <c r="AO3" s="64" t="s">
        <v>352</v>
      </c>
      <c r="AP3" s="64" t="s">
        <v>353</v>
      </c>
      <c r="AQ3" s="64" t="s">
        <v>354</v>
      </c>
      <c r="AR3" s="64" t="s">
        <v>355</v>
      </c>
      <c r="AS3" s="64" t="s">
        <v>356</v>
      </c>
      <c r="AT3" s="64" t="s">
        <v>357</v>
      </c>
      <c r="AU3" s="64" t="s">
        <v>358</v>
      </c>
      <c r="AV3" s="64" t="s">
        <v>359</v>
      </c>
      <c r="AW3" s="64" t="s">
        <v>360</v>
      </c>
      <c r="AX3" s="64" t="s">
        <v>361</v>
      </c>
      <c r="AY3" s="64" t="s">
        <v>362</v>
      </c>
      <c r="AZ3" s="311" t="s">
        <v>363</v>
      </c>
      <c r="BA3" s="293" t="s">
        <v>772</v>
      </c>
      <c r="BB3" s="293" t="s">
        <v>774</v>
      </c>
      <c r="BC3" s="293" t="s">
        <v>776</v>
      </c>
      <c r="BD3" s="293" t="s">
        <v>778</v>
      </c>
      <c r="BE3" s="293" t="s">
        <v>779</v>
      </c>
      <c r="BF3" s="293" t="s">
        <v>782</v>
      </c>
      <c r="BG3" s="293" t="s">
        <v>783</v>
      </c>
      <c r="BH3" s="64" t="s">
        <v>364</v>
      </c>
      <c r="BI3" s="64" t="s">
        <v>365</v>
      </c>
      <c r="BJ3" s="64" t="s">
        <v>366</v>
      </c>
      <c r="BK3" s="64" t="s">
        <v>367</v>
      </c>
      <c r="BL3" s="64" t="s">
        <v>368</v>
      </c>
      <c r="BM3" s="64" t="s">
        <v>369</v>
      </c>
      <c r="BN3" s="64" t="s">
        <v>370</v>
      </c>
      <c r="BO3" s="64" t="s">
        <v>431</v>
      </c>
      <c r="BP3" s="281" t="s">
        <v>432</v>
      </c>
      <c r="BQ3" s="64" t="s">
        <v>372</v>
      </c>
      <c r="BR3" s="64" t="s">
        <v>373</v>
      </c>
      <c r="BS3" s="64" t="s">
        <v>374</v>
      </c>
      <c r="BT3" s="64" t="s">
        <v>375</v>
      </c>
      <c r="BU3" s="61" t="s">
        <v>376</v>
      </c>
      <c r="BV3" s="61" t="s">
        <v>377</v>
      </c>
      <c r="BW3" s="61" t="s">
        <v>378</v>
      </c>
      <c r="BX3" s="65" t="s">
        <v>379</v>
      </c>
      <c r="BY3" s="65" t="s">
        <v>380</v>
      </c>
      <c r="BZ3" s="65" t="s">
        <v>381</v>
      </c>
      <c r="CA3" s="311" t="s">
        <v>382</v>
      </c>
      <c r="CB3" s="294" t="s">
        <v>800</v>
      </c>
      <c r="CC3" s="294" t="s">
        <v>788</v>
      </c>
      <c r="CD3" s="294" t="s">
        <v>789</v>
      </c>
      <c r="CE3" s="294" t="s">
        <v>801</v>
      </c>
      <c r="CF3" s="294" t="s">
        <v>802</v>
      </c>
      <c r="CG3" s="56" t="s">
        <v>169</v>
      </c>
      <c r="CK3" s="123" t="s">
        <v>433</v>
      </c>
      <c r="CL3" s="66" t="s">
        <v>434</v>
      </c>
      <c r="CN3" s="95"/>
      <c r="CO3" s="95"/>
      <c r="CP3" s="96"/>
      <c r="CQ3" s="96"/>
      <c r="CR3" s="94"/>
      <c r="CS3" s="84">
        <f>AVERAGE(CS4:CS135)</f>
        <v>73.994507676429009</v>
      </c>
      <c r="CT3" s="80" t="s">
        <v>435</v>
      </c>
      <c r="CU3" s="80" t="s">
        <v>436</v>
      </c>
      <c r="CV3" s="92" t="s">
        <v>437</v>
      </c>
    </row>
    <row r="4" spans="1:100" s="131" customFormat="1">
      <c r="A4" s="266">
        <v>101520</v>
      </c>
      <c r="B4" s="266">
        <v>101520</v>
      </c>
      <c r="C4" s="267" t="s">
        <v>713</v>
      </c>
      <c r="D4" s="277">
        <f>SUMIF('125-599'!$1:$1,D$3,'125-599'!3:3)</f>
        <v>-770543.81</v>
      </c>
      <c r="E4" s="277">
        <f>SUMIF('125-599'!$1:$1,E$3,'125-599'!3:3)</f>
        <v>-9578</v>
      </c>
      <c r="F4" s="277">
        <f>SUMIF('125-599'!$1:$1,F$3,'125-599'!3:3)</f>
        <v>0</v>
      </c>
      <c r="G4" s="277">
        <f>SUMIF('125-599'!$1:$1,G$3,'125-599'!3:3)</f>
        <v>-14938.73</v>
      </c>
      <c r="H4" s="277">
        <f>SUMIF('125-599'!$1:$1,H$3,'125-599'!3:3)</f>
        <v>0</v>
      </c>
      <c r="I4" s="277">
        <f>SUMIF('125-599'!$1:$1,I$3,'125-599'!3:3)</f>
        <v>0</v>
      </c>
      <c r="J4" s="277">
        <f>SUMIF('125-599'!$1:$1,J$3,'125-599'!3:3)</f>
        <v>0</v>
      </c>
      <c r="K4" s="277">
        <f>SUMIF('125-599'!$1:$1,K$3,'125-599'!3:3)</f>
        <v>-3349248.5100000002</v>
      </c>
      <c r="L4" s="277">
        <f>SUMIF('125-599'!$1:$1,L$3,'125-599'!3:3)</f>
        <v>0</v>
      </c>
      <c r="M4" s="277">
        <f>SUMIF('125-599'!$1:$1,M$3,'125-599'!3:3)</f>
        <v>-3952724.2600000002</v>
      </c>
      <c r="N4" s="277">
        <f>SUMIF('125-599'!$1:$1,N$3,'125-599'!3:3)</f>
        <v>0</v>
      </c>
      <c r="O4" s="277">
        <f>SUMIF('125-599'!$1:$1,O$3,'125-599'!3:3)</f>
        <v>-207914.88</v>
      </c>
      <c r="P4" s="277">
        <f>SUMIF('125-599'!$1:$1,P$3,'125-599'!3:3)</f>
        <v>-19830.29</v>
      </c>
      <c r="Q4" s="277">
        <f>SUMIF('125-599'!$1:$1,Q$3,'125-599'!3:3)</f>
        <v>-1089.7</v>
      </c>
      <c r="R4" s="277">
        <f>SUMIF('125-599'!$1:$1,R$3,'125-599'!3:3)</f>
        <v>0</v>
      </c>
      <c r="S4" s="277">
        <f>SUMIF('125-599'!$1:$1,S$3,'125-599'!3:3)</f>
        <v>-66692.160000000003</v>
      </c>
      <c r="T4" s="277">
        <f>SUMIF('125-599'!$1:$1,T$3,'125-599'!3:3)</f>
        <v>0</v>
      </c>
      <c r="U4" s="277">
        <f>SUMIF('125-599'!$1:$1,U$3,'125-599'!3:3)</f>
        <v>0</v>
      </c>
      <c r="V4" s="277">
        <f>SUMIF('125-599'!$1:$1,V$3,'125-599'!3:3)</f>
        <v>0</v>
      </c>
      <c r="W4" s="277">
        <f>SUMIF('125-599'!$1:$1,W$3,'125-599'!3:3)</f>
        <v>0</v>
      </c>
      <c r="X4" s="277">
        <f>SUMIF('125-599'!$1:$1,X$3,'125-599'!3:3)</f>
        <v>0</v>
      </c>
      <c r="Y4" s="277">
        <f>SUMIF('125-599'!$1:$1,Y$3,'125-599'!3:3)</f>
        <v>0</v>
      </c>
      <c r="Z4" s="277">
        <f>SUMIF('125-599'!$1:$1,Z$3,'125-599'!3:3)</f>
        <v>0</v>
      </c>
      <c r="AA4" s="277">
        <f>SUMIF('125-599'!$1:$1,AA$3,'125-599'!3:3)</f>
        <v>0</v>
      </c>
      <c r="AB4" s="277">
        <f>SUMIF('125-599'!$1:$1,AB$3,'125-599'!3:3)</f>
        <v>0</v>
      </c>
      <c r="AC4" s="312">
        <f>SUMIF('125-599'!$1:$1,AC$3,'125-599'!3:3)</f>
        <v>0</v>
      </c>
      <c r="AD4" s="312">
        <f>SUMIF('125-599'!$1:$1,AD$3,'125-599'!3:3)</f>
        <v>0</v>
      </c>
      <c r="AE4" s="312">
        <f>SUMIF('125-599'!$1:$1,AE$3,'125-599'!3:3)</f>
        <v>0</v>
      </c>
      <c r="AF4" s="312">
        <f>SUMIF('125-599'!$1:$1,AF$3,'125-599'!3:3)</f>
        <v>0</v>
      </c>
      <c r="AG4" s="277">
        <f>SUMIF('125-599'!$1:$1,AG$3,'125-599'!3:3)</f>
        <v>2815113.91</v>
      </c>
      <c r="AH4" s="277">
        <f>SUMIF('125-599'!$1:$1,AH$3,'125-599'!3:3)</f>
        <v>6237.5599999999995</v>
      </c>
      <c r="AI4" s="277">
        <f>SUMIF('125-599'!$1:$1,AI$3,'125-599'!3:3)</f>
        <v>1758349.64</v>
      </c>
      <c r="AJ4" s="277">
        <f>SUMIF('125-599'!$1:$1,AJ$3,'125-599'!3:3)</f>
        <v>54780.990000000013</v>
      </c>
      <c r="AK4" s="277">
        <f>SUMIF('125-599'!$1:$1,AK$3,'125-599'!3:3)</f>
        <v>430506.86</v>
      </c>
      <c r="AL4" s="277">
        <f>SUMIF('125-599'!$1:$1,AL$3,'125-599'!3:3)</f>
        <v>72183.47</v>
      </c>
      <c r="AM4" s="277">
        <f>SUMIF('125-599'!$1:$1,AM$3,'125-599'!3:3)</f>
        <v>58843.71</v>
      </c>
      <c r="AN4" s="277">
        <f>SUMIF('125-599'!$1:$1,AN$3,'125-599'!3:3)</f>
        <v>143722.76999999999</v>
      </c>
      <c r="AO4" s="277">
        <f>SUMIF('125-599'!$1:$1,AO$3,'125-599'!3:3)</f>
        <v>36662.619999999995</v>
      </c>
      <c r="AP4" s="277">
        <f>SUMIF('125-599'!$1:$1,AP$3,'125-599'!3:3)</f>
        <v>22372.35</v>
      </c>
      <c r="AQ4" s="277">
        <f>SUMIF('125-599'!$1:$1,AQ$3,'125-599'!3:3)</f>
        <v>0</v>
      </c>
      <c r="AR4" s="277">
        <f>SUMIF('125-599'!$1:$1,AR$3,'125-599'!3:3)</f>
        <v>155197.42999999996</v>
      </c>
      <c r="AS4" s="277">
        <f>SUMIF('125-599'!$1:$1,AS$3,'125-599'!3:3)</f>
        <v>29143.96</v>
      </c>
      <c r="AT4" s="277">
        <f>SUMIF('125-599'!$1:$1,AT$3,'125-599'!3:3)</f>
        <v>107226.38</v>
      </c>
      <c r="AU4" s="277">
        <f>SUMIF('125-599'!$1:$1,AU$3,'125-599'!3:3)</f>
        <v>11050.599999999989</v>
      </c>
      <c r="AV4" s="277">
        <f>SUMIF('125-599'!$1:$1,AV$3,'125-599'!3:3)</f>
        <v>102832.05999999995</v>
      </c>
      <c r="AW4" s="277">
        <f>SUMIF('125-599'!$1:$1,AW$3,'125-599'!3:3)</f>
        <v>18054.2</v>
      </c>
      <c r="AX4" s="277">
        <f>SUMIF('125-599'!$1:$1,AX$3,'125-599'!3:3)</f>
        <v>29453.350000000006</v>
      </c>
      <c r="AY4" s="277">
        <f>SUMIF('125-599'!$1:$1,AY$3,'125-599'!3:3)</f>
        <v>242231.24999999997</v>
      </c>
      <c r="AZ4" s="312">
        <f>SUMIF('125-599'!$1:$1,AZ$3,'125-599'!3:3)</f>
        <v>0</v>
      </c>
      <c r="BA4" s="277">
        <f>SUMIF('125-599'!$1:$1,BA$3,'125-599'!3:3)</f>
        <v>34025.47</v>
      </c>
      <c r="BB4" s="277">
        <f>SUMIF('125-599'!$1:$1,BB$3,'125-599'!3:3)</f>
        <v>0</v>
      </c>
      <c r="BC4" s="277">
        <f>SUMIF('125-599'!$1:$1,BC$3,'125-599'!3:3)</f>
        <v>39405.869999999995</v>
      </c>
      <c r="BD4" s="277">
        <f>SUMIF('125-599'!$1:$1,BD$3,'125-599'!3:3)</f>
        <v>665.96</v>
      </c>
      <c r="BE4" s="277">
        <f>SUMIF('125-599'!$1:$1,BE$3,'125-599'!3:3)</f>
        <v>47336.81</v>
      </c>
      <c r="BF4" s="277">
        <f>SUMIF('125-599'!$1:$1,BF$3,'125-599'!3:3)</f>
        <v>22805.500000000004</v>
      </c>
      <c r="BG4" s="277">
        <f>SUMIF('125-599'!$1:$1,BG$3,'125-599'!3:3)</f>
        <v>100075.18000000001</v>
      </c>
      <c r="BH4" s="277">
        <f>SUMIF('125-599'!$1:$1,BH$3,'125-599'!3:3)</f>
        <v>18398.829999999994</v>
      </c>
      <c r="BI4" s="277">
        <f>SUMIF('125-599'!$1:$1,BI$3,'125-599'!3:3)</f>
        <v>46306.549999999996</v>
      </c>
      <c r="BJ4" s="277">
        <f>SUMIF('125-599'!$1:$1,BJ$3,'125-599'!3:3)</f>
        <v>12657.11</v>
      </c>
      <c r="BK4" s="277">
        <f>SUMIF('125-599'!$1:$1,BK$3,'125-599'!3:3)</f>
        <v>0</v>
      </c>
      <c r="BL4" s="277">
        <f>SUMIF('125-599'!$1:$1,BL$3,'125-599'!3:3)</f>
        <v>112229.27999999996</v>
      </c>
      <c r="BM4" s="277">
        <f>SUMIF('125-599'!$1:$1,BM$3,'125-599'!3:3)</f>
        <v>58920.749999999993</v>
      </c>
      <c r="BN4" s="277">
        <f>SUMIF('125-599'!$1:$1,BN$3,'125-599'!3:3)</f>
        <v>817481.56999999972</v>
      </c>
      <c r="BO4" s="277">
        <f>SUMIF('125-599'!$1:$1,BO$3,'125-599'!3:3)</f>
        <v>81506.569999999934</v>
      </c>
      <c r="BP4" s="277">
        <f>SUMIF('125-599'!$1:$1,BP$3,'125-599'!3:3)</f>
        <v>0</v>
      </c>
      <c r="BQ4" s="277">
        <f>SUMIF('125-599'!$1:$1,BQ$3,'125-599'!3:3)</f>
        <v>0</v>
      </c>
      <c r="BR4" s="277">
        <f>SUMIF('125-599'!$1:$1,BR$3,'125-599'!3:3)</f>
        <v>0</v>
      </c>
      <c r="BS4" s="277">
        <f>SUMIF('125-599'!$1:$1,BS$3,'125-599'!3:3)</f>
        <v>0</v>
      </c>
      <c r="BT4" s="277">
        <f>SUMIF('125-599'!$1:$1,BT$3,'125-599'!3:3)</f>
        <v>0</v>
      </c>
      <c r="BU4" s="277">
        <f>SUMIF('125-599'!$1:$1,BU$3,'125-599'!3:3)</f>
        <v>-13441.56</v>
      </c>
      <c r="BV4" s="277">
        <f>SUMIF('125-599'!$1:$1,BV$3,'125-599'!3:3)</f>
        <v>0</v>
      </c>
      <c r="BW4" s="277">
        <f>SUMIF('125-599'!$1:$1,BW$3,'125-599'!3:3)</f>
        <v>0</v>
      </c>
      <c r="BX4" s="277">
        <f>SUMIF('125-599'!$1:$1,BX$3,'125-599'!3:3)</f>
        <v>0</v>
      </c>
      <c r="BY4" s="277">
        <f>SUMIF('125-599'!$1:$1,BY$3,'125-599'!3:3)</f>
        <v>28381</v>
      </c>
      <c r="BZ4" s="277">
        <f>SUMIF('125-599'!$1:$1,BZ$3,'125-599'!3:3)</f>
        <v>271.17</v>
      </c>
      <c r="CA4" s="316">
        <f>SUMIF('125-599'!$1:$1,CA$3,'125-599'!3:3)</f>
        <v>0</v>
      </c>
      <c r="CB4" s="278">
        <f>SUMIF('125-599'!$1:$1,CB$3,'125-599'!3:3)</f>
        <v>0</v>
      </c>
      <c r="CC4" s="278">
        <f>SUMIF('125-599'!$1:$1,CC$3,'125-599'!3:3)</f>
        <v>0</v>
      </c>
      <c r="CD4" s="278">
        <f>SUMIF('125-599'!$1:$1,CD$3,'125-599'!3:3)</f>
        <v>0</v>
      </c>
      <c r="CE4" s="278">
        <f>SUMIF('125-599'!$1:$1,CE$3,'125-599'!3:3)</f>
        <v>0</v>
      </c>
      <c r="CF4" s="278">
        <f>SUMIF('125-599'!$1:$1,CF$3,'125-599'!3:3)</f>
        <v>0</v>
      </c>
      <c r="CG4" s="279">
        <f t="shared" ref="CG4:CG32" si="1">SUM(D4:CF4)</f>
        <v>-891571.16999999934</v>
      </c>
      <c r="CJ4" s="268"/>
      <c r="CK4" s="269">
        <f>INDEX(SAP!C:C,MATCH('Actuals mapped to CFR'!A4,SAP!H:H,FALSE),1)</f>
        <v>-891571.17</v>
      </c>
      <c r="CL4" s="270">
        <f>ROUND(CK4-CG4,2)</f>
        <v>0</v>
      </c>
      <c r="CN4" s="271">
        <f t="shared" ref="CN4:CN32" si="2">SUM(K4:AF4)*-1</f>
        <v>7597499.8000000007</v>
      </c>
      <c r="CO4" s="271">
        <f t="shared" ref="CO4:CO32" si="3">SUM(AG4:BT4)</f>
        <v>7485778.5599999977</v>
      </c>
      <c r="CP4" s="272">
        <f>VLOOKUP(B4,'2526 GBP Data input'!$A$4:$CA$230,38,FALSE)</f>
        <v>7327159</v>
      </c>
      <c r="CQ4" s="272">
        <f>VLOOKUP(B4,'2526 GBP Data input'!$A$4:$CA$230,73,FALSE)</f>
        <v>40688</v>
      </c>
      <c r="CR4" s="273">
        <f>CN4-CP4</f>
        <v>270340.80000000075</v>
      </c>
      <c r="CS4" s="274">
        <f t="shared" ref="CS4" si="4">CO4/CQ4</f>
        <v>183.98000786472664</v>
      </c>
      <c r="CT4" s="275">
        <f t="shared" ref="CT4:CT32" si="5">SUM(D4+F4)*-1+CN4-CO4</f>
        <v>882265.05000000354</v>
      </c>
      <c r="CU4" s="275">
        <f t="shared" ref="CU4:CU32" si="6">SUM(G4+H4+I4+BU4+BV4+BW4)*-1-BX4-BY4-BZ4-CF4</f>
        <v>-271.87999999999914</v>
      </c>
      <c r="CV4" s="276">
        <f>SUM(CT4:CU4)</f>
        <v>881993.17000000353</v>
      </c>
    </row>
    <row r="5" spans="1:100">
      <c r="A5" s="263">
        <v>107125</v>
      </c>
      <c r="B5" s="264">
        <v>125</v>
      </c>
      <c r="C5" s="264" t="s">
        <v>385</v>
      </c>
      <c r="D5" s="231">
        <f>SUMIF('125-599'!$1:$1,D$3,'125-599'!4:4)</f>
        <v>-2753532.56</v>
      </c>
      <c r="E5" s="231">
        <f>SUMIF('125-599'!$1:$1,E$3,'125-599'!4:4)</f>
        <v>-22080.51</v>
      </c>
      <c r="F5" s="231">
        <f>SUMIF('125-599'!$1:$1,F$3,'125-599'!4:4)</f>
        <v>0</v>
      </c>
      <c r="G5" s="231">
        <f>SUMIF('125-599'!$1:$1,G$3,'125-599'!4:4)</f>
        <v>-9700.84</v>
      </c>
      <c r="H5" s="231">
        <f>SUMIF('125-599'!$1:$1,H$3,'125-599'!4:4)</f>
        <v>0</v>
      </c>
      <c r="I5" s="231">
        <f>SUMIF('125-599'!$1:$1,I$3,'125-599'!4:4)</f>
        <v>0</v>
      </c>
      <c r="J5" s="231">
        <f>SUMIF('125-599'!$1:$1,J$3,'125-599'!4:4)</f>
        <v>0</v>
      </c>
      <c r="K5" s="231">
        <f>SUMIF('125-599'!$1:$1,K$3,'125-599'!4:4)</f>
        <v>-2625050.3600000003</v>
      </c>
      <c r="L5" s="231">
        <f>SUMIF('125-599'!$1:$1,L$3,'125-599'!4:4)</f>
        <v>-2160.92</v>
      </c>
      <c r="M5" s="231">
        <f>SUMIF('125-599'!$1:$1,M$3,'125-599'!4:4)</f>
        <v>-3071287.04</v>
      </c>
      <c r="N5" s="231">
        <f>SUMIF('125-599'!$1:$1,N$3,'125-599'!4:4)</f>
        <v>0</v>
      </c>
      <c r="O5" s="231">
        <f>SUMIF('125-599'!$1:$1,O$3,'125-599'!4:4)</f>
        <v>-83620</v>
      </c>
      <c r="P5" s="231">
        <f>SUMIF('125-599'!$1:$1,P$3,'125-599'!4:4)</f>
        <v>-19566</v>
      </c>
      <c r="Q5" s="231">
        <f>SUMIF('125-599'!$1:$1,Q$3,'125-599'!4:4)</f>
        <v>0</v>
      </c>
      <c r="R5" s="231">
        <f>SUMIF('125-599'!$1:$1,R$3,'125-599'!4:4)</f>
        <v>0</v>
      </c>
      <c r="S5" s="231">
        <f>SUMIF('125-599'!$1:$1,S$3,'125-599'!4:4)</f>
        <v>-138177.36000000002</v>
      </c>
      <c r="T5" s="231">
        <f>SUMIF('125-599'!$1:$1,T$3,'125-599'!4:4)</f>
        <v>0</v>
      </c>
      <c r="U5" s="231">
        <f>SUMIF('125-599'!$1:$1,U$3,'125-599'!4:4)</f>
        <v>0</v>
      </c>
      <c r="V5" s="231">
        <f>SUMIF('125-599'!$1:$1,V$3,'125-599'!4:4)</f>
        <v>0</v>
      </c>
      <c r="W5" s="231">
        <f>SUMIF('125-599'!$1:$1,W$3,'125-599'!4:4)</f>
        <v>-34711.050000000025</v>
      </c>
      <c r="X5" s="231">
        <f>SUMIF('125-599'!$1:$1,X$3,'125-599'!4:4)</f>
        <v>-8259.380000000001</v>
      </c>
      <c r="Y5" s="277">
        <f>SUMIF('125-599'!$1:$1,Y$3,'125-599'!4:4)</f>
        <v>0</v>
      </c>
      <c r="Z5" s="231">
        <f>SUMIF('125-599'!$1:$1,Z$3,'125-599'!4:4)</f>
        <v>0</v>
      </c>
      <c r="AA5" s="231">
        <f>SUMIF('125-599'!$1:$1,AA$3,'125-599'!4:4)</f>
        <v>0</v>
      </c>
      <c r="AB5" s="231">
        <f>SUMIF('125-599'!$1:$1,AB$3,'125-599'!4:4)</f>
        <v>0</v>
      </c>
      <c r="AC5" s="312">
        <f>SUMIF('125-599'!$1:$1,AC$3,'125-599'!4:4)</f>
        <v>0</v>
      </c>
      <c r="AD5" s="312">
        <f>SUMIF('125-599'!$1:$1,AD$3,'125-599'!4:4)</f>
        <v>0</v>
      </c>
      <c r="AE5" s="312">
        <f>SUMIF('125-599'!$1:$1,AE$3,'125-599'!4:4)</f>
        <v>0</v>
      </c>
      <c r="AF5" s="312">
        <f>SUMIF('125-599'!$1:$1,AF$3,'125-599'!4:4)</f>
        <v>0</v>
      </c>
      <c r="AG5" s="231">
        <f>SUMIF('125-599'!$1:$1,AG$3,'125-599'!4:4)</f>
        <v>2606464.7200000002</v>
      </c>
      <c r="AH5" s="231">
        <f>SUMIF('125-599'!$1:$1,AH$3,'125-599'!4:4)</f>
        <v>9030.1200000000008</v>
      </c>
      <c r="AI5" s="231">
        <f>SUMIF('125-599'!$1:$1,AI$3,'125-599'!4:4)</f>
        <v>1773473.0699999998</v>
      </c>
      <c r="AJ5" s="231">
        <f>SUMIF('125-599'!$1:$1,AJ$3,'125-599'!4:4)</f>
        <v>87729.229999999981</v>
      </c>
      <c r="AK5" s="231">
        <f>SUMIF('125-599'!$1:$1,AK$3,'125-599'!4:4)</f>
        <v>407682.17000000004</v>
      </c>
      <c r="AL5" s="231">
        <f>SUMIF('125-599'!$1:$1,AL$3,'125-599'!4:4)</f>
        <v>0</v>
      </c>
      <c r="AM5" s="231">
        <f>SUMIF('125-599'!$1:$1,AM$3,'125-599'!4:4)</f>
        <v>0</v>
      </c>
      <c r="AN5" s="231">
        <f>SUMIF('125-599'!$1:$1,AN$3,'125-599'!4:4)</f>
        <v>61765.079999999994</v>
      </c>
      <c r="AO5" s="231">
        <f>SUMIF('125-599'!$1:$1,AO$3,'125-599'!4:4)</f>
        <v>21700.5</v>
      </c>
      <c r="AP5" s="231">
        <f>SUMIF('125-599'!$1:$1,AP$3,'125-599'!4:4)</f>
        <v>0</v>
      </c>
      <c r="AQ5" s="231">
        <f>SUMIF('125-599'!$1:$1,AQ$3,'125-599'!4:4)</f>
        <v>0</v>
      </c>
      <c r="AR5" s="231">
        <f>SUMIF('125-599'!$1:$1,AR$3,'125-599'!4:4)</f>
        <v>149595.52999999997</v>
      </c>
      <c r="AS5" s="231">
        <f>SUMIF('125-599'!$1:$1,AS$3,'125-599'!4:4)</f>
        <v>5062.59</v>
      </c>
      <c r="AT5" s="231">
        <f>SUMIF('125-599'!$1:$1,AT$3,'125-599'!4:4)</f>
        <v>68869.06</v>
      </c>
      <c r="AU5" s="231">
        <f>SUMIF('125-599'!$1:$1,AU$3,'125-599'!4:4)</f>
        <v>5947.29</v>
      </c>
      <c r="AV5" s="231">
        <f>SUMIF('125-599'!$1:$1,AV$3,'125-599'!4:4)</f>
        <v>52853.570000000007</v>
      </c>
      <c r="AW5" s="231">
        <f>SUMIF('125-599'!$1:$1,AW$3,'125-599'!4:4)</f>
        <v>0</v>
      </c>
      <c r="AX5" s="231">
        <f>SUMIF('125-599'!$1:$1,AX$3,'125-599'!4:4)</f>
        <v>5886.0199999999986</v>
      </c>
      <c r="AY5" s="231">
        <f>SUMIF('125-599'!$1:$1,AY$3,'125-599'!4:4)</f>
        <v>123270.13</v>
      </c>
      <c r="AZ5" s="312">
        <f>SUMIF('125-599'!$1:$1,AZ$3,'125-599'!4:4)</f>
        <v>0</v>
      </c>
      <c r="BA5" s="231">
        <f>SUMIF('125-599'!$1:$1,BA$3,'125-599'!4:4)</f>
        <v>5843.38</v>
      </c>
      <c r="BB5" s="231">
        <f>SUMIF('125-599'!$1:$1,BB$3,'125-599'!4:4)</f>
        <v>0</v>
      </c>
      <c r="BC5" s="231">
        <f>SUMIF('125-599'!$1:$1,BC$3,'125-599'!4:4)</f>
        <v>9709.73</v>
      </c>
      <c r="BD5" s="231">
        <f>SUMIF('125-599'!$1:$1,BD$3,'125-599'!4:4)</f>
        <v>38035.499999999993</v>
      </c>
      <c r="BE5" s="231">
        <f>SUMIF('125-599'!$1:$1,BE$3,'125-599'!4:4)</f>
        <v>17443.5</v>
      </c>
      <c r="BF5" s="231">
        <f>SUMIF('125-599'!$1:$1,BF$3,'125-599'!4:4)</f>
        <v>999</v>
      </c>
      <c r="BG5" s="231">
        <f>SUMIF('125-599'!$1:$1,BG$3,'125-599'!4:4)</f>
        <v>2596</v>
      </c>
      <c r="BH5" s="231">
        <f>SUMIF('125-599'!$1:$1,BH$3,'125-599'!4:4)</f>
        <v>22897.61</v>
      </c>
      <c r="BI5" s="231">
        <f>SUMIF('125-599'!$1:$1,BI$3,'125-599'!4:4)</f>
        <v>23896.499999999993</v>
      </c>
      <c r="BJ5" s="231">
        <f>SUMIF('125-599'!$1:$1,BJ$3,'125-599'!4:4)</f>
        <v>40843.440000000002</v>
      </c>
      <c r="BK5" s="231">
        <f>SUMIF('125-599'!$1:$1,BK$3,'125-599'!4:4)</f>
        <v>0</v>
      </c>
      <c r="BL5" s="231">
        <f>SUMIF('125-599'!$1:$1,BL$3,'125-599'!4:4)</f>
        <v>5525.65</v>
      </c>
      <c r="BM5" s="231">
        <f>SUMIF('125-599'!$1:$1,BM$3,'125-599'!4:4)</f>
        <v>14375</v>
      </c>
      <c r="BN5" s="231">
        <f>SUMIF('125-599'!$1:$1,BN$3,'125-599'!4:4)</f>
        <v>70704.83</v>
      </c>
      <c r="BO5" s="231">
        <f>SUMIF('125-599'!$1:$1,BO$3,'125-599'!4:4)</f>
        <v>47560.81</v>
      </c>
      <c r="BP5" s="231">
        <f>SUMIF('125-599'!$1:$1,BP$3,'125-599'!4:4)</f>
        <v>0</v>
      </c>
      <c r="BQ5" s="231">
        <f>SUMIF('125-599'!$1:$1,BQ$3,'125-599'!4:4)</f>
        <v>0</v>
      </c>
      <c r="BR5" s="231">
        <f>SUMIF('125-599'!$1:$1,BR$3,'125-599'!4:4)</f>
        <v>0</v>
      </c>
      <c r="BS5" s="231">
        <f>SUMIF('125-599'!$1:$1,BS$3,'125-599'!4:4)</f>
        <v>0</v>
      </c>
      <c r="BT5" s="231">
        <f>SUMIF('125-599'!$1:$1,BT$3,'125-599'!4:4)</f>
        <v>0</v>
      </c>
      <c r="BU5" s="231">
        <f>SUMIF('125-599'!$1:$1,BU$3,'125-599'!4:4)</f>
        <v>-39128.959999999999</v>
      </c>
      <c r="BV5" s="231">
        <f>SUMIF('125-599'!$1:$1,BV$3,'125-599'!4:4)</f>
        <v>0</v>
      </c>
      <c r="BW5" s="231">
        <f>SUMIF('125-599'!$1:$1,BW$3,'125-599'!4:4)</f>
        <v>0</v>
      </c>
      <c r="BX5" s="231">
        <f>SUMIF('125-599'!$1:$1,BX$3,'125-599'!4:4)</f>
        <v>0</v>
      </c>
      <c r="BY5" s="231">
        <f>SUMIF('125-599'!$1:$1,BY$3,'125-599'!4:4)</f>
        <v>89146.999999999985</v>
      </c>
      <c r="BZ5" s="231">
        <f>SUMIF('125-599'!$1:$1,BZ$3,'125-599'!4:4)</f>
        <v>49832</v>
      </c>
      <c r="CA5" s="316">
        <f>SUMIF('125-599'!$1:$1,CA$3,'125-599'!4:4)</f>
        <v>0</v>
      </c>
      <c r="CB5" s="249">
        <f>SUMIF('125-599'!$1:$1,CB$3,'125-599'!4:4)</f>
        <v>0</v>
      </c>
      <c r="CC5" s="249">
        <f>SUMIF('125-599'!$1:$1,CC$3,'125-599'!4:4)</f>
        <v>0</v>
      </c>
      <c r="CD5" s="249">
        <f>SUMIF('125-599'!$1:$1,CD$3,'125-599'!4:4)</f>
        <v>0</v>
      </c>
      <c r="CE5" s="249">
        <f>SUMIF('125-599'!$1:$1,CE$3,'125-599'!4:4)</f>
        <v>0</v>
      </c>
      <c r="CF5" s="249">
        <f>SUMIF('125-599'!$1:$1,CF$3,'125-599'!4:4)</f>
        <v>0</v>
      </c>
      <c r="CG5" s="262">
        <f t="shared" si="1"/>
        <v>-2988535.9500000016</v>
      </c>
      <c r="CJ5" s="122"/>
      <c r="CK5" s="169">
        <f>INDEX(SAP!C:C,MATCH('Actuals mapped to CFR'!A5,SAP!H:H,FALSE),1)</f>
        <v>-2988535.95</v>
      </c>
      <c r="CL5" s="59">
        <f t="shared" ref="CL5:CL18" si="7">ROUND(CK5-CG5,2)</f>
        <v>0</v>
      </c>
      <c r="CN5" s="81">
        <f t="shared" si="2"/>
        <v>5982832.1100000003</v>
      </c>
      <c r="CO5" s="81">
        <f t="shared" si="3"/>
        <v>5679760.0300000012</v>
      </c>
      <c r="CP5" s="166">
        <f>VLOOKUP(B5,'2526 GBP Data input'!$A$4:$CA$230,38,FALSE)</f>
        <v>5433905</v>
      </c>
      <c r="CQ5" s="166">
        <f>VLOOKUP(B5,'2526 GBP Data input'!$A$4:$CA$230,73,FALSE)</f>
        <v>90961</v>
      </c>
      <c r="CR5" s="89">
        <f t="shared" ref="CR5:CR45" si="8">CN5-CP5</f>
        <v>548927.11000000034</v>
      </c>
      <c r="CS5" s="83">
        <f t="shared" ref="CS5:CS45" si="9">CO5/CQ5</f>
        <v>62.441706115807889</v>
      </c>
      <c r="CT5" s="82">
        <f t="shared" si="5"/>
        <v>3056604.6399999987</v>
      </c>
      <c r="CU5" s="82">
        <f t="shared" si="6"/>
        <v>-90149.199999999983</v>
      </c>
      <c r="CV5" s="86">
        <f t="shared" ref="CV5:CV51" si="10">SUM(CT5:CU5)</f>
        <v>2966455.4399999985</v>
      </c>
    </row>
    <row r="6" spans="1:100">
      <c r="A6" s="238">
        <v>107127</v>
      </c>
      <c r="B6" s="60">
        <v>127</v>
      </c>
      <c r="C6" s="60" t="s">
        <v>386</v>
      </c>
      <c r="D6" s="231">
        <f>SUMIF('125-599'!$1:$1,D$3,'125-599'!5:5)</f>
        <v>-33578.76</v>
      </c>
      <c r="E6" s="231">
        <f>SUMIF('125-599'!$1:$1,E$3,'125-599'!5:5)</f>
        <v>0</v>
      </c>
      <c r="F6" s="231">
        <f>SUMIF('125-599'!$1:$1,F$3,'125-599'!5:5)</f>
        <v>419506.39</v>
      </c>
      <c r="G6" s="231">
        <f>SUMIF('125-599'!$1:$1,G$3,'125-599'!5:5)</f>
        <v>-26984.19</v>
      </c>
      <c r="H6" s="231">
        <f>SUMIF('125-599'!$1:$1,H$3,'125-599'!5:5)</f>
        <v>0</v>
      </c>
      <c r="I6" s="231">
        <f>SUMIF('125-599'!$1:$1,I$3,'125-599'!5:5)</f>
        <v>0</v>
      </c>
      <c r="J6" s="231">
        <f>SUMIF('125-599'!$1:$1,J$3,'125-599'!5:5)</f>
        <v>0</v>
      </c>
      <c r="K6" s="231">
        <f>SUMIF('125-599'!$1:$1,K$3,'125-599'!5:5)</f>
        <v>-1635464.76</v>
      </c>
      <c r="L6" s="231">
        <f>SUMIF('125-599'!$1:$1,L$3,'125-599'!5:5)</f>
        <v>-2804.42</v>
      </c>
      <c r="M6" s="231">
        <f>SUMIF('125-599'!$1:$1,M$3,'125-599'!5:5)</f>
        <v>-3442379.98</v>
      </c>
      <c r="N6" s="231">
        <f>SUMIF('125-599'!$1:$1,N$3,'125-599'!5:5)</f>
        <v>0</v>
      </c>
      <c r="O6" s="231">
        <f>SUMIF('125-599'!$1:$1,O$3,'125-599'!5:5)</f>
        <v>-75780</v>
      </c>
      <c r="P6" s="231">
        <f>SUMIF('125-599'!$1:$1,P$3,'125-599'!5:5)</f>
        <v>-18180</v>
      </c>
      <c r="Q6" s="231">
        <f>SUMIF('125-599'!$1:$1,Q$3,'125-599'!5:5)</f>
        <v>0</v>
      </c>
      <c r="R6" s="231">
        <f>SUMIF('125-599'!$1:$1,R$3,'125-599'!5:5)</f>
        <v>-50333.820000000007</v>
      </c>
      <c r="S6" s="231">
        <f>SUMIF('125-599'!$1:$1,S$3,'125-599'!5:5)</f>
        <v>-15124.21</v>
      </c>
      <c r="T6" s="231">
        <f>SUMIF('125-599'!$1:$1,T$3,'125-599'!5:5)</f>
        <v>0</v>
      </c>
      <c r="U6" s="231">
        <f>SUMIF('125-599'!$1:$1,U$3,'125-599'!5:5)</f>
        <v>-60124.749999999993</v>
      </c>
      <c r="V6" s="231">
        <f>SUMIF('125-599'!$1:$1,V$3,'125-599'!5:5)</f>
        <v>-4530</v>
      </c>
      <c r="W6" s="231">
        <f>SUMIF('125-599'!$1:$1,W$3,'125-599'!5:5)</f>
        <v>0</v>
      </c>
      <c r="X6" s="231">
        <f>SUMIF('125-599'!$1:$1,X$3,'125-599'!5:5)</f>
        <v>-25700.350000000002</v>
      </c>
      <c r="Y6" s="277">
        <f>SUMIF('125-599'!$1:$1,Y$3,'125-599'!5:5)</f>
        <v>0</v>
      </c>
      <c r="Z6" s="231">
        <f>SUMIF('125-599'!$1:$1,Z$3,'125-599'!5:5)</f>
        <v>0</v>
      </c>
      <c r="AA6" s="231">
        <f>SUMIF('125-599'!$1:$1,AA$3,'125-599'!5:5)</f>
        <v>0</v>
      </c>
      <c r="AB6" s="231">
        <f>SUMIF('125-599'!$1:$1,AB$3,'125-599'!5:5)</f>
        <v>0</v>
      </c>
      <c r="AC6" s="312">
        <f>SUMIF('125-599'!$1:$1,AC$3,'125-599'!5:5)</f>
        <v>0</v>
      </c>
      <c r="AD6" s="312">
        <f>SUMIF('125-599'!$1:$1,AD$3,'125-599'!5:5)</f>
        <v>0</v>
      </c>
      <c r="AE6" s="312">
        <f>SUMIF('125-599'!$1:$1,AE$3,'125-599'!5:5)</f>
        <v>0</v>
      </c>
      <c r="AF6" s="312">
        <f>SUMIF('125-599'!$1:$1,AF$3,'125-599'!5:5)</f>
        <v>0</v>
      </c>
      <c r="AG6" s="231">
        <f>SUMIF('125-599'!$1:$1,AG$3,'125-599'!5:5)</f>
        <v>1958782.7899999998</v>
      </c>
      <c r="AH6" s="231">
        <f>SUMIF('125-599'!$1:$1,AH$3,'125-599'!5:5)</f>
        <v>102624.98000000001</v>
      </c>
      <c r="AI6" s="231">
        <f>SUMIF('125-599'!$1:$1,AI$3,'125-599'!5:5)</f>
        <v>2296124.1800000002</v>
      </c>
      <c r="AJ6" s="231">
        <f>SUMIF('125-599'!$1:$1,AJ$3,'125-599'!5:5)</f>
        <v>234379.4</v>
      </c>
      <c r="AK6" s="231">
        <f>SUMIF('125-599'!$1:$1,AK$3,'125-599'!5:5)</f>
        <v>227327.60000000003</v>
      </c>
      <c r="AL6" s="231">
        <f>SUMIF('125-599'!$1:$1,AL$3,'125-599'!5:5)</f>
        <v>0</v>
      </c>
      <c r="AM6" s="231">
        <f>SUMIF('125-599'!$1:$1,AM$3,'125-599'!5:5)</f>
        <v>16936.199999999997</v>
      </c>
      <c r="AN6" s="231">
        <f>SUMIF('125-599'!$1:$1,AN$3,'125-599'!5:5)</f>
        <v>17754.939999999999</v>
      </c>
      <c r="AO6" s="231">
        <f>SUMIF('125-599'!$1:$1,AO$3,'125-599'!5:5)</f>
        <v>21184.629999999997</v>
      </c>
      <c r="AP6" s="231">
        <f>SUMIF('125-599'!$1:$1,AP$3,'125-599'!5:5)</f>
        <v>51494</v>
      </c>
      <c r="AQ6" s="231">
        <f>SUMIF('125-599'!$1:$1,AQ$3,'125-599'!5:5)</f>
        <v>17694.590000000007</v>
      </c>
      <c r="AR6" s="231">
        <f>SUMIF('125-599'!$1:$1,AR$3,'125-599'!5:5)</f>
        <v>98169.250000000058</v>
      </c>
      <c r="AS6" s="231">
        <f>SUMIF('125-599'!$1:$1,AS$3,'125-599'!5:5)</f>
        <v>0</v>
      </c>
      <c r="AT6" s="231">
        <f>SUMIF('125-599'!$1:$1,AT$3,'125-599'!5:5)</f>
        <v>15655.279999999997</v>
      </c>
      <c r="AU6" s="231">
        <f>SUMIF('125-599'!$1:$1,AU$3,'125-599'!5:5)</f>
        <v>4855.66</v>
      </c>
      <c r="AV6" s="231">
        <f>SUMIF('125-599'!$1:$1,AV$3,'125-599'!5:5)</f>
        <v>77024.759999999995</v>
      </c>
      <c r="AW6" s="231">
        <f>SUMIF('125-599'!$1:$1,AW$3,'125-599'!5:5)</f>
        <v>0</v>
      </c>
      <c r="AX6" s="231">
        <f>SUMIF('125-599'!$1:$1,AX$3,'125-599'!5:5)</f>
        <v>3029.9500000000003</v>
      </c>
      <c r="AY6" s="231">
        <f>SUMIF('125-599'!$1:$1,AY$3,'125-599'!5:5)</f>
        <v>148096.92000000004</v>
      </c>
      <c r="AZ6" s="312">
        <f>SUMIF('125-599'!$1:$1,AZ$3,'125-599'!5:5)</f>
        <v>1062.720000000008</v>
      </c>
      <c r="BA6" s="231">
        <f>SUMIF('125-599'!$1:$1,BA$3,'125-599'!5:5)</f>
        <v>0</v>
      </c>
      <c r="BB6" s="231">
        <f>SUMIF('125-599'!$1:$1,BB$3,'125-599'!5:5)</f>
        <v>0</v>
      </c>
      <c r="BC6" s="231">
        <f>SUMIF('125-599'!$1:$1,BC$3,'125-599'!5:5)</f>
        <v>6570</v>
      </c>
      <c r="BD6" s="231">
        <f>SUMIF('125-599'!$1:$1,BD$3,'125-599'!5:5)</f>
        <v>23909.14</v>
      </c>
      <c r="BE6" s="231">
        <f>SUMIF('125-599'!$1:$1,BE$3,'125-599'!5:5)</f>
        <v>8903.9500000000007</v>
      </c>
      <c r="BF6" s="231">
        <f>SUMIF('125-599'!$1:$1,BF$3,'125-599'!5:5)</f>
        <v>26487.109999999997</v>
      </c>
      <c r="BG6" s="231">
        <f>SUMIF('125-599'!$1:$1,BG$3,'125-599'!5:5)</f>
        <v>6200.6900000000005</v>
      </c>
      <c r="BH6" s="231">
        <f>SUMIF('125-599'!$1:$1,BH$3,'125-599'!5:5)</f>
        <v>0</v>
      </c>
      <c r="BI6" s="231">
        <f>SUMIF('125-599'!$1:$1,BI$3,'125-599'!5:5)</f>
        <v>33065.189999999995</v>
      </c>
      <c r="BJ6" s="231">
        <f>SUMIF('125-599'!$1:$1,BJ$3,'125-599'!5:5)</f>
        <v>25888.03</v>
      </c>
      <c r="BK6" s="231">
        <f>SUMIF('125-599'!$1:$1,BK$3,'125-599'!5:5)</f>
        <v>0</v>
      </c>
      <c r="BL6" s="231">
        <f>SUMIF('125-599'!$1:$1,BL$3,'125-599'!5:5)</f>
        <v>6634.95</v>
      </c>
      <c r="BM6" s="231">
        <f>SUMIF('125-599'!$1:$1,BM$3,'125-599'!5:5)</f>
        <v>55746.160000000018</v>
      </c>
      <c r="BN6" s="231">
        <f>SUMIF('125-599'!$1:$1,BN$3,'125-599'!5:5)</f>
        <v>225949.52000000002</v>
      </c>
      <c r="BO6" s="231">
        <f>SUMIF('125-599'!$1:$1,BO$3,'125-599'!5:5)</f>
        <v>38330.750000000007</v>
      </c>
      <c r="BP6" s="231">
        <f>SUMIF('125-599'!$1:$1,BP$3,'125-599'!5:5)</f>
        <v>0</v>
      </c>
      <c r="BQ6" s="231">
        <f>SUMIF('125-599'!$1:$1,BQ$3,'125-599'!5:5)</f>
        <v>0</v>
      </c>
      <c r="BR6" s="231">
        <f>SUMIF('125-599'!$1:$1,BR$3,'125-599'!5:5)</f>
        <v>0</v>
      </c>
      <c r="BS6" s="231">
        <f>SUMIF('125-599'!$1:$1,BS$3,'125-599'!5:5)</f>
        <v>0</v>
      </c>
      <c r="BT6" s="231">
        <f>SUMIF('125-599'!$1:$1,BT$3,'125-599'!5:5)</f>
        <v>0</v>
      </c>
      <c r="BU6" s="231">
        <f>SUMIF('125-599'!$1:$1,BU$3,'125-599'!5:5)</f>
        <v>-11543.13</v>
      </c>
      <c r="BV6" s="231">
        <f>SUMIF('125-599'!$1:$1,BV$3,'125-599'!5:5)</f>
        <v>0</v>
      </c>
      <c r="BW6" s="231">
        <f>SUMIF('125-599'!$1:$1,BW$3,'125-599'!5:5)</f>
        <v>0</v>
      </c>
      <c r="BX6" s="231">
        <f>SUMIF('125-599'!$1:$1,BX$3,'125-599'!5:5)</f>
        <v>0</v>
      </c>
      <c r="BY6" s="231">
        <f>SUMIF('125-599'!$1:$1,BY$3,'125-599'!5:5)</f>
        <v>27815.79</v>
      </c>
      <c r="BZ6" s="231">
        <f>SUMIF('125-599'!$1:$1,BZ$3,'125-599'!5:5)</f>
        <v>0</v>
      </c>
      <c r="CA6" s="316">
        <f>SUMIF('125-599'!$1:$1,CA$3,'125-599'!5:5)</f>
        <v>0</v>
      </c>
      <c r="CB6" s="249">
        <f>SUMIF('125-599'!$1:$1,CB$3,'125-599'!5:5)</f>
        <v>0</v>
      </c>
      <c r="CC6" s="249">
        <f>SUMIF('125-599'!$1:$1,CC$3,'125-599'!5:5)</f>
        <v>0</v>
      </c>
      <c r="CD6" s="249">
        <f>SUMIF('125-599'!$1:$1,CD$3,'125-599'!5:5)</f>
        <v>0</v>
      </c>
      <c r="CE6" s="249">
        <f>SUMIF('125-599'!$1:$1,CE$3,'125-599'!5:5)</f>
        <v>0</v>
      </c>
      <c r="CF6" s="249">
        <f>SUMIF('125-599'!$1:$1,CF$3,'125-599'!5:5)</f>
        <v>0</v>
      </c>
      <c r="CG6" s="262">
        <f t="shared" si="1"/>
        <v>794677.15000000095</v>
      </c>
      <c r="CJ6" s="122"/>
      <c r="CK6" s="169">
        <f>INDEX(SAP!C:C,MATCH('Actuals mapped to CFR'!A6,SAP!H:H,FALSE),1)</f>
        <v>794677.15</v>
      </c>
      <c r="CL6" s="59">
        <f t="shared" si="7"/>
        <v>0</v>
      </c>
      <c r="CN6" s="81">
        <f t="shared" si="2"/>
        <v>5330422.29</v>
      </c>
      <c r="CO6" s="81">
        <f t="shared" si="3"/>
        <v>5749883.3400000017</v>
      </c>
      <c r="CP6" s="166">
        <f>VLOOKUP(B6,'2526 GBP Data input'!$A$4:$CA$230,38,FALSE)</f>
        <v>5026505</v>
      </c>
      <c r="CQ6" s="166">
        <f>VLOOKUP(B6,'2526 GBP Data input'!$A$4:$CA$230,73,FALSE)</f>
        <v>32527</v>
      </c>
      <c r="CR6" s="89">
        <f t="shared" si="8"/>
        <v>303917.29000000004</v>
      </c>
      <c r="CS6" s="83">
        <f>CO6/CQ6</f>
        <v>176.77263012266738</v>
      </c>
      <c r="CT6" s="82">
        <f t="shared" si="5"/>
        <v>-805388.68000000156</v>
      </c>
      <c r="CU6" s="82">
        <f t="shared" si="6"/>
        <v>10711.529999999999</v>
      </c>
      <c r="CV6" s="86">
        <f t="shared" si="10"/>
        <v>-794677.15000000154</v>
      </c>
    </row>
    <row r="7" spans="1:100">
      <c r="A7" s="238">
        <v>107139</v>
      </c>
      <c r="B7" s="60">
        <v>139</v>
      </c>
      <c r="C7" s="60" t="s">
        <v>387</v>
      </c>
      <c r="D7" s="231">
        <f>SUMIF('125-599'!$1:$1,D$3,'125-599'!6:6)</f>
        <v>-45813.04</v>
      </c>
      <c r="E7" s="231">
        <f>SUMIF('125-599'!$1:$1,E$3,'125-599'!6:6)</f>
        <v>-1174</v>
      </c>
      <c r="F7" s="231">
        <f>SUMIF('125-599'!$1:$1,F$3,'125-599'!6:6)</f>
        <v>0</v>
      </c>
      <c r="G7" s="231">
        <f>SUMIF('125-599'!$1:$1,G$3,'125-599'!6:6)</f>
        <v>-0.25</v>
      </c>
      <c r="H7" s="231">
        <f>SUMIF('125-599'!$1:$1,H$3,'125-599'!6:6)</f>
        <v>0</v>
      </c>
      <c r="I7" s="231">
        <f>SUMIF('125-599'!$1:$1,I$3,'125-599'!6:6)</f>
        <v>0</v>
      </c>
      <c r="J7" s="231">
        <f>SUMIF('125-599'!$1:$1,J$3,'125-599'!6:6)</f>
        <v>0</v>
      </c>
      <c r="K7" s="231">
        <f>SUMIF('125-599'!$1:$1,K$3,'125-599'!6:6)</f>
        <v>-1532991.3</v>
      </c>
      <c r="L7" s="231">
        <f>SUMIF('125-599'!$1:$1,L$3,'125-599'!6:6)</f>
        <v>-1402.21</v>
      </c>
      <c r="M7" s="231">
        <f>SUMIF('125-599'!$1:$1,M$3,'125-599'!6:6)</f>
        <v>-2233074.0599999996</v>
      </c>
      <c r="N7" s="231">
        <f>SUMIF('125-599'!$1:$1,N$3,'125-599'!6:6)</f>
        <v>0</v>
      </c>
      <c r="O7" s="231">
        <f>SUMIF('125-599'!$1:$1,O$3,'125-599'!6:6)</f>
        <v>-78295</v>
      </c>
      <c r="P7" s="231">
        <f>SUMIF('125-599'!$1:$1,P$3,'125-599'!6:6)</f>
        <v>-29515.34</v>
      </c>
      <c r="Q7" s="231">
        <f>SUMIF('125-599'!$1:$1,Q$3,'125-599'!6:6)</f>
        <v>-100</v>
      </c>
      <c r="R7" s="231">
        <f>SUMIF('125-599'!$1:$1,R$3,'125-599'!6:6)</f>
        <v>-1875</v>
      </c>
      <c r="S7" s="231">
        <f>SUMIF('125-599'!$1:$1,S$3,'125-599'!6:6)</f>
        <v>-44975.24</v>
      </c>
      <c r="T7" s="231">
        <f>SUMIF('125-599'!$1:$1,T$3,'125-599'!6:6)</f>
        <v>-150.12</v>
      </c>
      <c r="U7" s="231">
        <f>SUMIF('125-599'!$1:$1,U$3,'125-599'!6:6)</f>
        <v>-6710</v>
      </c>
      <c r="V7" s="231">
        <f>SUMIF('125-599'!$1:$1,V$3,'125-599'!6:6)</f>
        <v>-2160</v>
      </c>
      <c r="W7" s="231">
        <f>SUMIF('125-599'!$1:$1,W$3,'125-599'!6:6)</f>
        <v>0</v>
      </c>
      <c r="X7" s="231">
        <f>SUMIF('125-599'!$1:$1,X$3,'125-599'!6:6)</f>
        <v>0</v>
      </c>
      <c r="Y7" s="277">
        <f>SUMIF('125-599'!$1:$1,Y$3,'125-599'!6:6)</f>
        <v>0</v>
      </c>
      <c r="Z7" s="231">
        <f>SUMIF('125-599'!$1:$1,Z$3,'125-599'!6:6)</f>
        <v>0</v>
      </c>
      <c r="AA7" s="231">
        <f>SUMIF('125-599'!$1:$1,AA$3,'125-599'!6:6)</f>
        <v>0</v>
      </c>
      <c r="AB7" s="231">
        <f>SUMIF('125-599'!$1:$1,AB$3,'125-599'!6:6)</f>
        <v>0</v>
      </c>
      <c r="AC7" s="312">
        <f>SUMIF('125-599'!$1:$1,AC$3,'125-599'!6:6)</f>
        <v>0</v>
      </c>
      <c r="AD7" s="312">
        <f>SUMIF('125-599'!$1:$1,AD$3,'125-599'!6:6)</f>
        <v>0</v>
      </c>
      <c r="AE7" s="312">
        <f>SUMIF('125-599'!$1:$1,AE$3,'125-599'!6:6)</f>
        <v>0</v>
      </c>
      <c r="AF7" s="312">
        <f>SUMIF('125-599'!$1:$1,AF$3,'125-599'!6:6)</f>
        <v>0</v>
      </c>
      <c r="AG7" s="231">
        <f>SUMIF('125-599'!$1:$1,AG$3,'125-599'!6:6)</f>
        <v>1423887.64</v>
      </c>
      <c r="AH7" s="231">
        <f>SUMIF('125-599'!$1:$1,AH$3,'125-599'!6:6)</f>
        <v>2478.9299999999998</v>
      </c>
      <c r="AI7" s="231">
        <f>SUMIF('125-599'!$1:$1,AI$3,'125-599'!6:6)</f>
        <v>1580606.3400000003</v>
      </c>
      <c r="AJ7" s="231">
        <f>SUMIF('125-599'!$1:$1,AJ$3,'125-599'!6:6)</f>
        <v>41103.61</v>
      </c>
      <c r="AK7" s="231">
        <f>SUMIF('125-599'!$1:$1,AK$3,'125-599'!6:6)</f>
        <v>149953.65000000002</v>
      </c>
      <c r="AL7" s="231">
        <f>SUMIF('125-599'!$1:$1,AL$3,'125-599'!6:6)</f>
        <v>0</v>
      </c>
      <c r="AM7" s="231">
        <f>SUMIF('125-599'!$1:$1,AM$3,'125-599'!6:6)</f>
        <v>47888.679999999993</v>
      </c>
      <c r="AN7" s="231">
        <f>SUMIF('125-599'!$1:$1,AN$3,'125-599'!6:6)</f>
        <v>12113.05</v>
      </c>
      <c r="AO7" s="231">
        <f>SUMIF('125-599'!$1:$1,AO$3,'125-599'!6:6)</f>
        <v>14702.130000000001</v>
      </c>
      <c r="AP7" s="231">
        <f>SUMIF('125-599'!$1:$1,AP$3,'125-599'!6:6)</f>
        <v>0</v>
      </c>
      <c r="AQ7" s="231">
        <f>SUMIF('125-599'!$1:$1,AQ$3,'125-599'!6:6)</f>
        <v>22035.45</v>
      </c>
      <c r="AR7" s="231">
        <f>SUMIF('125-599'!$1:$1,AR$3,'125-599'!6:6)</f>
        <v>39769.239999999991</v>
      </c>
      <c r="AS7" s="231">
        <f>SUMIF('125-599'!$1:$1,AS$3,'125-599'!6:6)</f>
        <v>7869.2299999999987</v>
      </c>
      <c r="AT7" s="231">
        <f>SUMIF('125-599'!$1:$1,AT$3,'125-599'!6:6)</f>
        <v>68426.990000000005</v>
      </c>
      <c r="AU7" s="231">
        <f>SUMIF('125-599'!$1:$1,AU$3,'125-599'!6:6)</f>
        <v>8330.48</v>
      </c>
      <c r="AV7" s="231">
        <f>SUMIF('125-599'!$1:$1,AV$3,'125-599'!6:6)</f>
        <v>57564.179999999993</v>
      </c>
      <c r="AW7" s="231">
        <f>SUMIF('125-599'!$1:$1,AW$3,'125-599'!6:6)</f>
        <v>0</v>
      </c>
      <c r="AX7" s="231">
        <f>SUMIF('125-599'!$1:$1,AX$3,'125-599'!6:6)</f>
        <v>18144.550000000003</v>
      </c>
      <c r="AY7" s="231">
        <f>SUMIF('125-599'!$1:$1,AY$3,'125-599'!6:6)</f>
        <v>42264.490000000005</v>
      </c>
      <c r="AZ7" s="312">
        <f>SUMIF('125-599'!$1:$1,AZ$3,'125-599'!6:6)</f>
        <v>-380.96</v>
      </c>
      <c r="BA7" s="231">
        <f>SUMIF('125-599'!$1:$1,BA$3,'125-599'!6:6)</f>
        <v>6416.23</v>
      </c>
      <c r="BB7" s="231">
        <f>SUMIF('125-599'!$1:$1,BB$3,'125-599'!6:6)</f>
        <v>0</v>
      </c>
      <c r="BC7" s="231">
        <f>SUMIF('125-599'!$1:$1,BC$3,'125-599'!6:6)</f>
        <v>13691.91</v>
      </c>
      <c r="BD7" s="231">
        <f>SUMIF('125-599'!$1:$1,BD$3,'125-599'!6:6)</f>
        <v>2432.7399999999993</v>
      </c>
      <c r="BE7" s="231">
        <f>SUMIF('125-599'!$1:$1,BE$3,'125-599'!6:6)</f>
        <v>15151.230000000001</v>
      </c>
      <c r="BF7" s="231">
        <f>SUMIF('125-599'!$1:$1,BF$3,'125-599'!6:6)</f>
        <v>3903.6</v>
      </c>
      <c r="BG7" s="231">
        <f>SUMIF('125-599'!$1:$1,BG$3,'125-599'!6:6)</f>
        <v>9004.08</v>
      </c>
      <c r="BH7" s="231">
        <f>SUMIF('125-599'!$1:$1,BH$3,'125-599'!6:6)</f>
        <v>2493.7200000000003</v>
      </c>
      <c r="BI7" s="231">
        <f>SUMIF('125-599'!$1:$1,BI$3,'125-599'!6:6)</f>
        <v>5266.9399999999987</v>
      </c>
      <c r="BJ7" s="231">
        <f>SUMIF('125-599'!$1:$1,BJ$3,'125-599'!6:6)</f>
        <v>23730.09</v>
      </c>
      <c r="BK7" s="231">
        <f>SUMIF('125-599'!$1:$1,BK$3,'125-599'!6:6)</f>
        <v>9657.9299999999985</v>
      </c>
      <c r="BL7" s="231">
        <f>SUMIF('125-599'!$1:$1,BL$3,'125-599'!6:6)</f>
        <v>22452.37</v>
      </c>
      <c r="BM7" s="231">
        <f>SUMIF('125-599'!$1:$1,BM$3,'125-599'!6:6)</f>
        <v>0</v>
      </c>
      <c r="BN7" s="231">
        <f>SUMIF('125-599'!$1:$1,BN$3,'125-599'!6:6)</f>
        <v>100196.96000000005</v>
      </c>
      <c r="BO7" s="231">
        <f>SUMIF('125-599'!$1:$1,BO$3,'125-599'!6:6)</f>
        <v>27886.620000000003</v>
      </c>
      <c r="BP7" s="231">
        <f>SUMIF('125-599'!$1:$1,BP$3,'125-599'!6:6)</f>
        <v>0</v>
      </c>
      <c r="BQ7" s="231">
        <f>SUMIF('125-599'!$1:$1,BQ$3,'125-599'!6:6)</f>
        <v>0</v>
      </c>
      <c r="BR7" s="231">
        <f>SUMIF('125-599'!$1:$1,BR$3,'125-599'!6:6)</f>
        <v>17454.23</v>
      </c>
      <c r="BS7" s="231">
        <f>SUMIF('125-599'!$1:$1,BS$3,'125-599'!6:6)</f>
        <v>0</v>
      </c>
      <c r="BT7" s="231">
        <f>SUMIF('125-599'!$1:$1,BT$3,'125-599'!6:6)</f>
        <v>0</v>
      </c>
      <c r="BU7" s="231">
        <f>SUMIF('125-599'!$1:$1,BU$3,'125-599'!6:6)</f>
        <v>-10783.75</v>
      </c>
      <c r="BV7" s="231">
        <f>SUMIF('125-599'!$1:$1,BV$3,'125-599'!6:6)</f>
        <v>0</v>
      </c>
      <c r="BW7" s="231">
        <f>SUMIF('125-599'!$1:$1,BW$3,'125-599'!6:6)</f>
        <v>-17454.23</v>
      </c>
      <c r="BX7" s="231">
        <f>SUMIF('125-599'!$1:$1,BX$3,'125-599'!6:6)</f>
        <v>0</v>
      </c>
      <c r="BY7" s="231">
        <f>SUMIF('125-599'!$1:$1,BY$3,'125-599'!6:6)</f>
        <v>21532.23</v>
      </c>
      <c r="BZ7" s="231">
        <f>SUMIF('125-599'!$1:$1,BZ$3,'125-599'!6:6)</f>
        <v>0</v>
      </c>
      <c r="CA7" s="316">
        <f>SUMIF('125-599'!$1:$1,CA$3,'125-599'!6:6)</f>
        <v>0</v>
      </c>
      <c r="CB7" s="249">
        <f>SUMIF('125-599'!$1:$1,CB$3,'125-599'!6:6)</f>
        <v>0</v>
      </c>
      <c r="CC7" s="249">
        <f>SUMIF('125-599'!$1:$1,CC$3,'125-599'!6:6)</f>
        <v>0</v>
      </c>
      <c r="CD7" s="249">
        <f>SUMIF('125-599'!$1:$1,CD$3,'125-599'!6:6)</f>
        <v>0</v>
      </c>
      <c r="CE7" s="249">
        <f>SUMIF('125-599'!$1:$1,CE$3,'125-599'!6:6)</f>
        <v>11484</v>
      </c>
      <c r="CF7" s="249">
        <f>SUMIF('125-599'!$1:$1,CF$3,'125-599'!6:6)</f>
        <v>0</v>
      </c>
      <c r="CG7" s="262">
        <f t="shared" si="1"/>
        <v>-176960.97999999963</v>
      </c>
      <c r="CJ7" s="122"/>
      <c r="CK7" s="169">
        <f>INDEX(SAP!C:C,MATCH('Actuals mapped to CFR'!A7,SAP!H:H,FALSE),1)</f>
        <v>-176960.98</v>
      </c>
      <c r="CL7" s="59">
        <f t="shared" si="7"/>
        <v>0</v>
      </c>
      <c r="CN7" s="81">
        <f t="shared" si="2"/>
        <v>3931248.2699999996</v>
      </c>
      <c r="CO7" s="81">
        <f t="shared" si="3"/>
        <v>3796496.330000001</v>
      </c>
      <c r="CP7" s="166">
        <f>VLOOKUP(B7,'2526 GBP Data input'!$A$4:$CA$230,38,FALSE)</f>
        <v>3719882</v>
      </c>
      <c r="CQ7" s="166">
        <f>VLOOKUP(B7,'2526 GBP Data input'!$A$4:$CA$230,73,FALSE)</f>
        <v>26502</v>
      </c>
      <c r="CR7" s="89">
        <f t="shared" si="8"/>
        <v>211366.26999999955</v>
      </c>
      <c r="CS7" s="83">
        <f t="shared" si="9"/>
        <v>143.25320089049887</v>
      </c>
      <c r="CT7" s="82">
        <f t="shared" si="5"/>
        <v>180564.97999999858</v>
      </c>
      <c r="CU7" s="82">
        <f t="shared" si="6"/>
        <v>6706</v>
      </c>
      <c r="CV7" s="86">
        <f t="shared" si="10"/>
        <v>187270.97999999858</v>
      </c>
    </row>
    <row r="8" spans="1:100">
      <c r="A8" s="238">
        <v>107145</v>
      </c>
      <c r="B8" s="60">
        <v>145</v>
      </c>
      <c r="C8" s="60" t="s">
        <v>388</v>
      </c>
      <c r="D8" s="231">
        <f>SUMIF('125-599'!$1:$1,D$3,'125-599'!7:7)</f>
        <v>-91400.98</v>
      </c>
      <c r="E8" s="231">
        <f>SUMIF('125-599'!$1:$1,E$3,'125-599'!7:7)</f>
        <v>-65598.64</v>
      </c>
      <c r="F8" s="231">
        <f>SUMIF('125-599'!$1:$1,F$3,'125-599'!7:7)</f>
        <v>0</v>
      </c>
      <c r="G8" s="231">
        <f>SUMIF('125-599'!$1:$1,G$3,'125-599'!7:7)</f>
        <v>-19345.78</v>
      </c>
      <c r="H8" s="231">
        <f>SUMIF('125-599'!$1:$1,H$3,'125-599'!7:7)</f>
        <v>0</v>
      </c>
      <c r="I8" s="231">
        <f>SUMIF('125-599'!$1:$1,I$3,'125-599'!7:7)</f>
        <v>0</v>
      </c>
      <c r="J8" s="231">
        <f>SUMIF('125-599'!$1:$1,J$3,'125-599'!7:7)</f>
        <v>0</v>
      </c>
      <c r="K8" s="231">
        <f>SUMIF('125-599'!$1:$1,K$3,'125-599'!7:7)</f>
        <v>-1684990.2800000003</v>
      </c>
      <c r="L8" s="231">
        <f>SUMIF('125-599'!$1:$1,L$3,'125-599'!7:7)</f>
        <v>-467.41</v>
      </c>
      <c r="M8" s="231">
        <f>SUMIF('125-599'!$1:$1,M$3,'125-599'!7:7)</f>
        <v>-2439448.5700000003</v>
      </c>
      <c r="N8" s="231">
        <f>SUMIF('125-599'!$1:$1,N$3,'125-599'!7:7)</f>
        <v>0</v>
      </c>
      <c r="O8" s="231">
        <f>SUMIF('125-599'!$1:$1,O$3,'125-599'!7:7)</f>
        <v>-115515</v>
      </c>
      <c r="P8" s="231">
        <f>SUMIF('125-599'!$1:$1,P$3,'125-599'!7:7)</f>
        <v>-22843.93</v>
      </c>
      <c r="Q8" s="231">
        <f>SUMIF('125-599'!$1:$1,Q$3,'125-599'!7:7)</f>
        <v>0</v>
      </c>
      <c r="R8" s="231">
        <f>SUMIF('125-599'!$1:$1,R$3,'125-599'!7:7)</f>
        <v>0</v>
      </c>
      <c r="S8" s="231">
        <f>SUMIF('125-599'!$1:$1,S$3,'125-599'!7:7)</f>
        <v>-15704.560000000001</v>
      </c>
      <c r="T8" s="231">
        <f>SUMIF('125-599'!$1:$1,T$3,'125-599'!7:7)</f>
        <v>0</v>
      </c>
      <c r="U8" s="231">
        <f>SUMIF('125-599'!$1:$1,U$3,'125-599'!7:7)</f>
        <v>0</v>
      </c>
      <c r="V8" s="231">
        <f>SUMIF('125-599'!$1:$1,V$3,'125-599'!7:7)</f>
        <v>0</v>
      </c>
      <c r="W8" s="231">
        <f>SUMIF('125-599'!$1:$1,W$3,'125-599'!7:7)</f>
        <v>-1650.1999999999994</v>
      </c>
      <c r="X8" s="231">
        <f>SUMIF('125-599'!$1:$1,X$3,'125-599'!7:7)</f>
        <v>-1355</v>
      </c>
      <c r="Y8" s="277">
        <f>SUMIF('125-599'!$1:$1,Y$3,'125-599'!7:7)</f>
        <v>0</v>
      </c>
      <c r="Z8" s="231">
        <f>SUMIF('125-599'!$1:$1,Z$3,'125-599'!7:7)</f>
        <v>0</v>
      </c>
      <c r="AA8" s="231">
        <f>SUMIF('125-599'!$1:$1,AA$3,'125-599'!7:7)</f>
        <v>0</v>
      </c>
      <c r="AB8" s="231">
        <f>SUMIF('125-599'!$1:$1,AB$3,'125-599'!7:7)</f>
        <v>0</v>
      </c>
      <c r="AC8" s="312">
        <f>SUMIF('125-599'!$1:$1,AC$3,'125-599'!7:7)</f>
        <v>0</v>
      </c>
      <c r="AD8" s="312">
        <f>SUMIF('125-599'!$1:$1,AD$3,'125-599'!7:7)</f>
        <v>0</v>
      </c>
      <c r="AE8" s="312">
        <f>SUMIF('125-599'!$1:$1,AE$3,'125-599'!7:7)</f>
        <v>0</v>
      </c>
      <c r="AF8" s="312">
        <f>SUMIF('125-599'!$1:$1,AF$3,'125-599'!7:7)</f>
        <v>0</v>
      </c>
      <c r="AG8" s="231">
        <f>SUMIF('125-599'!$1:$1,AG$3,'125-599'!7:7)</f>
        <v>1211530.2500000002</v>
      </c>
      <c r="AH8" s="231">
        <f>SUMIF('125-599'!$1:$1,AH$3,'125-599'!7:7)</f>
        <v>71479.35000000002</v>
      </c>
      <c r="AI8" s="231">
        <f>SUMIF('125-599'!$1:$1,AI$3,'125-599'!7:7)</f>
        <v>1954372.4799999995</v>
      </c>
      <c r="AJ8" s="231">
        <f>SUMIF('125-599'!$1:$1,AJ$3,'125-599'!7:7)</f>
        <v>136304.40999999997</v>
      </c>
      <c r="AK8" s="231">
        <f>SUMIF('125-599'!$1:$1,AK$3,'125-599'!7:7)</f>
        <v>190315.37</v>
      </c>
      <c r="AL8" s="231">
        <f>SUMIF('125-599'!$1:$1,AL$3,'125-599'!7:7)</f>
        <v>0</v>
      </c>
      <c r="AM8" s="231">
        <f>SUMIF('125-599'!$1:$1,AM$3,'125-599'!7:7)</f>
        <v>47208.869999999995</v>
      </c>
      <c r="AN8" s="231">
        <f>SUMIF('125-599'!$1:$1,AN$3,'125-599'!7:7)</f>
        <v>19177.980000000003</v>
      </c>
      <c r="AO8" s="231">
        <f>SUMIF('125-599'!$1:$1,AO$3,'125-599'!7:7)</f>
        <v>16269.329999999998</v>
      </c>
      <c r="AP8" s="231">
        <f>SUMIF('125-599'!$1:$1,AP$3,'125-599'!7:7)</f>
        <v>21564.39</v>
      </c>
      <c r="AQ8" s="231">
        <f>SUMIF('125-599'!$1:$1,AQ$3,'125-599'!7:7)</f>
        <v>0</v>
      </c>
      <c r="AR8" s="231">
        <f>SUMIF('125-599'!$1:$1,AR$3,'125-599'!7:7)</f>
        <v>77260.310000000041</v>
      </c>
      <c r="AS8" s="231">
        <f>SUMIF('125-599'!$1:$1,AS$3,'125-599'!7:7)</f>
        <v>26034.94</v>
      </c>
      <c r="AT8" s="231">
        <f>SUMIF('125-599'!$1:$1,AT$3,'125-599'!7:7)</f>
        <v>16584.810000000001</v>
      </c>
      <c r="AU8" s="231">
        <f>SUMIF('125-599'!$1:$1,AU$3,'125-599'!7:7)</f>
        <v>5979.01</v>
      </c>
      <c r="AV8" s="231">
        <f>SUMIF('125-599'!$1:$1,AV$3,'125-599'!7:7)</f>
        <v>54211.06</v>
      </c>
      <c r="AW8" s="231">
        <f>SUMIF('125-599'!$1:$1,AW$3,'125-599'!7:7)</f>
        <v>0</v>
      </c>
      <c r="AX8" s="231">
        <f>SUMIF('125-599'!$1:$1,AX$3,'125-599'!7:7)</f>
        <v>14894.380000000001</v>
      </c>
      <c r="AY8" s="231">
        <f>SUMIF('125-599'!$1:$1,AY$3,'125-599'!7:7)</f>
        <v>90035.73</v>
      </c>
      <c r="AZ8" s="312">
        <f>SUMIF('125-599'!$1:$1,AZ$3,'125-599'!7:7)</f>
        <v>0</v>
      </c>
      <c r="BA8" s="231">
        <f>SUMIF('125-599'!$1:$1,BA$3,'125-599'!7:7)</f>
        <v>49</v>
      </c>
      <c r="BB8" s="231">
        <f>SUMIF('125-599'!$1:$1,BB$3,'125-599'!7:7)</f>
        <v>0</v>
      </c>
      <c r="BC8" s="231">
        <f>SUMIF('125-599'!$1:$1,BC$3,'125-599'!7:7)</f>
        <v>1663.92</v>
      </c>
      <c r="BD8" s="231">
        <f>SUMIF('125-599'!$1:$1,BD$3,'125-599'!7:7)</f>
        <v>24775.140000000003</v>
      </c>
      <c r="BE8" s="231">
        <f>SUMIF('125-599'!$1:$1,BE$3,'125-599'!7:7)</f>
        <v>631.33000000000004</v>
      </c>
      <c r="BF8" s="231">
        <f>SUMIF('125-599'!$1:$1,BF$3,'125-599'!7:7)</f>
        <v>707.49</v>
      </c>
      <c r="BG8" s="231">
        <f>SUMIF('125-599'!$1:$1,BG$3,'125-599'!7:7)</f>
        <v>4073</v>
      </c>
      <c r="BH8" s="231">
        <f>SUMIF('125-599'!$1:$1,BH$3,'125-599'!7:7)</f>
        <v>1988.49</v>
      </c>
      <c r="BI8" s="231">
        <f>SUMIF('125-599'!$1:$1,BI$3,'125-599'!7:7)</f>
        <v>15358.279999999999</v>
      </c>
      <c r="BJ8" s="231">
        <f>SUMIF('125-599'!$1:$1,BJ$3,'125-599'!7:7)</f>
        <v>25241.850000000002</v>
      </c>
      <c r="BK8" s="231">
        <f>SUMIF('125-599'!$1:$1,BK$3,'125-599'!7:7)</f>
        <v>0</v>
      </c>
      <c r="BL8" s="231">
        <f>SUMIF('125-599'!$1:$1,BL$3,'125-599'!7:7)</f>
        <v>22240.65</v>
      </c>
      <c r="BM8" s="231">
        <f>SUMIF('125-599'!$1:$1,BM$3,'125-599'!7:7)</f>
        <v>0</v>
      </c>
      <c r="BN8" s="231">
        <f>SUMIF('125-599'!$1:$1,BN$3,'125-599'!7:7)</f>
        <v>123844.01999999999</v>
      </c>
      <c r="BO8" s="231">
        <f>SUMIF('125-599'!$1:$1,BO$3,'125-599'!7:7)</f>
        <v>49775.829999999994</v>
      </c>
      <c r="BP8" s="231">
        <f>SUMIF('125-599'!$1:$1,BP$3,'125-599'!7:7)</f>
        <v>0</v>
      </c>
      <c r="BQ8" s="231">
        <f>SUMIF('125-599'!$1:$1,BQ$3,'125-599'!7:7)</f>
        <v>0</v>
      </c>
      <c r="BR8" s="231">
        <f>SUMIF('125-599'!$1:$1,BR$3,'125-599'!7:7)</f>
        <v>0</v>
      </c>
      <c r="BS8" s="231">
        <f>SUMIF('125-599'!$1:$1,BS$3,'125-599'!7:7)</f>
        <v>0</v>
      </c>
      <c r="BT8" s="231">
        <f>SUMIF('125-599'!$1:$1,BT$3,'125-599'!7:7)</f>
        <v>0</v>
      </c>
      <c r="BU8" s="231">
        <f>SUMIF('125-599'!$1:$1,BU$3,'125-599'!7:7)</f>
        <v>-10631.88</v>
      </c>
      <c r="BV8" s="231">
        <f>SUMIF('125-599'!$1:$1,BV$3,'125-599'!7:7)</f>
        <v>0</v>
      </c>
      <c r="BW8" s="231">
        <f>SUMIF('125-599'!$1:$1,BW$3,'125-599'!7:7)</f>
        <v>0</v>
      </c>
      <c r="BX8" s="231">
        <f>SUMIF('125-599'!$1:$1,BX$3,'125-599'!7:7)</f>
        <v>0</v>
      </c>
      <c r="BY8" s="231">
        <f>SUMIF('125-599'!$1:$1,BY$3,'125-599'!7:7)</f>
        <v>-1258</v>
      </c>
      <c r="BZ8" s="231">
        <f>SUMIF('125-599'!$1:$1,BZ$3,'125-599'!7:7)</f>
        <v>0</v>
      </c>
      <c r="CA8" s="316">
        <f>SUMIF('125-599'!$1:$1,CA$3,'125-599'!7:7)</f>
        <v>0</v>
      </c>
      <c r="CB8" s="249">
        <f>SUMIF('125-599'!$1:$1,CB$3,'125-599'!7:7)</f>
        <v>0</v>
      </c>
      <c r="CC8" s="249">
        <f>SUMIF('125-599'!$1:$1,CC$3,'125-599'!7:7)</f>
        <v>0</v>
      </c>
      <c r="CD8" s="249">
        <f>SUMIF('125-599'!$1:$1,CD$3,'125-599'!7:7)</f>
        <v>0</v>
      </c>
      <c r="CE8" s="249">
        <f>SUMIF('125-599'!$1:$1,CE$3,'125-599'!7:7)</f>
        <v>0</v>
      </c>
      <c r="CF8" s="249">
        <f>SUMIF('125-599'!$1:$1,CF$3,'125-599'!7:7)</f>
        <v>0</v>
      </c>
      <c r="CG8" s="262">
        <f t="shared" si="1"/>
        <v>-246638.56000000003</v>
      </c>
      <c r="CJ8" s="122"/>
      <c r="CK8" s="169">
        <f>INDEX(SAP!C:C,MATCH('Actuals mapped to CFR'!A8,SAP!H:H,FALSE),1)</f>
        <v>-246638.56</v>
      </c>
      <c r="CL8" s="59">
        <f t="shared" si="7"/>
        <v>0</v>
      </c>
      <c r="CN8" s="81">
        <f t="shared" si="2"/>
        <v>4281974.95</v>
      </c>
      <c r="CO8" s="81">
        <f t="shared" si="3"/>
        <v>4223571.6700000009</v>
      </c>
      <c r="CP8" s="166">
        <f>VLOOKUP(B8,'2526 GBP Data input'!$A$4:$CA$230,38,FALSE)</f>
        <v>4187159</v>
      </c>
      <c r="CQ8" s="166">
        <f>VLOOKUP(B8,'2526 GBP Data input'!$A$4:$CA$230,73,FALSE)</f>
        <v>31966</v>
      </c>
      <c r="CR8" s="89">
        <f t="shared" si="8"/>
        <v>94815.950000000186</v>
      </c>
      <c r="CS8" s="83">
        <f t="shared" si="9"/>
        <v>132.12699962460115</v>
      </c>
      <c r="CT8" s="82">
        <f t="shared" si="5"/>
        <v>149804.25999999978</v>
      </c>
      <c r="CU8" s="82">
        <f t="shared" si="6"/>
        <v>31235.659999999996</v>
      </c>
      <c r="CV8" s="86">
        <f t="shared" si="10"/>
        <v>181039.91999999978</v>
      </c>
    </row>
    <row r="9" spans="1:100">
      <c r="A9" s="238">
        <v>107529</v>
      </c>
      <c r="B9" s="60">
        <v>529</v>
      </c>
      <c r="C9" s="60" t="s">
        <v>213</v>
      </c>
      <c r="D9" s="231">
        <f>SUMIF('125-599'!$1:$1,D$3,'125-599'!8:8)</f>
        <v>-76255.399999999994</v>
      </c>
      <c r="E9" s="231">
        <f>SUMIF('125-599'!$1:$1,E$3,'125-599'!8:8)</f>
        <v>-26165</v>
      </c>
      <c r="F9" s="231">
        <f>SUMIF('125-599'!$1:$1,F$3,'125-599'!8:8)</f>
        <v>0</v>
      </c>
      <c r="G9" s="231">
        <f>SUMIF('125-599'!$1:$1,G$3,'125-599'!8:8)</f>
        <v>-2402.17</v>
      </c>
      <c r="H9" s="231">
        <f>SUMIF('125-599'!$1:$1,H$3,'125-599'!8:8)</f>
        <v>0</v>
      </c>
      <c r="I9" s="231">
        <f>SUMIF('125-599'!$1:$1,I$3,'125-599'!8:8)</f>
        <v>0</v>
      </c>
      <c r="J9" s="231">
        <f>SUMIF('125-599'!$1:$1,J$3,'125-599'!8:8)</f>
        <v>0</v>
      </c>
      <c r="K9" s="231">
        <f>SUMIF('125-599'!$1:$1,K$3,'125-599'!8:8)</f>
        <v>-2189129</v>
      </c>
      <c r="L9" s="231">
        <f>SUMIF('125-599'!$1:$1,L$3,'125-599'!8:8)</f>
        <v>0</v>
      </c>
      <c r="M9" s="231">
        <f>SUMIF('125-599'!$1:$1,M$3,'125-599'!8:8)</f>
        <v>-187531</v>
      </c>
      <c r="N9" s="231">
        <f>SUMIF('125-599'!$1:$1,N$3,'125-599'!8:8)</f>
        <v>0</v>
      </c>
      <c r="O9" s="231">
        <f>SUMIF('125-599'!$1:$1,O$3,'125-599'!8:8)</f>
        <v>-91465</v>
      </c>
      <c r="P9" s="231">
        <f>SUMIF('125-599'!$1:$1,P$3,'125-599'!8:8)</f>
        <v>-108562</v>
      </c>
      <c r="Q9" s="231">
        <f>SUMIF('125-599'!$1:$1,Q$3,'125-599'!8:8)</f>
        <v>-3800</v>
      </c>
      <c r="R9" s="231">
        <f>SUMIF('125-599'!$1:$1,R$3,'125-599'!8:8)</f>
        <v>-14233.57</v>
      </c>
      <c r="S9" s="231">
        <f>SUMIF('125-599'!$1:$1,S$3,'125-599'!8:8)</f>
        <v>-38307.499999999993</v>
      </c>
      <c r="T9" s="231">
        <f>SUMIF('125-599'!$1:$1,T$3,'125-599'!8:8)</f>
        <v>-1.3766765505351941E-14</v>
      </c>
      <c r="U9" s="231">
        <f>SUMIF('125-599'!$1:$1,U$3,'125-599'!8:8)</f>
        <v>-1914</v>
      </c>
      <c r="V9" s="231">
        <f>SUMIF('125-599'!$1:$1,V$3,'125-599'!8:8)</f>
        <v>0</v>
      </c>
      <c r="W9" s="231">
        <f>SUMIF('125-599'!$1:$1,W$3,'125-599'!8:8)</f>
        <v>-58822.930000000037</v>
      </c>
      <c r="X9" s="231">
        <f>SUMIF('125-599'!$1:$1,X$3,'125-599'!8:8)</f>
        <v>-7995.09</v>
      </c>
      <c r="Y9" s="277">
        <f>SUMIF('125-599'!$1:$1,Y$3,'125-599'!8:8)</f>
        <v>0</v>
      </c>
      <c r="Z9" s="231">
        <f>SUMIF('125-599'!$1:$1,Z$3,'125-599'!8:8)</f>
        <v>0</v>
      </c>
      <c r="AA9" s="231">
        <f>SUMIF('125-599'!$1:$1,AA$3,'125-599'!8:8)</f>
        <v>0</v>
      </c>
      <c r="AB9" s="231">
        <f>SUMIF('125-599'!$1:$1,AB$3,'125-599'!8:8)</f>
        <v>0</v>
      </c>
      <c r="AC9" s="312">
        <f>SUMIF('125-599'!$1:$1,AC$3,'125-599'!8:8)</f>
        <v>0</v>
      </c>
      <c r="AD9" s="312">
        <f>SUMIF('125-599'!$1:$1,AD$3,'125-599'!8:8)</f>
        <v>0</v>
      </c>
      <c r="AE9" s="312">
        <f>SUMIF('125-599'!$1:$1,AE$3,'125-599'!8:8)</f>
        <v>0</v>
      </c>
      <c r="AF9" s="312">
        <f>SUMIF('125-599'!$1:$1,AF$3,'125-599'!8:8)</f>
        <v>0</v>
      </c>
      <c r="AG9" s="231">
        <f>SUMIF('125-599'!$1:$1,AG$3,'125-599'!8:8)</f>
        <v>1268188.7800000003</v>
      </c>
      <c r="AH9" s="231">
        <f>SUMIF('125-599'!$1:$1,AH$3,'125-599'!8:8)</f>
        <v>24541.81</v>
      </c>
      <c r="AI9" s="231">
        <f>SUMIF('125-599'!$1:$1,AI$3,'125-599'!8:8)</f>
        <v>565140.49</v>
      </c>
      <c r="AJ9" s="231">
        <f>SUMIF('125-599'!$1:$1,AJ$3,'125-599'!8:8)</f>
        <v>94763.26</v>
      </c>
      <c r="AK9" s="231">
        <f>SUMIF('125-599'!$1:$1,AK$3,'125-599'!8:8)</f>
        <v>152039.72999999998</v>
      </c>
      <c r="AL9" s="231">
        <f>SUMIF('125-599'!$1:$1,AL$3,'125-599'!8:8)</f>
        <v>0</v>
      </c>
      <c r="AM9" s="231">
        <f>SUMIF('125-599'!$1:$1,AM$3,'125-599'!8:8)</f>
        <v>91132.189999999973</v>
      </c>
      <c r="AN9" s="231">
        <f>SUMIF('125-599'!$1:$1,AN$3,'125-599'!8:8)</f>
        <v>8512.36</v>
      </c>
      <c r="AO9" s="231">
        <f>SUMIF('125-599'!$1:$1,AO$3,'125-599'!8:8)</f>
        <v>4458.3899999999994</v>
      </c>
      <c r="AP9" s="231">
        <f>SUMIF('125-599'!$1:$1,AP$3,'125-599'!8:8)</f>
        <v>4455.3599999999997</v>
      </c>
      <c r="AQ9" s="231">
        <f>SUMIF('125-599'!$1:$1,AQ$3,'125-599'!8:8)</f>
        <v>0</v>
      </c>
      <c r="AR9" s="231">
        <f>SUMIF('125-599'!$1:$1,AR$3,'125-599'!8:8)</f>
        <v>15845.470000000001</v>
      </c>
      <c r="AS9" s="231">
        <f>SUMIF('125-599'!$1:$1,AS$3,'125-599'!8:8)</f>
        <v>3085.45</v>
      </c>
      <c r="AT9" s="231">
        <f>SUMIF('125-599'!$1:$1,AT$3,'125-599'!8:8)</f>
        <v>7100.6299999999983</v>
      </c>
      <c r="AU9" s="231">
        <f>SUMIF('125-599'!$1:$1,AU$3,'125-599'!8:8)</f>
        <v>12765.55</v>
      </c>
      <c r="AV9" s="231">
        <f>SUMIF('125-599'!$1:$1,AV$3,'125-599'!8:8)</f>
        <v>37941.14</v>
      </c>
      <c r="AW9" s="231">
        <f>SUMIF('125-599'!$1:$1,AW$3,'125-599'!8:8)</f>
        <v>49721</v>
      </c>
      <c r="AX9" s="231">
        <f>SUMIF('125-599'!$1:$1,AX$3,'125-599'!8:8)</f>
        <v>6766.16</v>
      </c>
      <c r="AY9" s="231">
        <f>SUMIF('125-599'!$1:$1,AY$3,'125-599'!8:8)</f>
        <v>117018.60000000002</v>
      </c>
      <c r="AZ9" s="312">
        <f>SUMIF('125-599'!$1:$1,AZ$3,'125-599'!8:8)</f>
        <v>0</v>
      </c>
      <c r="BA9" s="231">
        <f>SUMIF('125-599'!$1:$1,BA$3,'125-599'!8:8)</f>
        <v>4820.3599999999997</v>
      </c>
      <c r="BB9" s="231">
        <f>SUMIF('125-599'!$1:$1,BB$3,'125-599'!8:8)</f>
        <v>0</v>
      </c>
      <c r="BC9" s="231">
        <f>SUMIF('125-599'!$1:$1,BC$3,'125-599'!8:8)</f>
        <v>3349</v>
      </c>
      <c r="BD9" s="231">
        <f>SUMIF('125-599'!$1:$1,BD$3,'125-599'!8:8)</f>
        <v>14154.13</v>
      </c>
      <c r="BE9" s="231">
        <f>SUMIF('125-599'!$1:$1,BE$3,'125-599'!8:8)</f>
        <v>3906.45</v>
      </c>
      <c r="BF9" s="231">
        <f>SUMIF('125-599'!$1:$1,BF$3,'125-599'!8:8)</f>
        <v>0</v>
      </c>
      <c r="BG9" s="231">
        <f>SUMIF('125-599'!$1:$1,BG$3,'125-599'!8:8)</f>
        <v>9329</v>
      </c>
      <c r="BH9" s="231">
        <f>SUMIF('125-599'!$1:$1,BH$3,'125-599'!8:8)</f>
        <v>0</v>
      </c>
      <c r="BI9" s="231">
        <f>SUMIF('125-599'!$1:$1,BI$3,'125-599'!8:8)</f>
        <v>4654.01</v>
      </c>
      <c r="BJ9" s="231">
        <f>SUMIF('125-599'!$1:$1,BJ$3,'125-599'!8:8)</f>
        <v>19987.8</v>
      </c>
      <c r="BK9" s="231">
        <f>SUMIF('125-599'!$1:$1,BK$3,'125-599'!8:8)</f>
        <v>0</v>
      </c>
      <c r="BL9" s="231">
        <f>SUMIF('125-599'!$1:$1,BL$3,'125-599'!8:8)</f>
        <v>77374.87000000001</v>
      </c>
      <c r="BM9" s="231">
        <f>SUMIF('125-599'!$1:$1,BM$3,'125-599'!8:8)</f>
        <v>26484.549999999992</v>
      </c>
      <c r="BN9" s="231">
        <f>SUMIF('125-599'!$1:$1,BN$3,'125-599'!8:8)</f>
        <v>16103.85</v>
      </c>
      <c r="BO9" s="231">
        <f>SUMIF('125-599'!$1:$1,BO$3,'125-599'!8:8)</f>
        <v>20505.480000000007</v>
      </c>
      <c r="BP9" s="231">
        <f>SUMIF('125-599'!$1:$1,BP$3,'125-599'!8:8)</f>
        <v>0</v>
      </c>
      <c r="BQ9" s="231">
        <f>SUMIF('125-599'!$1:$1,BQ$3,'125-599'!8:8)</f>
        <v>0</v>
      </c>
      <c r="BR9" s="231">
        <f>SUMIF('125-599'!$1:$1,BR$3,'125-599'!8:8)</f>
        <v>0</v>
      </c>
      <c r="BS9" s="231">
        <f>SUMIF('125-599'!$1:$1,BS$3,'125-599'!8:8)</f>
        <v>0</v>
      </c>
      <c r="BT9" s="231">
        <f>SUMIF('125-599'!$1:$1,BT$3,'125-599'!8:8)</f>
        <v>0</v>
      </c>
      <c r="BU9" s="231">
        <f>SUMIF('125-599'!$1:$1,BU$3,'125-599'!8:8)</f>
        <v>-8725</v>
      </c>
      <c r="BV9" s="231">
        <f>SUMIF('125-599'!$1:$1,BV$3,'125-599'!8:8)</f>
        <v>0</v>
      </c>
      <c r="BW9" s="231">
        <f>SUMIF('125-599'!$1:$1,BW$3,'125-599'!8:8)</f>
        <v>0</v>
      </c>
      <c r="BX9" s="231">
        <f>SUMIF('125-599'!$1:$1,BX$3,'125-599'!8:8)</f>
        <v>0</v>
      </c>
      <c r="BY9" s="231">
        <f>SUMIF('125-599'!$1:$1,BY$3,'125-599'!8:8)</f>
        <v>11289.74</v>
      </c>
      <c r="BZ9" s="231">
        <f>SUMIF('125-599'!$1:$1,BZ$3,'125-599'!8:8)</f>
        <v>0</v>
      </c>
      <c r="CA9" s="316">
        <f>SUMIF('125-599'!$1:$1,CA$3,'125-599'!8:8)</f>
        <v>0</v>
      </c>
      <c r="CB9" s="249">
        <f>SUMIF('125-599'!$1:$1,CB$3,'125-599'!8:8)</f>
        <v>0</v>
      </c>
      <c r="CC9" s="249">
        <f>SUMIF('125-599'!$1:$1,CC$3,'125-599'!8:8)</f>
        <v>0</v>
      </c>
      <c r="CD9" s="249">
        <f>SUMIF('125-599'!$1:$1,CD$3,'125-599'!8:8)</f>
        <v>0</v>
      </c>
      <c r="CE9" s="249">
        <f>SUMIF('125-599'!$1:$1,CE$3,'125-599'!8:8)</f>
        <v>6270.49</v>
      </c>
      <c r="CF9" s="249">
        <f>SUMIF('125-599'!$1:$1,CF$3,'125-599'!8:8)</f>
        <v>6585</v>
      </c>
      <c r="CG9" s="262">
        <f t="shared" si="1"/>
        <v>-127016.55999999947</v>
      </c>
      <c r="CJ9" s="122"/>
      <c r="CK9" s="169">
        <f>INDEX(SAP!C:C,MATCH('Actuals mapped to CFR'!A9,SAP!H:H,FALSE),1)</f>
        <v>-127016.56</v>
      </c>
      <c r="CL9" s="59">
        <f t="shared" si="7"/>
        <v>0</v>
      </c>
      <c r="CN9" s="81">
        <f t="shared" si="2"/>
        <v>2701760.09</v>
      </c>
      <c r="CO9" s="81">
        <f t="shared" si="3"/>
        <v>2664145.87</v>
      </c>
      <c r="CP9" s="166">
        <f>VLOOKUP(B9,'2526 GBP Data input'!$A$4:$CA$230,38,FALSE)</f>
        <v>2508776</v>
      </c>
      <c r="CQ9" s="166">
        <f>VLOOKUP(B9,'2526 GBP Data input'!$A$4:$CA$230,73,FALSE)</f>
        <v>19887</v>
      </c>
      <c r="CR9" s="89">
        <f t="shared" si="8"/>
        <v>192984.08999999985</v>
      </c>
      <c r="CS9" s="83">
        <f t="shared" si="9"/>
        <v>133.96419118016794</v>
      </c>
      <c r="CT9" s="82">
        <f t="shared" si="5"/>
        <v>113869.61999999965</v>
      </c>
      <c r="CU9" s="82">
        <f t="shared" si="6"/>
        <v>-6747.57</v>
      </c>
      <c r="CV9" s="86">
        <f t="shared" si="10"/>
        <v>107122.04999999964</v>
      </c>
    </row>
    <row r="10" spans="1:100" ht="12.75" customHeight="1">
      <c r="A10" s="238">
        <v>107531</v>
      </c>
      <c r="B10" s="60">
        <v>531</v>
      </c>
      <c r="C10" s="60" t="s">
        <v>212</v>
      </c>
      <c r="D10" s="231">
        <f>SUMIF('125-599'!$1:$1,D$3,'125-599'!9:9)</f>
        <v>-23760.799999999999</v>
      </c>
      <c r="E10" s="231">
        <f>SUMIF('125-599'!$1:$1,E$3,'125-599'!9:9)</f>
        <v>-9498.4</v>
      </c>
      <c r="F10" s="231">
        <f>SUMIF('125-599'!$1:$1,F$3,'125-599'!9:9)</f>
        <v>0</v>
      </c>
      <c r="G10" s="231">
        <f>SUMIF('125-599'!$1:$1,G$3,'125-599'!9:9)</f>
        <v>0</v>
      </c>
      <c r="H10" s="231">
        <f>SUMIF('125-599'!$1:$1,H$3,'125-599'!9:9)</f>
        <v>0</v>
      </c>
      <c r="I10" s="231">
        <f>SUMIF('125-599'!$1:$1,I$3,'125-599'!9:9)</f>
        <v>0</v>
      </c>
      <c r="J10" s="231">
        <f>SUMIF('125-599'!$1:$1,J$3,'125-599'!9:9)</f>
        <v>0</v>
      </c>
      <c r="K10" s="231">
        <f>SUMIF('125-599'!$1:$1,K$3,'125-599'!9:9)</f>
        <v>-605388.48</v>
      </c>
      <c r="L10" s="231">
        <f>SUMIF('125-599'!$1:$1,L$3,'125-599'!9:9)</f>
        <v>0</v>
      </c>
      <c r="M10" s="231">
        <f>SUMIF('125-599'!$1:$1,M$3,'125-599'!9:9)</f>
        <v>-22711</v>
      </c>
      <c r="N10" s="231">
        <f>SUMIF('125-599'!$1:$1,N$3,'125-599'!9:9)</f>
        <v>0</v>
      </c>
      <c r="O10" s="231">
        <f>SUMIF('125-599'!$1:$1,O$3,'125-599'!9:9)</f>
        <v>-13890</v>
      </c>
      <c r="P10" s="231">
        <f>SUMIF('125-599'!$1:$1,P$3,'125-599'!9:9)</f>
        <v>-22711</v>
      </c>
      <c r="Q10" s="231">
        <f>SUMIF('125-599'!$1:$1,Q$3,'125-599'!9:9)</f>
        <v>-285</v>
      </c>
      <c r="R10" s="231">
        <f>SUMIF('125-599'!$1:$1,R$3,'125-599'!9:9)</f>
        <v>0</v>
      </c>
      <c r="S10" s="231">
        <f>SUMIF('125-599'!$1:$1,S$3,'125-599'!9:9)</f>
        <v>-30944.66</v>
      </c>
      <c r="T10" s="231">
        <f>SUMIF('125-599'!$1:$1,T$3,'125-599'!9:9)</f>
        <v>-570.2700000000001</v>
      </c>
      <c r="U10" s="231">
        <f>SUMIF('125-599'!$1:$1,U$3,'125-599'!9:9)</f>
        <v>0</v>
      </c>
      <c r="V10" s="231">
        <f>SUMIF('125-599'!$1:$1,V$3,'125-599'!9:9)</f>
        <v>0</v>
      </c>
      <c r="W10" s="231">
        <f>SUMIF('125-599'!$1:$1,W$3,'125-599'!9:9)</f>
        <v>-10065.550000000003</v>
      </c>
      <c r="X10" s="231">
        <f>SUMIF('125-599'!$1:$1,X$3,'125-599'!9:9)</f>
        <v>-12645.560000000001</v>
      </c>
      <c r="Y10" s="277">
        <f>SUMIF('125-599'!$1:$1,Y$3,'125-599'!9:9)</f>
        <v>0</v>
      </c>
      <c r="Z10" s="231">
        <f>SUMIF('125-599'!$1:$1,Z$3,'125-599'!9:9)</f>
        <v>0</v>
      </c>
      <c r="AA10" s="231">
        <f>SUMIF('125-599'!$1:$1,AA$3,'125-599'!9:9)</f>
        <v>0</v>
      </c>
      <c r="AB10" s="231">
        <f>SUMIF('125-599'!$1:$1,AB$3,'125-599'!9:9)</f>
        <v>0</v>
      </c>
      <c r="AC10" s="312">
        <f>SUMIF('125-599'!$1:$1,AC$3,'125-599'!9:9)</f>
        <v>0</v>
      </c>
      <c r="AD10" s="312">
        <f>SUMIF('125-599'!$1:$1,AD$3,'125-599'!9:9)</f>
        <v>0</v>
      </c>
      <c r="AE10" s="312">
        <f>SUMIF('125-599'!$1:$1,AE$3,'125-599'!9:9)</f>
        <v>0</v>
      </c>
      <c r="AF10" s="312">
        <f>SUMIF('125-599'!$1:$1,AF$3,'125-599'!9:9)</f>
        <v>0</v>
      </c>
      <c r="AG10" s="231">
        <f>SUMIF('125-599'!$1:$1,AG$3,'125-599'!9:9)</f>
        <v>365774.49999999988</v>
      </c>
      <c r="AH10" s="231">
        <f>SUMIF('125-599'!$1:$1,AH$3,'125-599'!9:9)</f>
        <v>8650.9100000000017</v>
      </c>
      <c r="AI10" s="231">
        <f>SUMIF('125-599'!$1:$1,AI$3,'125-599'!9:9)</f>
        <v>125648.30000000002</v>
      </c>
      <c r="AJ10" s="231">
        <f>SUMIF('125-599'!$1:$1,AJ$3,'125-599'!9:9)</f>
        <v>6431.5899999999983</v>
      </c>
      <c r="AK10" s="231">
        <f>SUMIF('125-599'!$1:$1,AK$3,'125-599'!9:9)</f>
        <v>41053.370000000003</v>
      </c>
      <c r="AL10" s="231">
        <f>SUMIF('125-599'!$1:$1,AL$3,'125-599'!9:9)</f>
        <v>0</v>
      </c>
      <c r="AM10" s="231">
        <f>SUMIF('125-599'!$1:$1,AM$3,'125-599'!9:9)</f>
        <v>22180.91</v>
      </c>
      <c r="AN10" s="231">
        <f>SUMIF('125-599'!$1:$1,AN$3,'125-599'!9:9)</f>
        <v>676.8</v>
      </c>
      <c r="AO10" s="231">
        <f>SUMIF('125-599'!$1:$1,AO$3,'125-599'!9:9)</f>
        <v>2783</v>
      </c>
      <c r="AP10" s="231">
        <f>SUMIF('125-599'!$1:$1,AP$3,'125-599'!9:9)</f>
        <v>2801</v>
      </c>
      <c r="AQ10" s="231">
        <f>SUMIF('125-599'!$1:$1,AQ$3,'125-599'!9:9)</f>
        <v>630.1</v>
      </c>
      <c r="AR10" s="231">
        <f>SUMIF('125-599'!$1:$1,AR$3,'125-599'!9:9)</f>
        <v>8830.4199999999983</v>
      </c>
      <c r="AS10" s="231">
        <f>SUMIF('125-599'!$1:$1,AS$3,'125-599'!9:9)</f>
        <v>3828.73</v>
      </c>
      <c r="AT10" s="231">
        <f>SUMIF('125-599'!$1:$1,AT$3,'125-599'!9:9)</f>
        <v>2802.3700000000003</v>
      </c>
      <c r="AU10" s="231">
        <f>SUMIF('125-599'!$1:$1,AU$3,'125-599'!9:9)</f>
        <v>1914.02</v>
      </c>
      <c r="AV10" s="231">
        <f>SUMIF('125-599'!$1:$1,AV$3,'125-599'!9:9)</f>
        <v>9610.5</v>
      </c>
      <c r="AW10" s="231">
        <f>SUMIF('125-599'!$1:$1,AW$3,'125-599'!9:9)</f>
        <v>1422.15</v>
      </c>
      <c r="AX10" s="231">
        <f>SUMIF('125-599'!$1:$1,AX$3,'125-599'!9:9)</f>
        <v>1726.93</v>
      </c>
      <c r="AY10" s="231">
        <f>SUMIF('125-599'!$1:$1,AY$3,'125-599'!9:9)</f>
        <v>34534.949999999997</v>
      </c>
      <c r="AZ10" s="312">
        <f>SUMIF('125-599'!$1:$1,AZ$3,'125-599'!9:9)</f>
        <v>0</v>
      </c>
      <c r="BA10" s="231">
        <f>SUMIF('125-599'!$1:$1,BA$3,'125-599'!9:9)</f>
        <v>2208</v>
      </c>
      <c r="BB10" s="231">
        <f>SUMIF('125-599'!$1:$1,BB$3,'125-599'!9:9)</f>
        <v>0</v>
      </c>
      <c r="BC10" s="231">
        <f>SUMIF('125-599'!$1:$1,BC$3,'125-599'!9:9)</f>
        <v>2216.5</v>
      </c>
      <c r="BD10" s="231">
        <f>SUMIF('125-599'!$1:$1,BD$3,'125-599'!9:9)</f>
        <v>3.53</v>
      </c>
      <c r="BE10" s="231">
        <f>SUMIF('125-599'!$1:$1,BE$3,'125-599'!9:9)</f>
        <v>0</v>
      </c>
      <c r="BF10" s="231">
        <f>SUMIF('125-599'!$1:$1,BF$3,'125-599'!9:9)</f>
        <v>0</v>
      </c>
      <c r="BG10" s="231">
        <f>SUMIF('125-599'!$1:$1,BG$3,'125-599'!9:9)</f>
        <v>4428.9799999999996</v>
      </c>
      <c r="BH10" s="231">
        <f>SUMIF('125-599'!$1:$1,BH$3,'125-599'!9:9)</f>
        <v>0</v>
      </c>
      <c r="BI10" s="231">
        <f>SUMIF('125-599'!$1:$1,BI$3,'125-599'!9:9)</f>
        <v>3122.3100000000004</v>
      </c>
      <c r="BJ10" s="231">
        <f>SUMIF('125-599'!$1:$1,BJ$3,'125-599'!9:9)</f>
        <v>4966.16</v>
      </c>
      <c r="BK10" s="231">
        <f>SUMIF('125-599'!$1:$1,BK$3,'125-599'!9:9)</f>
        <v>0</v>
      </c>
      <c r="BL10" s="231">
        <f>SUMIF('125-599'!$1:$1,BL$3,'125-599'!9:9)</f>
        <v>10845.56</v>
      </c>
      <c r="BM10" s="231">
        <f>SUMIF('125-599'!$1:$1,BM$3,'125-599'!9:9)</f>
        <v>11769.539999999999</v>
      </c>
      <c r="BN10" s="231">
        <f>SUMIF('125-599'!$1:$1,BN$3,'125-599'!9:9)</f>
        <v>33553.96</v>
      </c>
      <c r="BO10" s="231">
        <f>SUMIF('125-599'!$1:$1,BO$3,'125-599'!9:9)</f>
        <v>14549.45</v>
      </c>
      <c r="BP10" s="231">
        <f>SUMIF('125-599'!$1:$1,BP$3,'125-599'!9:9)</f>
        <v>0</v>
      </c>
      <c r="BQ10" s="231">
        <f>SUMIF('125-599'!$1:$1,BQ$3,'125-599'!9:9)</f>
        <v>0</v>
      </c>
      <c r="BR10" s="231">
        <f>SUMIF('125-599'!$1:$1,BR$3,'125-599'!9:9)</f>
        <v>575.05999999999995</v>
      </c>
      <c r="BS10" s="231">
        <f>SUMIF('125-599'!$1:$1,BS$3,'125-599'!9:9)</f>
        <v>0</v>
      </c>
      <c r="BT10" s="231">
        <f>SUMIF('125-599'!$1:$1,BT$3,'125-599'!9:9)</f>
        <v>0</v>
      </c>
      <c r="BU10" s="231">
        <f>SUMIF('125-599'!$1:$1,BU$3,'125-599'!9:9)</f>
        <v>0</v>
      </c>
      <c r="BV10" s="231">
        <f>SUMIF('125-599'!$1:$1,BV$3,'125-599'!9:9)</f>
        <v>0</v>
      </c>
      <c r="BW10" s="231">
        <f>SUMIF('125-599'!$1:$1,BW$3,'125-599'!9:9)</f>
        <v>0</v>
      </c>
      <c r="BX10" s="231">
        <f>SUMIF('125-599'!$1:$1,BX$3,'125-599'!9:9)</f>
        <v>0</v>
      </c>
      <c r="BY10" s="231">
        <f>SUMIF('125-599'!$1:$1,BY$3,'125-599'!9:9)</f>
        <v>0</v>
      </c>
      <c r="BZ10" s="231">
        <f>SUMIF('125-599'!$1:$1,BZ$3,'125-599'!9:9)</f>
        <v>0</v>
      </c>
      <c r="CA10" s="316">
        <f>SUMIF('125-599'!$1:$1,CA$3,'125-599'!9:9)</f>
        <v>0</v>
      </c>
      <c r="CB10" s="249">
        <f>SUMIF('125-599'!$1:$1,CB$3,'125-599'!9:9)</f>
        <v>0</v>
      </c>
      <c r="CC10" s="249">
        <f>SUMIF('125-599'!$1:$1,CC$3,'125-599'!9:9)</f>
        <v>0</v>
      </c>
      <c r="CD10" s="249">
        <f>SUMIF('125-599'!$1:$1,CD$3,'125-599'!9:9)</f>
        <v>0</v>
      </c>
      <c r="CE10" s="249">
        <f>SUMIF('125-599'!$1:$1,CE$3,'125-599'!9:9)</f>
        <v>0</v>
      </c>
      <c r="CF10" s="249">
        <f>SUMIF('125-599'!$1:$1,CF$3,'125-599'!9:9)</f>
        <v>0</v>
      </c>
      <c r="CG10" s="262">
        <f t="shared" si="1"/>
        <v>-22931.120000000272</v>
      </c>
      <c r="CJ10" s="122"/>
      <c r="CK10" s="169">
        <f>INDEX(SAP!C:C,MATCH('Actuals mapped to CFR'!A10,SAP!H:H,FALSE),1)</f>
        <v>-22931.119999999999</v>
      </c>
      <c r="CL10" s="59">
        <f t="shared" si="7"/>
        <v>0</v>
      </c>
      <c r="CN10" s="81">
        <f t="shared" si="2"/>
        <v>719211.52000000014</v>
      </c>
      <c r="CO10" s="81">
        <f t="shared" si="3"/>
        <v>729539.60000000021</v>
      </c>
      <c r="CP10" s="166">
        <f>VLOOKUP(B10,'2526 GBP Data input'!$A$4:$CA$230,38,FALSE)</f>
        <v>694836</v>
      </c>
      <c r="CQ10" s="166">
        <f>VLOOKUP(B10,'2526 GBP Data input'!$A$4:$CA$230,73,FALSE)</f>
        <v>9992</v>
      </c>
      <c r="CR10" s="89">
        <f t="shared" si="8"/>
        <v>24375.520000000135</v>
      </c>
      <c r="CS10" s="83">
        <f t="shared" si="9"/>
        <v>73.012369895916748</v>
      </c>
      <c r="CT10" s="82">
        <f t="shared" si="5"/>
        <v>13432.719999999972</v>
      </c>
      <c r="CU10" s="82">
        <f t="shared" si="6"/>
        <v>0</v>
      </c>
      <c r="CV10" s="86">
        <f t="shared" si="10"/>
        <v>13432.719999999972</v>
      </c>
    </row>
    <row r="11" spans="1:100" ht="12.75" customHeight="1">
      <c r="A11" s="238">
        <v>107534</v>
      </c>
      <c r="B11" s="60">
        <v>534</v>
      </c>
      <c r="C11" s="60" t="s">
        <v>225</v>
      </c>
      <c r="D11" s="231">
        <f>SUMIF('125-599'!$1:$1,D$3,'125-599'!10:10)</f>
        <v>-69147.839999999997</v>
      </c>
      <c r="E11" s="231">
        <f>SUMIF('125-599'!$1:$1,E$3,'125-599'!10:10)</f>
        <v>-7659.45</v>
      </c>
      <c r="F11" s="231">
        <f>SUMIF('125-599'!$1:$1,F$3,'125-599'!10:10)</f>
        <v>0</v>
      </c>
      <c r="G11" s="231">
        <f>SUMIF('125-599'!$1:$1,G$3,'125-599'!10:10)</f>
        <v>0</v>
      </c>
      <c r="H11" s="231">
        <f>SUMIF('125-599'!$1:$1,H$3,'125-599'!10:10)</f>
        <v>0</v>
      </c>
      <c r="I11" s="231">
        <f>SUMIF('125-599'!$1:$1,I$3,'125-599'!10:10)</f>
        <v>0</v>
      </c>
      <c r="J11" s="231">
        <f>SUMIF('125-599'!$1:$1,J$3,'125-599'!10:10)</f>
        <v>0</v>
      </c>
      <c r="K11" s="231">
        <f>SUMIF('125-599'!$1:$1,K$3,'125-599'!10:10)</f>
        <v>-833984.38</v>
      </c>
      <c r="L11" s="231">
        <f>SUMIF('125-599'!$1:$1,L$3,'125-599'!10:10)</f>
        <v>0</v>
      </c>
      <c r="M11" s="231">
        <f>SUMIF('125-599'!$1:$1,M$3,'125-599'!10:10)</f>
        <v>-64957</v>
      </c>
      <c r="N11" s="231">
        <f>SUMIF('125-599'!$1:$1,N$3,'125-599'!10:10)</f>
        <v>0</v>
      </c>
      <c r="O11" s="231">
        <f>SUMIF('125-599'!$1:$1,O$3,'125-599'!10:10)</f>
        <v>-41975</v>
      </c>
      <c r="P11" s="231">
        <f>SUMIF('125-599'!$1:$1,P$3,'125-599'!10:10)</f>
        <v>-199594.22</v>
      </c>
      <c r="Q11" s="231">
        <f>SUMIF('125-599'!$1:$1,Q$3,'125-599'!10:10)</f>
        <v>-7349</v>
      </c>
      <c r="R11" s="231">
        <f>SUMIF('125-599'!$1:$1,R$3,'125-599'!10:10)</f>
        <v>-1750</v>
      </c>
      <c r="S11" s="231">
        <f>SUMIF('125-599'!$1:$1,S$3,'125-599'!10:10)</f>
        <v>-31678.27</v>
      </c>
      <c r="T11" s="231">
        <f>SUMIF('125-599'!$1:$1,T$3,'125-599'!10:10)</f>
        <v>0</v>
      </c>
      <c r="U11" s="231">
        <f>SUMIF('125-599'!$1:$1,U$3,'125-599'!10:10)</f>
        <v>0</v>
      </c>
      <c r="V11" s="231">
        <f>SUMIF('125-599'!$1:$1,V$3,'125-599'!10:10)</f>
        <v>0</v>
      </c>
      <c r="W11" s="231">
        <f>SUMIF('125-599'!$1:$1,W$3,'125-599'!10:10)</f>
        <v>-5375.4000000000005</v>
      </c>
      <c r="X11" s="231">
        <f>SUMIF('125-599'!$1:$1,X$3,'125-599'!10:10)</f>
        <v>-13000</v>
      </c>
      <c r="Y11" s="277">
        <f>SUMIF('125-599'!$1:$1,Y$3,'125-599'!10:10)</f>
        <v>0</v>
      </c>
      <c r="Z11" s="231">
        <f>SUMIF('125-599'!$1:$1,Z$3,'125-599'!10:10)</f>
        <v>0</v>
      </c>
      <c r="AA11" s="231">
        <f>SUMIF('125-599'!$1:$1,AA$3,'125-599'!10:10)</f>
        <v>0</v>
      </c>
      <c r="AB11" s="231">
        <f>SUMIF('125-599'!$1:$1,AB$3,'125-599'!10:10)</f>
        <v>0</v>
      </c>
      <c r="AC11" s="312">
        <f>SUMIF('125-599'!$1:$1,AC$3,'125-599'!10:10)</f>
        <v>0</v>
      </c>
      <c r="AD11" s="312">
        <f>SUMIF('125-599'!$1:$1,AD$3,'125-599'!10:10)</f>
        <v>0</v>
      </c>
      <c r="AE11" s="312">
        <f>SUMIF('125-599'!$1:$1,AE$3,'125-599'!10:10)</f>
        <v>0</v>
      </c>
      <c r="AF11" s="312">
        <f>SUMIF('125-599'!$1:$1,AF$3,'125-599'!10:10)</f>
        <v>0</v>
      </c>
      <c r="AG11" s="231">
        <f>SUMIF('125-599'!$1:$1,AG$3,'125-599'!10:10)</f>
        <v>580327.19000000006</v>
      </c>
      <c r="AH11" s="231">
        <f>SUMIF('125-599'!$1:$1,AH$3,'125-599'!10:10)</f>
        <v>4451.09</v>
      </c>
      <c r="AI11" s="231">
        <f>SUMIF('125-599'!$1:$1,AI$3,'125-599'!10:10)</f>
        <v>178540.94999999998</v>
      </c>
      <c r="AJ11" s="231">
        <f>SUMIF('125-599'!$1:$1,AJ$3,'125-599'!10:10)</f>
        <v>0</v>
      </c>
      <c r="AK11" s="231">
        <f>SUMIF('125-599'!$1:$1,AK$3,'125-599'!10:10)</f>
        <v>46182.930000000008</v>
      </c>
      <c r="AL11" s="231">
        <f>SUMIF('125-599'!$1:$1,AL$3,'125-599'!10:10)</f>
        <v>0</v>
      </c>
      <c r="AM11" s="231">
        <f>SUMIF('125-599'!$1:$1,AM$3,'125-599'!10:10)</f>
        <v>54117.069999999992</v>
      </c>
      <c r="AN11" s="231">
        <f>SUMIF('125-599'!$1:$1,AN$3,'125-599'!10:10)</f>
        <v>3124</v>
      </c>
      <c r="AO11" s="231">
        <f>SUMIF('125-599'!$1:$1,AO$3,'125-599'!10:10)</f>
        <v>1285</v>
      </c>
      <c r="AP11" s="231">
        <f>SUMIF('125-599'!$1:$1,AP$3,'125-599'!10:10)</f>
        <v>423.95</v>
      </c>
      <c r="AQ11" s="231">
        <f>SUMIF('125-599'!$1:$1,AQ$3,'125-599'!10:10)</f>
        <v>0</v>
      </c>
      <c r="AR11" s="231">
        <f>SUMIF('125-599'!$1:$1,AR$3,'125-599'!10:10)</f>
        <v>24273.46</v>
      </c>
      <c r="AS11" s="231">
        <f>SUMIF('125-599'!$1:$1,AS$3,'125-599'!10:10)</f>
        <v>9393.6999999999971</v>
      </c>
      <c r="AT11" s="231">
        <f>SUMIF('125-599'!$1:$1,AT$3,'125-599'!10:10)</f>
        <v>28585.769999999997</v>
      </c>
      <c r="AU11" s="231">
        <f>SUMIF('125-599'!$1:$1,AU$3,'125-599'!10:10)</f>
        <v>6713.41</v>
      </c>
      <c r="AV11" s="231">
        <f>SUMIF('125-599'!$1:$1,AV$3,'125-599'!10:10)</f>
        <v>13477.64</v>
      </c>
      <c r="AW11" s="231">
        <f>SUMIF('125-599'!$1:$1,AW$3,'125-599'!10:10)</f>
        <v>9481</v>
      </c>
      <c r="AX11" s="231">
        <f>SUMIF('125-599'!$1:$1,AX$3,'125-599'!10:10)</f>
        <v>1271.6199999999999</v>
      </c>
      <c r="AY11" s="231">
        <f>SUMIF('125-599'!$1:$1,AY$3,'125-599'!10:10)</f>
        <v>34778.67</v>
      </c>
      <c r="AZ11" s="312">
        <f>SUMIF('125-599'!$1:$1,AZ$3,'125-599'!10:10)</f>
        <v>0</v>
      </c>
      <c r="BA11" s="231">
        <f>SUMIF('125-599'!$1:$1,BA$3,'125-599'!10:10)</f>
        <v>4850.88</v>
      </c>
      <c r="BB11" s="231">
        <f>SUMIF('125-599'!$1:$1,BB$3,'125-599'!10:10)</f>
        <v>0</v>
      </c>
      <c r="BC11" s="231">
        <f>SUMIF('125-599'!$1:$1,BC$3,'125-599'!10:10)</f>
        <v>1670.56</v>
      </c>
      <c r="BD11" s="231">
        <f>SUMIF('125-599'!$1:$1,BD$3,'125-599'!10:10)</f>
        <v>3536.4799999999996</v>
      </c>
      <c r="BE11" s="231">
        <f>SUMIF('125-599'!$1:$1,BE$3,'125-599'!10:10)</f>
        <v>17760.400000000001</v>
      </c>
      <c r="BF11" s="231">
        <f>SUMIF('125-599'!$1:$1,BF$3,'125-599'!10:10)</f>
        <v>4527.99</v>
      </c>
      <c r="BG11" s="231">
        <f>SUMIF('125-599'!$1:$1,BG$3,'125-599'!10:10)</f>
        <v>3683.5</v>
      </c>
      <c r="BH11" s="231">
        <f>SUMIF('125-599'!$1:$1,BH$3,'125-599'!10:10)</f>
        <v>0</v>
      </c>
      <c r="BI11" s="231">
        <f>SUMIF('125-599'!$1:$1,BI$3,'125-599'!10:10)</f>
        <v>5978.380000000001</v>
      </c>
      <c r="BJ11" s="231">
        <f>SUMIF('125-599'!$1:$1,BJ$3,'125-599'!10:10)</f>
        <v>7503.22</v>
      </c>
      <c r="BK11" s="231">
        <f>SUMIF('125-599'!$1:$1,BK$3,'125-599'!10:10)</f>
        <v>0</v>
      </c>
      <c r="BL11" s="231">
        <f>SUMIF('125-599'!$1:$1,BL$3,'125-599'!10:10)</f>
        <v>32767.170000000002</v>
      </c>
      <c r="BM11" s="231">
        <f>SUMIF('125-599'!$1:$1,BM$3,'125-599'!10:10)</f>
        <v>0</v>
      </c>
      <c r="BN11" s="231">
        <f>SUMIF('125-599'!$1:$1,BN$3,'125-599'!10:10)</f>
        <v>20044</v>
      </c>
      <c r="BO11" s="231">
        <f>SUMIF('125-599'!$1:$1,BO$3,'125-599'!10:10)</f>
        <v>13197.030000000002</v>
      </c>
      <c r="BP11" s="231">
        <f>SUMIF('125-599'!$1:$1,BP$3,'125-599'!10:10)</f>
        <v>0</v>
      </c>
      <c r="BQ11" s="231">
        <f>SUMIF('125-599'!$1:$1,BQ$3,'125-599'!10:10)</f>
        <v>0</v>
      </c>
      <c r="BR11" s="231">
        <f>SUMIF('125-599'!$1:$1,BR$3,'125-599'!10:10)</f>
        <v>16334.88</v>
      </c>
      <c r="BS11" s="231">
        <f>SUMIF('125-599'!$1:$1,BS$3,'125-599'!10:10)</f>
        <v>0</v>
      </c>
      <c r="BT11" s="231">
        <f>SUMIF('125-599'!$1:$1,BT$3,'125-599'!10:10)</f>
        <v>0</v>
      </c>
      <c r="BU11" s="231">
        <f>SUMIF('125-599'!$1:$1,BU$3,'125-599'!10:10)</f>
        <v>-38528.850000000006</v>
      </c>
      <c r="BV11" s="231">
        <f>SUMIF('125-599'!$1:$1,BV$3,'125-599'!10:10)</f>
        <v>0</v>
      </c>
      <c r="BW11" s="231">
        <f>SUMIF('125-599'!$1:$1,BW$3,'125-599'!10:10)</f>
        <v>-16334.88</v>
      </c>
      <c r="BX11" s="231">
        <f>SUMIF('125-599'!$1:$1,BX$3,'125-599'!10:10)</f>
        <v>0</v>
      </c>
      <c r="BY11" s="231">
        <f>SUMIF('125-599'!$1:$1,BY$3,'125-599'!10:10)</f>
        <v>53932.729999999996</v>
      </c>
      <c r="BZ11" s="231">
        <f>SUMIF('125-599'!$1:$1,BZ$3,'125-599'!10:10)</f>
        <v>0</v>
      </c>
      <c r="CA11" s="316">
        <f>SUMIF('125-599'!$1:$1,CA$3,'125-599'!10:10)</f>
        <v>0</v>
      </c>
      <c r="CB11" s="249">
        <f>SUMIF('125-599'!$1:$1,CB$3,'125-599'!10:10)</f>
        <v>0</v>
      </c>
      <c r="CC11" s="249">
        <f>SUMIF('125-599'!$1:$1,CC$3,'125-599'!10:10)</f>
        <v>0</v>
      </c>
      <c r="CD11" s="249">
        <f>SUMIF('125-599'!$1:$1,CD$3,'125-599'!10:10)</f>
        <v>0</v>
      </c>
      <c r="CE11" s="249">
        <f>SUMIF('125-599'!$1:$1,CE$3,'125-599'!10:10)</f>
        <v>0</v>
      </c>
      <c r="CF11" s="249">
        <f>SUMIF('125-599'!$1:$1,CF$3,'125-599'!10:10)</f>
        <v>436</v>
      </c>
      <c r="CG11" s="262">
        <f t="shared" si="1"/>
        <v>-148683.62000000005</v>
      </c>
      <c r="CJ11" s="122"/>
      <c r="CK11" s="169">
        <f>INDEX(SAP!C:C,MATCH('Actuals mapped to CFR'!A11,SAP!H:H,FALSE),1)</f>
        <v>-148683.62</v>
      </c>
      <c r="CL11" s="59">
        <f t="shared" si="7"/>
        <v>0</v>
      </c>
      <c r="CN11" s="81">
        <f t="shared" si="2"/>
        <v>1199663.27</v>
      </c>
      <c r="CO11" s="81">
        <f t="shared" si="3"/>
        <v>1128281.94</v>
      </c>
      <c r="CP11" s="166">
        <f>VLOOKUP(B11,'2526 GBP Data input'!$A$4:$CA$230,38,FALSE)</f>
        <v>1029284</v>
      </c>
      <c r="CQ11" s="166">
        <f>VLOOKUP(B11,'2526 GBP Data input'!$A$4:$CA$230,73,FALSE)</f>
        <v>13209</v>
      </c>
      <c r="CR11" s="89">
        <f t="shared" si="8"/>
        <v>170379.27000000002</v>
      </c>
      <c r="CS11" s="83">
        <f t="shared" si="9"/>
        <v>85.417665228253455</v>
      </c>
      <c r="CT11" s="82">
        <f t="shared" si="5"/>
        <v>140529.17000000016</v>
      </c>
      <c r="CU11" s="82">
        <f t="shared" si="6"/>
        <v>495.00000000000728</v>
      </c>
      <c r="CV11" s="86">
        <f t="shared" si="10"/>
        <v>141024.17000000016</v>
      </c>
    </row>
    <row r="12" spans="1:100" ht="12.75" customHeight="1">
      <c r="A12" s="238">
        <v>107535</v>
      </c>
      <c r="B12" s="60">
        <v>535</v>
      </c>
      <c r="C12" s="60" t="s">
        <v>272</v>
      </c>
      <c r="D12" s="231">
        <f>SUMIF('125-599'!$1:$1,D$3,'125-599'!11:11)</f>
        <v>-52548.79</v>
      </c>
      <c r="E12" s="231">
        <f>SUMIF('125-599'!$1:$1,E$3,'125-599'!11:11)</f>
        <v>-26586.83</v>
      </c>
      <c r="F12" s="231">
        <f>SUMIF('125-599'!$1:$1,F$3,'125-599'!11:11)</f>
        <v>0</v>
      </c>
      <c r="G12" s="231">
        <f>SUMIF('125-599'!$1:$1,G$3,'125-599'!11:11)</f>
        <v>-9736.14</v>
      </c>
      <c r="H12" s="231">
        <f>SUMIF('125-599'!$1:$1,H$3,'125-599'!11:11)</f>
        <v>0</v>
      </c>
      <c r="I12" s="231">
        <f>SUMIF('125-599'!$1:$1,I$3,'125-599'!11:11)</f>
        <v>0</v>
      </c>
      <c r="J12" s="231">
        <f>SUMIF('125-599'!$1:$1,J$3,'125-599'!11:11)</f>
        <v>0</v>
      </c>
      <c r="K12" s="231">
        <f>SUMIF('125-599'!$1:$1,K$3,'125-599'!11:11)</f>
        <v>-274075.48</v>
      </c>
      <c r="L12" s="231">
        <f>SUMIF('125-599'!$1:$1,L$3,'125-599'!11:11)</f>
        <v>0</v>
      </c>
      <c r="M12" s="231">
        <f>SUMIF('125-599'!$1:$1,M$3,'125-599'!11:11)</f>
        <v>-48044</v>
      </c>
      <c r="N12" s="231">
        <f>SUMIF('125-599'!$1:$1,N$3,'125-599'!11:11)</f>
        <v>0</v>
      </c>
      <c r="O12" s="231">
        <f>SUMIF('125-599'!$1:$1,O$3,'125-599'!11:11)</f>
        <v>-16665</v>
      </c>
      <c r="P12" s="231">
        <f>SUMIF('125-599'!$1:$1,P$3,'125-599'!11:11)</f>
        <v>-20538.93</v>
      </c>
      <c r="Q12" s="231">
        <f>SUMIF('125-599'!$1:$1,Q$3,'125-599'!11:11)</f>
        <v>-552</v>
      </c>
      <c r="R12" s="231">
        <f>SUMIF('125-599'!$1:$1,R$3,'125-599'!11:11)</f>
        <v>0</v>
      </c>
      <c r="S12" s="231">
        <f>SUMIF('125-599'!$1:$1,S$3,'125-599'!11:11)</f>
        <v>-5064.1400000000003</v>
      </c>
      <c r="T12" s="231">
        <f>SUMIF('125-599'!$1:$1,T$3,'125-599'!11:11)</f>
        <v>0</v>
      </c>
      <c r="U12" s="231">
        <f>SUMIF('125-599'!$1:$1,U$3,'125-599'!11:11)</f>
        <v>0</v>
      </c>
      <c r="V12" s="231">
        <f>SUMIF('125-599'!$1:$1,V$3,'125-599'!11:11)</f>
        <v>0</v>
      </c>
      <c r="W12" s="231">
        <f>SUMIF('125-599'!$1:$1,W$3,'125-599'!11:11)</f>
        <v>66.550000000000011</v>
      </c>
      <c r="X12" s="231">
        <f>SUMIF('125-599'!$1:$1,X$3,'125-599'!11:11)</f>
        <v>-744.62</v>
      </c>
      <c r="Y12" s="277">
        <f>SUMIF('125-599'!$1:$1,Y$3,'125-599'!11:11)</f>
        <v>0</v>
      </c>
      <c r="Z12" s="231">
        <f>SUMIF('125-599'!$1:$1,Z$3,'125-599'!11:11)</f>
        <v>0</v>
      </c>
      <c r="AA12" s="231">
        <f>SUMIF('125-599'!$1:$1,AA$3,'125-599'!11:11)</f>
        <v>0</v>
      </c>
      <c r="AB12" s="231">
        <f>SUMIF('125-599'!$1:$1,AB$3,'125-599'!11:11)</f>
        <v>0</v>
      </c>
      <c r="AC12" s="312">
        <f>SUMIF('125-599'!$1:$1,AC$3,'125-599'!11:11)</f>
        <v>0</v>
      </c>
      <c r="AD12" s="312">
        <f>SUMIF('125-599'!$1:$1,AD$3,'125-599'!11:11)</f>
        <v>0</v>
      </c>
      <c r="AE12" s="312">
        <f>SUMIF('125-599'!$1:$1,AE$3,'125-599'!11:11)</f>
        <v>0</v>
      </c>
      <c r="AF12" s="312">
        <f>SUMIF('125-599'!$1:$1,AF$3,'125-599'!11:11)</f>
        <v>0</v>
      </c>
      <c r="AG12" s="231">
        <f>SUMIF('125-599'!$1:$1,AG$3,'125-599'!11:11)</f>
        <v>181285.73</v>
      </c>
      <c r="AH12" s="231">
        <f>SUMIF('125-599'!$1:$1,AH$3,'125-599'!11:11)</f>
        <v>6052.19</v>
      </c>
      <c r="AI12" s="231">
        <f>SUMIF('125-599'!$1:$1,AI$3,'125-599'!11:11)</f>
        <v>46182.590000000004</v>
      </c>
      <c r="AJ12" s="231">
        <f>SUMIF('125-599'!$1:$1,AJ$3,'125-599'!11:11)</f>
        <v>0</v>
      </c>
      <c r="AK12" s="231">
        <f>SUMIF('125-599'!$1:$1,AK$3,'125-599'!11:11)</f>
        <v>17042.13</v>
      </c>
      <c r="AL12" s="231">
        <f>SUMIF('125-599'!$1:$1,AL$3,'125-599'!11:11)</f>
        <v>0</v>
      </c>
      <c r="AM12" s="231">
        <f>SUMIF('125-599'!$1:$1,AM$3,'125-599'!11:11)</f>
        <v>5127.3</v>
      </c>
      <c r="AN12" s="231">
        <f>SUMIF('125-599'!$1:$1,AN$3,'125-599'!11:11)</f>
        <v>842.99</v>
      </c>
      <c r="AO12" s="231">
        <f>SUMIF('125-599'!$1:$1,AO$3,'125-599'!11:11)</f>
        <v>1131</v>
      </c>
      <c r="AP12" s="231">
        <f>SUMIF('125-599'!$1:$1,AP$3,'125-599'!11:11)</f>
        <v>940.55</v>
      </c>
      <c r="AQ12" s="231">
        <f>SUMIF('125-599'!$1:$1,AQ$3,'125-599'!11:11)</f>
        <v>375.65</v>
      </c>
      <c r="AR12" s="231">
        <f>SUMIF('125-599'!$1:$1,AR$3,'125-599'!11:11)</f>
        <v>2907.92</v>
      </c>
      <c r="AS12" s="231">
        <f>SUMIF('125-599'!$1:$1,AS$3,'125-599'!11:11)</f>
        <v>1869.6599999999996</v>
      </c>
      <c r="AT12" s="231">
        <f>SUMIF('125-599'!$1:$1,AT$3,'125-599'!11:11)</f>
        <v>9382.81</v>
      </c>
      <c r="AU12" s="231">
        <f>SUMIF('125-599'!$1:$1,AU$3,'125-599'!11:11)</f>
        <v>907.49999999999989</v>
      </c>
      <c r="AV12" s="231">
        <f>SUMIF('125-599'!$1:$1,AV$3,'125-599'!11:11)</f>
        <v>7298.6299999999992</v>
      </c>
      <c r="AW12" s="231">
        <f>SUMIF('125-599'!$1:$1,AW$3,'125-599'!11:11)</f>
        <v>2794.4</v>
      </c>
      <c r="AX12" s="231">
        <f>SUMIF('125-599'!$1:$1,AX$3,'125-599'!11:11)</f>
        <v>2133.83</v>
      </c>
      <c r="AY12" s="231">
        <f>SUMIF('125-599'!$1:$1,AY$3,'125-599'!11:11)</f>
        <v>7002.22</v>
      </c>
      <c r="AZ12" s="312">
        <f>SUMIF('125-599'!$1:$1,AZ$3,'125-599'!11:11)</f>
        <v>0</v>
      </c>
      <c r="BA12" s="231">
        <f>SUMIF('125-599'!$1:$1,BA$3,'125-599'!11:11)</f>
        <v>2232.7200000000003</v>
      </c>
      <c r="BB12" s="231">
        <f>SUMIF('125-599'!$1:$1,BB$3,'125-599'!11:11)</f>
        <v>0</v>
      </c>
      <c r="BC12" s="231">
        <f>SUMIF('125-599'!$1:$1,BC$3,'125-599'!11:11)</f>
        <v>41.5</v>
      </c>
      <c r="BD12" s="231">
        <f>SUMIF('125-599'!$1:$1,BD$3,'125-599'!11:11)</f>
        <v>2644.61</v>
      </c>
      <c r="BE12" s="231">
        <f>SUMIF('125-599'!$1:$1,BE$3,'125-599'!11:11)</f>
        <v>0</v>
      </c>
      <c r="BF12" s="231">
        <f>SUMIF('125-599'!$1:$1,BF$3,'125-599'!11:11)</f>
        <v>0</v>
      </c>
      <c r="BG12" s="231">
        <f>SUMIF('125-599'!$1:$1,BG$3,'125-599'!11:11)</f>
        <v>3772</v>
      </c>
      <c r="BH12" s="231">
        <f>SUMIF('125-599'!$1:$1,BH$3,'125-599'!11:11)</f>
        <v>0</v>
      </c>
      <c r="BI12" s="231">
        <f>SUMIF('125-599'!$1:$1,BI$3,'125-599'!11:11)</f>
        <v>614.79</v>
      </c>
      <c r="BJ12" s="231">
        <f>SUMIF('125-599'!$1:$1,BJ$3,'125-599'!11:11)</f>
        <v>1133.58</v>
      </c>
      <c r="BK12" s="231">
        <f>SUMIF('125-599'!$1:$1,BK$3,'125-599'!11:11)</f>
        <v>0</v>
      </c>
      <c r="BL12" s="231">
        <f>SUMIF('125-599'!$1:$1,BL$3,'125-599'!11:11)</f>
        <v>9968.8000000000011</v>
      </c>
      <c r="BM12" s="231">
        <f>SUMIF('125-599'!$1:$1,BM$3,'125-599'!11:11)</f>
        <v>7932.26</v>
      </c>
      <c r="BN12" s="231">
        <f>SUMIF('125-599'!$1:$1,BN$3,'125-599'!11:11)</f>
        <v>44961</v>
      </c>
      <c r="BO12" s="231">
        <f>SUMIF('125-599'!$1:$1,BO$3,'125-599'!11:11)</f>
        <v>11237.89</v>
      </c>
      <c r="BP12" s="231">
        <f>SUMIF('125-599'!$1:$1,BP$3,'125-599'!11:11)</f>
        <v>0</v>
      </c>
      <c r="BQ12" s="231">
        <f>SUMIF('125-599'!$1:$1,BQ$3,'125-599'!11:11)</f>
        <v>0</v>
      </c>
      <c r="BR12" s="231">
        <f>SUMIF('125-599'!$1:$1,BR$3,'125-599'!11:11)</f>
        <v>0</v>
      </c>
      <c r="BS12" s="231">
        <f>SUMIF('125-599'!$1:$1,BS$3,'125-599'!11:11)</f>
        <v>0</v>
      </c>
      <c r="BT12" s="231">
        <f>SUMIF('125-599'!$1:$1,BT$3,'125-599'!11:11)</f>
        <v>0</v>
      </c>
      <c r="BU12" s="231">
        <f>SUMIF('125-599'!$1:$1,BU$3,'125-599'!11:11)</f>
        <v>-4202.5</v>
      </c>
      <c r="BV12" s="231">
        <f>SUMIF('125-599'!$1:$1,BV$3,'125-599'!11:11)</f>
        <v>0</v>
      </c>
      <c r="BW12" s="231">
        <f>SUMIF('125-599'!$1:$1,BW$3,'125-599'!11:11)</f>
        <v>0</v>
      </c>
      <c r="BX12" s="231">
        <f>SUMIF('125-599'!$1:$1,BX$3,'125-599'!11:11)</f>
        <v>0</v>
      </c>
      <c r="BY12" s="231">
        <f>SUMIF('125-599'!$1:$1,BY$3,'125-599'!11:11)</f>
        <v>1453.75</v>
      </c>
      <c r="BZ12" s="231">
        <f>SUMIF('125-599'!$1:$1,BZ$3,'125-599'!11:11)</f>
        <v>0</v>
      </c>
      <c r="CA12" s="316">
        <f>SUMIF('125-599'!$1:$1,CA$3,'125-599'!11:11)</f>
        <v>0</v>
      </c>
      <c r="CB12" s="249">
        <f>SUMIF('125-599'!$1:$1,CB$3,'125-599'!11:11)</f>
        <v>0</v>
      </c>
      <c r="CC12" s="249">
        <f>SUMIF('125-599'!$1:$1,CC$3,'125-599'!11:11)</f>
        <v>0</v>
      </c>
      <c r="CD12" s="249">
        <f>SUMIF('125-599'!$1:$1,CD$3,'125-599'!11:11)</f>
        <v>0</v>
      </c>
      <c r="CE12" s="249">
        <f>SUMIF('125-599'!$1:$1,CE$3,'125-599'!11:11)</f>
        <v>529</v>
      </c>
      <c r="CF12" s="249">
        <f>SUMIF('125-599'!$1:$1,CF$3,'125-599'!11:11)</f>
        <v>0</v>
      </c>
      <c r="CG12" s="262">
        <f t="shared" si="1"/>
        <v>-78892.880000000077</v>
      </c>
      <c r="CJ12" s="122"/>
      <c r="CK12" s="169">
        <f>INDEX(SAP!C:C,MATCH('Actuals mapped to CFR'!A12,SAP!H:H,FALSE),1)</f>
        <v>-78892.88</v>
      </c>
      <c r="CL12" s="59">
        <f t="shared" si="7"/>
        <v>0</v>
      </c>
      <c r="CN12" s="81">
        <f t="shared" si="2"/>
        <v>365617.62</v>
      </c>
      <c r="CO12" s="81">
        <f t="shared" si="3"/>
        <v>377816.24999999994</v>
      </c>
      <c r="CP12" s="166">
        <f>VLOOKUP(B12,'2526 GBP Data input'!$A$4:$CA$230,38,FALSE)</f>
        <v>356738</v>
      </c>
      <c r="CQ12" s="166">
        <f>VLOOKUP(B12,'2526 GBP Data input'!$A$4:$CA$230,73,FALSE)</f>
        <v>11092</v>
      </c>
      <c r="CR12" s="89">
        <f t="shared" si="8"/>
        <v>8879.6199999999953</v>
      </c>
      <c r="CS12" s="83">
        <f t="shared" si="9"/>
        <v>34.062049224666424</v>
      </c>
      <c r="CT12" s="82">
        <f t="shared" si="5"/>
        <v>40350.160000000033</v>
      </c>
      <c r="CU12" s="82">
        <f t="shared" si="6"/>
        <v>12484.89</v>
      </c>
      <c r="CV12" s="86">
        <f t="shared" si="10"/>
        <v>52835.050000000032</v>
      </c>
    </row>
    <row r="13" spans="1:100" ht="12.75" customHeight="1">
      <c r="A13" s="305">
        <v>107546</v>
      </c>
      <c r="B13" s="306">
        <v>546</v>
      </c>
      <c r="C13" s="60" t="s">
        <v>753</v>
      </c>
      <c r="D13" s="231">
        <f>SUMIF('125-599'!$1:$1,D$3,'125-599'!12:12)</f>
        <v>-45168.87</v>
      </c>
      <c r="E13" s="231">
        <f>SUMIF('125-599'!$1:$1,E$3,'125-599'!12:12)</f>
        <v>-21330</v>
      </c>
      <c r="F13" s="231">
        <f>SUMIF('125-599'!$1:$1,F$3,'125-599'!12:12)</f>
        <v>0</v>
      </c>
      <c r="G13" s="231">
        <f>SUMIF('125-599'!$1:$1,G$3,'125-599'!12:12)</f>
        <v>4952.75</v>
      </c>
      <c r="H13" s="231">
        <f>SUMIF('125-599'!$1:$1,H$3,'125-599'!12:12)</f>
        <v>0</v>
      </c>
      <c r="I13" s="231">
        <f>SUMIF('125-599'!$1:$1,I$3,'125-599'!12:12)</f>
        <v>0</v>
      </c>
      <c r="J13" s="231">
        <f>SUMIF('125-599'!$1:$1,J$3,'125-599'!12:12)</f>
        <v>93590.21</v>
      </c>
      <c r="K13" s="231">
        <f>SUMIF('125-599'!$1:$1,K$3,'125-599'!12:12)</f>
        <v>-1135143.3500000001</v>
      </c>
      <c r="L13" s="231">
        <f>SUMIF('125-599'!$1:$1,L$3,'125-599'!12:12)</f>
        <v>0</v>
      </c>
      <c r="M13" s="231">
        <f>SUMIF('125-599'!$1:$1,M$3,'125-599'!12:12)</f>
        <v>-40644</v>
      </c>
      <c r="N13" s="231">
        <f>SUMIF('125-599'!$1:$1,N$3,'125-599'!12:12)</f>
        <v>0</v>
      </c>
      <c r="O13" s="231">
        <f>SUMIF('125-599'!$1:$1,O$3,'125-599'!12:12)</f>
        <v>-53725</v>
      </c>
      <c r="P13" s="231">
        <f>SUMIF('125-599'!$1:$1,P$3,'125-599'!12:12)</f>
        <v>-54257.64</v>
      </c>
      <c r="Q13" s="231">
        <f>SUMIF('125-599'!$1:$1,Q$3,'125-599'!12:12)</f>
        <v>-1250</v>
      </c>
      <c r="R13" s="231">
        <f>SUMIF('125-599'!$1:$1,R$3,'125-599'!12:12)</f>
        <v>-3375</v>
      </c>
      <c r="S13" s="231">
        <f>SUMIF('125-599'!$1:$1,S$3,'125-599'!12:12)</f>
        <v>-29873.660000000003</v>
      </c>
      <c r="T13" s="231">
        <f>SUMIF('125-599'!$1:$1,T$3,'125-599'!12:12)</f>
        <v>-21059.17</v>
      </c>
      <c r="U13" s="231">
        <f>SUMIF('125-599'!$1:$1,U$3,'125-599'!12:12)</f>
        <v>0</v>
      </c>
      <c r="V13" s="231">
        <f>SUMIF('125-599'!$1:$1,V$3,'125-599'!12:12)</f>
        <v>0</v>
      </c>
      <c r="W13" s="231">
        <f>SUMIF('125-599'!$1:$1,W$3,'125-599'!12:12)</f>
        <v>-20452.799999999992</v>
      </c>
      <c r="X13" s="231">
        <f>SUMIF('125-599'!$1:$1,X$3,'125-599'!12:12)</f>
        <v>-2795.1600000000003</v>
      </c>
      <c r="Y13" s="277">
        <f>SUMIF('125-599'!$1:$1,Y$3,'125-599'!12:12)</f>
        <v>0</v>
      </c>
      <c r="Z13" s="231">
        <f>SUMIF('125-599'!$1:$1,Z$3,'125-599'!12:12)</f>
        <v>0</v>
      </c>
      <c r="AA13" s="231">
        <f>SUMIF('125-599'!$1:$1,AA$3,'125-599'!12:12)</f>
        <v>0</v>
      </c>
      <c r="AB13" s="231">
        <f>SUMIF('125-599'!$1:$1,AB$3,'125-599'!12:12)</f>
        <v>0</v>
      </c>
      <c r="AC13" s="312">
        <f>SUMIF('125-599'!$1:$1,AC$3,'125-599'!12:12)</f>
        <v>0</v>
      </c>
      <c r="AD13" s="312">
        <f>SUMIF('125-599'!$1:$1,AD$3,'125-599'!12:12)</f>
        <v>0</v>
      </c>
      <c r="AE13" s="312">
        <f>SUMIF('125-599'!$1:$1,AE$3,'125-599'!12:12)</f>
        <v>0</v>
      </c>
      <c r="AF13" s="312">
        <f>SUMIF('125-599'!$1:$1,AF$3,'125-599'!12:12)</f>
        <v>0</v>
      </c>
      <c r="AG13" s="231">
        <f>SUMIF('125-599'!$1:$1,AG$3,'125-599'!12:12)</f>
        <v>633163.55999999994</v>
      </c>
      <c r="AH13" s="231">
        <f>SUMIF('125-599'!$1:$1,AH$3,'125-599'!12:12)</f>
        <v>14697.82</v>
      </c>
      <c r="AI13" s="231">
        <f>SUMIF('125-599'!$1:$1,AI$3,'125-599'!12:12)</f>
        <v>254897.58000000002</v>
      </c>
      <c r="AJ13" s="231">
        <f>SUMIF('125-599'!$1:$1,AJ$3,'125-599'!12:12)</f>
        <v>45865.37</v>
      </c>
      <c r="AK13" s="231">
        <f>SUMIF('125-599'!$1:$1,AK$3,'125-599'!12:12)</f>
        <v>69039.760000000009</v>
      </c>
      <c r="AL13" s="231">
        <f>SUMIF('125-599'!$1:$1,AL$3,'125-599'!12:12)</f>
        <v>40142.03</v>
      </c>
      <c r="AM13" s="231">
        <f>SUMIF('125-599'!$1:$1,AM$3,'125-599'!12:12)</f>
        <v>31972.75</v>
      </c>
      <c r="AN13" s="231">
        <f>SUMIF('125-599'!$1:$1,AN$3,'125-599'!12:12)</f>
        <v>196.79999999999998</v>
      </c>
      <c r="AO13" s="231">
        <f>SUMIF('125-599'!$1:$1,AO$3,'125-599'!12:12)</f>
        <v>3948.17</v>
      </c>
      <c r="AP13" s="231">
        <f>SUMIF('125-599'!$1:$1,AP$3,'125-599'!12:12)</f>
        <v>616.1</v>
      </c>
      <c r="AQ13" s="231">
        <f>SUMIF('125-599'!$1:$1,AQ$3,'125-599'!12:12)</f>
        <v>5351.84</v>
      </c>
      <c r="AR13" s="231">
        <f>SUMIF('125-599'!$1:$1,AR$3,'125-599'!12:12)</f>
        <v>15705.360000000004</v>
      </c>
      <c r="AS13" s="231">
        <f>SUMIF('125-599'!$1:$1,AS$3,'125-599'!12:12)</f>
        <v>0</v>
      </c>
      <c r="AT13" s="231">
        <f>SUMIF('125-599'!$1:$1,AT$3,'125-599'!12:12)</f>
        <v>3562.46</v>
      </c>
      <c r="AU13" s="231">
        <f>SUMIF('125-599'!$1:$1,AU$3,'125-599'!12:12)</f>
        <v>9302.7200000000012</v>
      </c>
      <c r="AV13" s="231">
        <f>SUMIF('125-599'!$1:$1,AV$3,'125-599'!12:12)</f>
        <v>18665.079999999998</v>
      </c>
      <c r="AW13" s="231">
        <f>SUMIF('125-599'!$1:$1,AW$3,'125-599'!12:12)</f>
        <v>3642.7</v>
      </c>
      <c r="AX13" s="231">
        <f>SUMIF('125-599'!$1:$1,AX$3,'125-599'!12:12)</f>
        <v>2272.06</v>
      </c>
      <c r="AY13" s="231">
        <f>SUMIF('125-599'!$1:$1,AY$3,'125-599'!12:12)</f>
        <v>83014.560000000012</v>
      </c>
      <c r="AZ13" s="312">
        <f>SUMIF('125-599'!$1:$1,AZ$3,'125-599'!12:12)</f>
        <v>0</v>
      </c>
      <c r="BA13" s="231">
        <f>SUMIF('125-599'!$1:$1,BA$3,'125-599'!12:12)</f>
        <v>3892</v>
      </c>
      <c r="BB13" s="231">
        <f>SUMIF('125-599'!$1:$1,BB$3,'125-599'!12:12)</f>
        <v>0</v>
      </c>
      <c r="BC13" s="231">
        <f>SUMIF('125-599'!$1:$1,BC$3,'125-599'!12:12)</f>
        <v>0</v>
      </c>
      <c r="BD13" s="231">
        <f>SUMIF('125-599'!$1:$1,BD$3,'125-599'!12:12)</f>
        <v>1796.79</v>
      </c>
      <c r="BE13" s="231">
        <f>SUMIF('125-599'!$1:$1,BE$3,'125-599'!12:12)</f>
        <v>1072</v>
      </c>
      <c r="BF13" s="231">
        <f>SUMIF('125-599'!$1:$1,BF$3,'125-599'!12:12)</f>
        <v>280.78999999999996</v>
      </c>
      <c r="BG13" s="231">
        <f>SUMIF('125-599'!$1:$1,BG$3,'125-599'!12:12)</f>
        <v>6441</v>
      </c>
      <c r="BH13" s="231">
        <f>SUMIF('125-599'!$1:$1,BH$3,'125-599'!12:12)</f>
        <v>0</v>
      </c>
      <c r="BI13" s="231">
        <f>SUMIF('125-599'!$1:$1,BI$3,'125-599'!12:12)</f>
        <v>1433.9699999999998</v>
      </c>
      <c r="BJ13" s="231">
        <f>SUMIF('125-599'!$1:$1,BJ$3,'125-599'!12:12)</f>
        <v>10903.96</v>
      </c>
      <c r="BK13" s="231">
        <f>SUMIF('125-599'!$1:$1,BK$3,'125-599'!12:12)</f>
        <v>0</v>
      </c>
      <c r="BL13" s="231">
        <f>SUMIF('125-599'!$1:$1,BL$3,'125-599'!12:12)</f>
        <v>37269.12000000001</v>
      </c>
      <c r="BM13" s="231">
        <f>SUMIF('125-599'!$1:$1,BM$3,'125-599'!12:12)</f>
        <v>12643.58</v>
      </c>
      <c r="BN13" s="231">
        <f>SUMIF('125-599'!$1:$1,BN$3,'125-599'!12:12)</f>
        <v>18512.5</v>
      </c>
      <c r="BO13" s="231">
        <f>SUMIF('125-599'!$1:$1,BO$3,'125-599'!12:12)</f>
        <v>23879.900000000005</v>
      </c>
      <c r="BP13" s="231">
        <f>SUMIF('125-599'!$1:$1,BP$3,'125-599'!12:12)</f>
        <v>0</v>
      </c>
      <c r="BQ13" s="231">
        <f>SUMIF('125-599'!$1:$1,BQ$3,'125-599'!12:12)</f>
        <v>0</v>
      </c>
      <c r="BR13" s="231">
        <f>SUMIF('125-599'!$1:$1,BR$3,'125-599'!12:12)</f>
        <v>0</v>
      </c>
      <c r="BS13" s="231">
        <f>SUMIF('125-599'!$1:$1,BS$3,'125-599'!12:12)</f>
        <v>0</v>
      </c>
      <c r="BT13" s="231">
        <f>SUMIF('125-599'!$1:$1,BT$3,'125-599'!12:12)</f>
        <v>0</v>
      </c>
      <c r="BU13" s="231">
        <f>SUMIF('125-599'!$1:$1,BU$3,'125-599'!12:12)</f>
        <v>-6205</v>
      </c>
      <c r="BV13" s="231">
        <f>SUMIF('125-599'!$1:$1,BV$3,'125-599'!12:12)</f>
        <v>0</v>
      </c>
      <c r="BW13" s="231">
        <f>SUMIF('125-599'!$1:$1,BW$3,'125-599'!12:12)</f>
        <v>0</v>
      </c>
      <c r="BX13" s="231">
        <f>SUMIF('125-599'!$1:$1,BX$3,'125-599'!12:12)</f>
        <v>0</v>
      </c>
      <c r="BY13" s="231">
        <f>SUMIF('125-599'!$1:$1,BY$3,'125-599'!12:12)</f>
        <v>-232.43</v>
      </c>
      <c r="BZ13" s="231">
        <f>SUMIF('125-599'!$1:$1,BZ$3,'125-599'!12:12)</f>
        <v>0</v>
      </c>
      <c r="CA13" s="316">
        <f>SUMIF('125-599'!$1:$1,CA$3,'125-599'!12:12)</f>
        <v>0</v>
      </c>
      <c r="CB13" s="249">
        <f>SUMIF('125-599'!$1:$1,CB$3,'125-599'!12:12)</f>
        <v>0</v>
      </c>
      <c r="CC13" s="249">
        <f>SUMIF('125-599'!$1:$1,CC$3,'125-599'!12:12)</f>
        <v>0</v>
      </c>
      <c r="CD13" s="249">
        <f>SUMIF('125-599'!$1:$1,CD$3,'125-599'!12:12)</f>
        <v>0</v>
      </c>
      <c r="CE13" s="249">
        <f>SUMIF('125-599'!$1:$1,CE$3,'125-599'!12:12)</f>
        <v>0</v>
      </c>
      <c r="CF13" s="249">
        <f>SUMIF('125-599'!$1:$1,CF$3,'125-599'!12:12)</f>
        <v>0</v>
      </c>
      <c r="CG13" s="262">
        <f t="shared" si="1"/>
        <v>17213.210000000199</v>
      </c>
      <c r="CJ13" s="122"/>
      <c r="CK13" s="169">
        <f>INDEX(SAP!C:C,MATCH('Actuals mapped to CFR'!A13,SAP!H:H,FALSE),1)</f>
        <v>17213.21</v>
      </c>
      <c r="CL13" s="59">
        <f t="shared" ref="CL13" si="11">ROUND(CK13-CG13,2)</f>
        <v>0</v>
      </c>
      <c r="CN13" s="81">
        <f t="shared" si="2"/>
        <v>1362575.7799999998</v>
      </c>
      <c r="CO13" s="81">
        <f t="shared" si="3"/>
        <v>1354182.3300000003</v>
      </c>
      <c r="CP13" s="166">
        <f>VLOOKUP(B13,'2526 GBP Data input'!$A$4:$CA$230,38,FALSE)</f>
        <v>1304414</v>
      </c>
      <c r="CQ13" s="166">
        <f>VLOOKUP(B13,'2526 GBP Data input'!$A$4:$CA$230,73,FALSE)</f>
        <v>20915</v>
      </c>
      <c r="CR13" s="89">
        <f t="shared" ref="CR13" si="12">CN13-CP13</f>
        <v>58161.779999999795</v>
      </c>
      <c r="CS13" s="83">
        <f t="shared" ref="CS13" si="13">CO13/CQ13</f>
        <v>64.746943820224729</v>
      </c>
      <c r="CT13" s="82">
        <f t="shared" si="5"/>
        <v>53562.3199999996</v>
      </c>
      <c r="CU13" s="82">
        <f t="shared" si="6"/>
        <v>1484.68</v>
      </c>
      <c r="CV13" s="86">
        <f t="shared" ref="CV13" si="14">SUM(CT13:CU13)</f>
        <v>55046.9999999996</v>
      </c>
    </row>
    <row r="14" spans="1:100" ht="12.75" customHeight="1">
      <c r="A14" s="238">
        <v>107547</v>
      </c>
      <c r="B14" s="60">
        <v>547</v>
      </c>
      <c r="C14" s="60" t="s">
        <v>246</v>
      </c>
      <c r="D14" s="231">
        <f>SUMIF('125-599'!$1:$1,D$3,'125-599'!13:13)</f>
        <v>-419298.8</v>
      </c>
      <c r="E14" s="231">
        <f>SUMIF('125-599'!$1:$1,E$3,'125-599'!13:13)</f>
        <v>-14033.84</v>
      </c>
      <c r="F14" s="231">
        <f>SUMIF('125-599'!$1:$1,F$3,'125-599'!13:13)</f>
        <v>0</v>
      </c>
      <c r="G14" s="231">
        <f>SUMIF('125-599'!$1:$1,G$3,'125-599'!13:13)</f>
        <v>0</v>
      </c>
      <c r="H14" s="231">
        <f>SUMIF('125-599'!$1:$1,H$3,'125-599'!13:13)</f>
        <v>0</v>
      </c>
      <c r="I14" s="231">
        <f>SUMIF('125-599'!$1:$1,I$3,'125-599'!13:13)</f>
        <v>0</v>
      </c>
      <c r="J14" s="231">
        <f>SUMIF('125-599'!$1:$1,J$3,'125-599'!13:13)</f>
        <v>-42223.9</v>
      </c>
      <c r="K14" s="231">
        <f>SUMIF('125-599'!$1:$1,K$3,'125-599'!13:13)</f>
        <v>-2168754</v>
      </c>
      <c r="L14" s="231">
        <f>SUMIF('125-599'!$1:$1,L$3,'125-599'!13:13)</f>
        <v>0</v>
      </c>
      <c r="M14" s="231">
        <f>SUMIF('125-599'!$1:$1,M$3,'125-599'!13:13)</f>
        <v>-157347</v>
      </c>
      <c r="N14" s="231">
        <f>SUMIF('125-599'!$1:$1,N$3,'125-599'!13:13)</f>
        <v>0</v>
      </c>
      <c r="O14" s="231">
        <f>SUMIF('125-599'!$1:$1,O$3,'125-599'!13:13)</f>
        <v>-118750</v>
      </c>
      <c r="P14" s="231">
        <f>SUMIF('125-599'!$1:$1,P$3,'125-599'!13:13)</f>
        <v>-88743</v>
      </c>
      <c r="Q14" s="231">
        <f>SUMIF('125-599'!$1:$1,Q$3,'125-599'!13:13)</f>
        <v>-1200</v>
      </c>
      <c r="R14" s="231">
        <f>SUMIF('125-599'!$1:$1,R$3,'125-599'!13:13)</f>
        <v>0</v>
      </c>
      <c r="S14" s="231">
        <f>SUMIF('125-599'!$1:$1,S$3,'125-599'!13:13)</f>
        <v>-253657.44999999995</v>
      </c>
      <c r="T14" s="231">
        <f>SUMIF('125-599'!$1:$1,T$3,'125-599'!13:13)</f>
        <v>-5142.25</v>
      </c>
      <c r="U14" s="231">
        <f>SUMIF('125-599'!$1:$1,U$3,'125-599'!13:13)</f>
        <v>0</v>
      </c>
      <c r="V14" s="231">
        <f>SUMIF('125-599'!$1:$1,V$3,'125-599'!13:13)</f>
        <v>0</v>
      </c>
      <c r="W14" s="231">
        <f>SUMIF('125-599'!$1:$1,W$3,'125-599'!13:13)</f>
        <v>-41223.57999999998</v>
      </c>
      <c r="X14" s="231">
        <f>SUMIF('125-599'!$1:$1,X$3,'125-599'!13:13)</f>
        <v>-1255.4099999999999</v>
      </c>
      <c r="Y14" s="277">
        <f>SUMIF('125-599'!$1:$1,Y$3,'125-599'!13:13)</f>
        <v>0</v>
      </c>
      <c r="Z14" s="231">
        <f>SUMIF('125-599'!$1:$1,Z$3,'125-599'!13:13)</f>
        <v>0</v>
      </c>
      <c r="AA14" s="231">
        <f>SUMIF('125-599'!$1:$1,AA$3,'125-599'!13:13)</f>
        <v>-145675.12</v>
      </c>
      <c r="AB14" s="231">
        <f>SUMIF('125-599'!$1:$1,AB$3,'125-599'!13:13)</f>
        <v>-9983.1799999999985</v>
      </c>
      <c r="AC14" s="312">
        <f>SUMIF('125-599'!$1:$1,AC$3,'125-599'!13:13)</f>
        <v>0</v>
      </c>
      <c r="AD14" s="312">
        <f>SUMIF('125-599'!$1:$1,AD$3,'125-599'!13:13)</f>
        <v>0</v>
      </c>
      <c r="AE14" s="312">
        <f>SUMIF('125-599'!$1:$1,AE$3,'125-599'!13:13)</f>
        <v>0</v>
      </c>
      <c r="AF14" s="312">
        <f>SUMIF('125-599'!$1:$1,AF$3,'125-599'!13:13)</f>
        <v>0</v>
      </c>
      <c r="AG14" s="231">
        <f>SUMIF('125-599'!$1:$1,AG$3,'125-599'!13:13)</f>
        <v>1332147.9099999999</v>
      </c>
      <c r="AH14" s="231">
        <f>SUMIF('125-599'!$1:$1,AH$3,'125-599'!13:13)</f>
        <v>22865.629999999997</v>
      </c>
      <c r="AI14" s="231">
        <f>SUMIF('125-599'!$1:$1,AI$3,'125-599'!13:13)</f>
        <v>383284.03999999992</v>
      </c>
      <c r="AJ14" s="231">
        <f>SUMIF('125-599'!$1:$1,AJ$3,'125-599'!13:13)</f>
        <v>20650.979999999996</v>
      </c>
      <c r="AK14" s="231">
        <f>SUMIF('125-599'!$1:$1,AK$3,'125-599'!13:13)</f>
        <v>140247.12</v>
      </c>
      <c r="AL14" s="231">
        <f>SUMIF('125-599'!$1:$1,AL$3,'125-599'!13:13)</f>
        <v>0</v>
      </c>
      <c r="AM14" s="231">
        <f>SUMIF('125-599'!$1:$1,AM$3,'125-599'!13:13)</f>
        <v>177953.25000000003</v>
      </c>
      <c r="AN14" s="231">
        <f>SUMIF('125-599'!$1:$1,AN$3,'125-599'!13:13)</f>
        <v>8071.58</v>
      </c>
      <c r="AO14" s="231">
        <f>SUMIF('125-599'!$1:$1,AO$3,'125-599'!13:13)</f>
        <v>8152.35</v>
      </c>
      <c r="AP14" s="231">
        <f>SUMIF('125-599'!$1:$1,AP$3,'125-599'!13:13)</f>
        <v>1277.95</v>
      </c>
      <c r="AQ14" s="231">
        <f>SUMIF('125-599'!$1:$1,AQ$3,'125-599'!13:13)</f>
        <v>0</v>
      </c>
      <c r="AR14" s="231">
        <f>SUMIF('125-599'!$1:$1,AR$3,'125-599'!13:13)</f>
        <v>47814.62999999999</v>
      </c>
      <c r="AS14" s="231">
        <f>SUMIF('125-599'!$1:$1,AS$3,'125-599'!13:13)</f>
        <v>13687.670000000002</v>
      </c>
      <c r="AT14" s="231">
        <f>SUMIF('125-599'!$1:$1,AT$3,'125-599'!13:13)</f>
        <v>47822.229999999996</v>
      </c>
      <c r="AU14" s="231">
        <f>SUMIF('125-599'!$1:$1,AU$3,'125-599'!13:13)</f>
        <v>8426.83</v>
      </c>
      <c r="AV14" s="231">
        <f>SUMIF('125-599'!$1:$1,AV$3,'125-599'!13:13)</f>
        <v>28444.11</v>
      </c>
      <c r="AW14" s="231">
        <f>SUMIF('125-599'!$1:$1,AW$3,'125-599'!13:13)</f>
        <v>32756</v>
      </c>
      <c r="AX14" s="231">
        <f>SUMIF('125-599'!$1:$1,AX$3,'125-599'!13:13)</f>
        <v>12071.260000000002</v>
      </c>
      <c r="AY14" s="231">
        <f>SUMIF('125-599'!$1:$1,AY$3,'125-599'!13:13)</f>
        <v>158745.35000000003</v>
      </c>
      <c r="AZ14" s="312">
        <f>SUMIF('125-599'!$1:$1,AZ$3,'125-599'!13:13)</f>
        <v>0</v>
      </c>
      <c r="BA14" s="231">
        <f>SUMIF('125-599'!$1:$1,BA$3,'125-599'!13:13)</f>
        <v>0</v>
      </c>
      <c r="BB14" s="231">
        <f>SUMIF('125-599'!$1:$1,BB$3,'125-599'!13:13)</f>
        <v>0</v>
      </c>
      <c r="BC14" s="231">
        <f>SUMIF('125-599'!$1:$1,BC$3,'125-599'!13:13)</f>
        <v>0</v>
      </c>
      <c r="BD14" s="231">
        <f>SUMIF('125-599'!$1:$1,BD$3,'125-599'!13:13)</f>
        <v>0</v>
      </c>
      <c r="BE14" s="231">
        <f>SUMIF('125-599'!$1:$1,BE$3,'125-599'!13:13)</f>
        <v>3252</v>
      </c>
      <c r="BF14" s="231">
        <f>SUMIF('125-599'!$1:$1,BF$3,'125-599'!13:13)</f>
        <v>0</v>
      </c>
      <c r="BG14" s="231">
        <f>SUMIF('125-599'!$1:$1,BG$3,'125-599'!13:13)</f>
        <v>16069.96</v>
      </c>
      <c r="BH14" s="231">
        <f>SUMIF('125-599'!$1:$1,BH$3,'125-599'!13:13)</f>
        <v>0</v>
      </c>
      <c r="BI14" s="231">
        <f>SUMIF('125-599'!$1:$1,BI$3,'125-599'!13:13)</f>
        <v>11493.169999999998</v>
      </c>
      <c r="BJ14" s="231">
        <f>SUMIF('125-599'!$1:$1,BJ$3,'125-599'!13:13)</f>
        <v>22617.62</v>
      </c>
      <c r="BK14" s="231">
        <f>SUMIF('125-599'!$1:$1,BK$3,'125-599'!13:13)</f>
        <v>0</v>
      </c>
      <c r="BL14" s="231">
        <f>SUMIF('125-599'!$1:$1,BL$3,'125-599'!13:13)</f>
        <v>112998.7</v>
      </c>
      <c r="BM14" s="231">
        <f>SUMIF('125-599'!$1:$1,BM$3,'125-599'!13:13)</f>
        <v>49258.87000000001</v>
      </c>
      <c r="BN14" s="231">
        <f>SUMIF('125-599'!$1:$1,BN$3,'125-599'!13:13)</f>
        <v>52905.919999999998</v>
      </c>
      <c r="BO14" s="231">
        <f>SUMIF('125-599'!$1:$1,BO$3,'125-599'!13:13)</f>
        <v>23179.91</v>
      </c>
      <c r="BP14" s="231">
        <f>SUMIF('125-599'!$1:$1,BP$3,'125-599'!13:13)</f>
        <v>0</v>
      </c>
      <c r="BQ14" s="231">
        <f>SUMIF('125-599'!$1:$1,BQ$3,'125-599'!13:13)</f>
        <v>0</v>
      </c>
      <c r="BR14" s="231">
        <f>SUMIF('125-599'!$1:$1,BR$3,'125-599'!13:13)</f>
        <v>0</v>
      </c>
      <c r="BS14" s="231">
        <f>SUMIF('125-599'!$1:$1,BS$3,'125-599'!13:13)</f>
        <v>129648.31</v>
      </c>
      <c r="BT14" s="231">
        <f>SUMIF('125-599'!$1:$1,BT$3,'125-599'!13:13)</f>
        <v>27760.160000000011</v>
      </c>
      <c r="BU14" s="231">
        <f>SUMIF('125-599'!$1:$1,BU$3,'125-599'!13:13)</f>
        <v>-8680</v>
      </c>
      <c r="BV14" s="231">
        <f>SUMIF('125-599'!$1:$1,BV$3,'125-599'!13:13)</f>
        <v>0</v>
      </c>
      <c r="BW14" s="231">
        <f>SUMIF('125-599'!$1:$1,BW$3,'125-599'!13:13)</f>
        <v>0</v>
      </c>
      <c r="BX14" s="231">
        <f>SUMIF('125-599'!$1:$1,BX$3,'125-599'!13:13)</f>
        <v>0</v>
      </c>
      <c r="BY14" s="231">
        <f>SUMIF('125-599'!$1:$1,BY$3,'125-599'!13:13)</f>
        <v>0</v>
      </c>
      <c r="BZ14" s="231">
        <f>SUMIF('125-599'!$1:$1,BZ$3,'125-599'!13:13)</f>
        <v>0</v>
      </c>
      <c r="CA14" s="316">
        <f>SUMIF('125-599'!$1:$1,CA$3,'125-599'!13:13)</f>
        <v>0</v>
      </c>
      <c r="CB14" s="249">
        <f>SUMIF('125-599'!$1:$1,CB$3,'125-599'!13:13)</f>
        <v>0</v>
      </c>
      <c r="CC14" s="249">
        <f>SUMIF('125-599'!$1:$1,CC$3,'125-599'!13:13)</f>
        <v>0</v>
      </c>
      <c r="CD14" s="249">
        <f>SUMIF('125-599'!$1:$1,CD$3,'125-599'!13:13)</f>
        <v>0</v>
      </c>
      <c r="CE14" s="249">
        <f>SUMIF('125-599'!$1:$1,CE$3,'125-599'!13:13)</f>
        <v>0</v>
      </c>
      <c r="CF14" s="249">
        <f>SUMIF('125-599'!$1:$1,CF$3,'125-599'!13:13)</f>
        <v>0</v>
      </c>
      <c r="CG14" s="262">
        <f t="shared" si="1"/>
        <v>-582364.02000000083</v>
      </c>
      <c r="CJ14" s="122"/>
      <c r="CK14" s="169">
        <f>INDEX(SAP!C:C,MATCH('Actuals mapped to CFR'!A14,SAP!H:H,FALSE),1)</f>
        <v>-582364.02</v>
      </c>
      <c r="CL14" s="59">
        <f t="shared" si="7"/>
        <v>0</v>
      </c>
      <c r="CN14" s="81">
        <f t="shared" si="2"/>
        <v>2991730.9900000007</v>
      </c>
      <c r="CO14" s="81">
        <f t="shared" si="3"/>
        <v>2893603.5100000002</v>
      </c>
      <c r="CP14" s="166">
        <f>VLOOKUP(B14,'2526 GBP Data input'!$A$4:$CA$230,38,FALSE)</f>
        <v>2864980</v>
      </c>
      <c r="CQ14" s="166">
        <f>VLOOKUP(B14,'2526 GBP Data input'!$A$4:$CA$230,73,FALSE)</f>
        <v>24105</v>
      </c>
      <c r="CR14" s="89">
        <f t="shared" si="8"/>
        <v>126750.99000000069</v>
      </c>
      <c r="CS14" s="83">
        <f t="shared" si="9"/>
        <v>120.04163078199545</v>
      </c>
      <c r="CT14" s="82">
        <f t="shared" si="5"/>
        <v>517426.28000000026</v>
      </c>
      <c r="CU14" s="82">
        <f t="shared" si="6"/>
        <v>8680</v>
      </c>
      <c r="CV14" s="86">
        <f t="shared" si="10"/>
        <v>526106.28000000026</v>
      </c>
    </row>
    <row r="15" spans="1:100" ht="12.75" customHeight="1">
      <c r="A15" s="238">
        <v>107551</v>
      </c>
      <c r="B15" s="60">
        <v>551</v>
      </c>
      <c r="C15" s="60" t="s">
        <v>229</v>
      </c>
      <c r="D15" s="231">
        <f>SUMIF('125-599'!$1:$1,D$3,'125-599'!14:14)</f>
        <v>-119425.08</v>
      </c>
      <c r="E15" s="231">
        <f>SUMIF('125-599'!$1:$1,E$3,'125-599'!14:14)</f>
        <v>-2681.35</v>
      </c>
      <c r="F15" s="231">
        <f>SUMIF('125-599'!$1:$1,F$3,'125-599'!14:14)</f>
        <v>0</v>
      </c>
      <c r="G15" s="231">
        <f>SUMIF('125-599'!$1:$1,G$3,'125-599'!14:14)</f>
        <v>-1786.5</v>
      </c>
      <c r="H15" s="231">
        <f>SUMIF('125-599'!$1:$1,H$3,'125-599'!14:14)</f>
        <v>0</v>
      </c>
      <c r="I15" s="231">
        <f>SUMIF('125-599'!$1:$1,I$3,'125-599'!14:14)</f>
        <v>0</v>
      </c>
      <c r="J15" s="231">
        <f>SUMIF('125-599'!$1:$1,J$3,'125-599'!14:14)</f>
        <v>0</v>
      </c>
      <c r="K15" s="231">
        <f>SUMIF('125-599'!$1:$1,K$3,'125-599'!14:14)</f>
        <v>-646959.19999999995</v>
      </c>
      <c r="L15" s="231">
        <f>SUMIF('125-599'!$1:$1,L$3,'125-599'!14:14)</f>
        <v>0</v>
      </c>
      <c r="M15" s="231">
        <f>SUMIF('125-599'!$1:$1,M$3,'125-599'!14:14)</f>
        <v>0</v>
      </c>
      <c r="N15" s="231">
        <f>SUMIF('125-599'!$1:$1,N$3,'125-599'!14:14)</f>
        <v>0</v>
      </c>
      <c r="O15" s="231">
        <f>SUMIF('125-599'!$1:$1,O$3,'125-599'!14:14)</f>
        <v>-12020</v>
      </c>
      <c r="P15" s="231">
        <f>SUMIF('125-599'!$1:$1,P$3,'125-599'!14:14)</f>
        <v>-33401</v>
      </c>
      <c r="Q15" s="231">
        <f>SUMIF('125-599'!$1:$1,Q$3,'125-599'!14:14)</f>
        <v>0</v>
      </c>
      <c r="R15" s="231">
        <f>SUMIF('125-599'!$1:$1,R$3,'125-599'!14:14)</f>
        <v>-3306.6</v>
      </c>
      <c r="S15" s="231">
        <f>SUMIF('125-599'!$1:$1,S$3,'125-599'!14:14)</f>
        <v>-11711.869999999999</v>
      </c>
      <c r="T15" s="231">
        <f>SUMIF('125-599'!$1:$1,T$3,'125-599'!14:14)</f>
        <v>0</v>
      </c>
      <c r="U15" s="231">
        <f>SUMIF('125-599'!$1:$1,U$3,'125-599'!14:14)</f>
        <v>0</v>
      </c>
      <c r="V15" s="231">
        <f>SUMIF('125-599'!$1:$1,V$3,'125-599'!14:14)</f>
        <v>0</v>
      </c>
      <c r="W15" s="231">
        <f>SUMIF('125-599'!$1:$1,W$3,'125-599'!14:14)</f>
        <v>-13129.95</v>
      </c>
      <c r="X15" s="231">
        <f>SUMIF('125-599'!$1:$1,X$3,'125-599'!14:14)</f>
        <v>-5007.2000000000007</v>
      </c>
      <c r="Y15" s="277">
        <f>SUMIF('125-599'!$1:$1,Y$3,'125-599'!14:14)</f>
        <v>0</v>
      </c>
      <c r="Z15" s="231">
        <f>SUMIF('125-599'!$1:$1,Z$3,'125-599'!14:14)</f>
        <v>0</v>
      </c>
      <c r="AA15" s="231">
        <f>SUMIF('125-599'!$1:$1,AA$3,'125-599'!14:14)</f>
        <v>0</v>
      </c>
      <c r="AB15" s="231">
        <f>SUMIF('125-599'!$1:$1,AB$3,'125-599'!14:14)</f>
        <v>0</v>
      </c>
      <c r="AC15" s="312">
        <f>SUMIF('125-599'!$1:$1,AC$3,'125-599'!14:14)</f>
        <v>0</v>
      </c>
      <c r="AD15" s="312">
        <f>SUMIF('125-599'!$1:$1,AD$3,'125-599'!14:14)</f>
        <v>0</v>
      </c>
      <c r="AE15" s="312">
        <f>SUMIF('125-599'!$1:$1,AE$3,'125-599'!14:14)</f>
        <v>0</v>
      </c>
      <c r="AF15" s="312">
        <f>SUMIF('125-599'!$1:$1,AF$3,'125-599'!14:14)</f>
        <v>0</v>
      </c>
      <c r="AG15" s="231">
        <f>SUMIF('125-599'!$1:$1,AG$3,'125-599'!14:14)</f>
        <v>344607.59</v>
      </c>
      <c r="AH15" s="231">
        <f>SUMIF('125-599'!$1:$1,AH$3,'125-599'!14:14)</f>
        <v>3234.4599999999996</v>
      </c>
      <c r="AI15" s="231">
        <f>SUMIF('125-599'!$1:$1,AI$3,'125-599'!14:14)</f>
        <v>113969.76999999997</v>
      </c>
      <c r="AJ15" s="231">
        <f>SUMIF('125-599'!$1:$1,AJ$3,'125-599'!14:14)</f>
        <v>0</v>
      </c>
      <c r="AK15" s="231">
        <f>SUMIF('125-599'!$1:$1,AK$3,'125-599'!14:14)</f>
        <v>55724.570000000014</v>
      </c>
      <c r="AL15" s="231">
        <f>SUMIF('125-599'!$1:$1,AL$3,'125-599'!14:14)</f>
        <v>0</v>
      </c>
      <c r="AM15" s="231">
        <f>SUMIF('125-599'!$1:$1,AM$3,'125-599'!14:14)</f>
        <v>0</v>
      </c>
      <c r="AN15" s="231">
        <f>SUMIF('125-599'!$1:$1,AN$3,'125-599'!14:14)</f>
        <v>2238.56</v>
      </c>
      <c r="AO15" s="231">
        <f>SUMIF('125-599'!$1:$1,AO$3,'125-599'!14:14)</f>
        <v>5895.75</v>
      </c>
      <c r="AP15" s="231">
        <f>SUMIF('125-599'!$1:$1,AP$3,'125-599'!14:14)</f>
        <v>311.10000000000002</v>
      </c>
      <c r="AQ15" s="231">
        <f>SUMIF('125-599'!$1:$1,AQ$3,'125-599'!14:14)</f>
        <v>1379.5</v>
      </c>
      <c r="AR15" s="231">
        <f>SUMIF('125-599'!$1:$1,AR$3,'125-599'!14:14)</f>
        <v>10593.689999999999</v>
      </c>
      <c r="AS15" s="231">
        <f>SUMIF('125-599'!$1:$1,AS$3,'125-599'!14:14)</f>
        <v>6297.670000000001</v>
      </c>
      <c r="AT15" s="231">
        <f>SUMIF('125-599'!$1:$1,AT$3,'125-599'!14:14)</f>
        <v>10330.519999999999</v>
      </c>
      <c r="AU15" s="231">
        <f>SUMIF('125-599'!$1:$1,AU$3,'125-599'!14:14)</f>
        <v>4862.9000000000005</v>
      </c>
      <c r="AV15" s="231">
        <f>SUMIF('125-599'!$1:$1,AV$3,'125-599'!14:14)</f>
        <v>10959.44</v>
      </c>
      <c r="AW15" s="231">
        <f>SUMIF('125-599'!$1:$1,AW$3,'125-599'!14:14)</f>
        <v>4690.6000000000004</v>
      </c>
      <c r="AX15" s="231">
        <f>SUMIF('125-599'!$1:$1,AX$3,'125-599'!14:14)</f>
        <v>12524.949999999999</v>
      </c>
      <c r="AY15" s="231">
        <f>SUMIF('125-599'!$1:$1,AY$3,'125-599'!14:14)</f>
        <v>33736.89</v>
      </c>
      <c r="AZ15" s="312">
        <f>SUMIF('125-599'!$1:$1,AZ$3,'125-599'!14:14)</f>
        <v>0</v>
      </c>
      <c r="BA15" s="231">
        <f>SUMIF('125-599'!$1:$1,BA$3,'125-599'!14:14)</f>
        <v>2332.3000000000002</v>
      </c>
      <c r="BB15" s="231">
        <f>SUMIF('125-599'!$1:$1,BB$3,'125-599'!14:14)</f>
        <v>0</v>
      </c>
      <c r="BC15" s="231">
        <f>SUMIF('125-599'!$1:$1,BC$3,'125-599'!14:14)</f>
        <v>64.100000000000023</v>
      </c>
      <c r="BD15" s="231">
        <f>SUMIF('125-599'!$1:$1,BD$3,'125-599'!14:14)</f>
        <v>1328.99</v>
      </c>
      <c r="BE15" s="231">
        <f>SUMIF('125-599'!$1:$1,BE$3,'125-599'!14:14)</f>
        <v>124.42999999999999</v>
      </c>
      <c r="BF15" s="231">
        <f>SUMIF('125-599'!$1:$1,BF$3,'125-599'!14:14)</f>
        <v>83.66</v>
      </c>
      <c r="BG15" s="231">
        <f>SUMIF('125-599'!$1:$1,BG$3,'125-599'!14:14)</f>
        <v>3571</v>
      </c>
      <c r="BH15" s="231">
        <f>SUMIF('125-599'!$1:$1,BH$3,'125-599'!14:14)</f>
        <v>0</v>
      </c>
      <c r="BI15" s="231">
        <f>SUMIF('125-599'!$1:$1,BI$3,'125-599'!14:14)</f>
        <v>3427</v>
      </c>
      <c r="BJ15" s="231">
        <f>SUMIF('125-599'!$1:$1,BJ$3,'125-599'!14:14)</f>
        <v>5505.96</v>
      </c>
      <c r="BK15" s="231">
        <f>SUMIF('125-599'!$1:$1,BK$3,'125-599'!14:14)</f>
        <v>0</v>
      </c>
      <c r="BL15" s="231">
        <f>SUMIF('125-599'!$1:$1,BL$3,'125-599'!14:14)</f>
        <v>21366.260000000002</v>
      </c>
      <c r="BM15" s="231">
        <f>SUMIF('125-599'!$1:$1,BM$3,'125-599'!14:14)</f>
        <v>0</v>
      </c>
      <c r="BN15" s="231">
        <f>SUMIF('125-599'!$1:$1,BN$3,'125-599'!14:14)</f>
        <v>19826.46</v>
      </c>
      <c r="BO15" s="231">
        <f>SUMIF('125-599'!$1:$1,BO$3,'125-599'!14:14)</f>
        <v>14465.310000000001</v>
      </c>
      <c r="BP15" s="231">
        <f>SUMIF('125-599'!$1:$1,BP$3,'125-599'!14:14)</f>
        <v>0</v>
      </c>
      <c r="BQ15" s="231">
        <f>SUMIF('125-599'!$1:$1,BQ$3,'125-599'!14:14)</f>
        <v>0</v>
      </c>
      <c r="BR15" s="231">
        <f>SUMIF('125-599'!$1:$1,BR$3,'125-599'!14:14)</f>
        <v>0</v>
      </c>
      <c r="BS15" s="231">
        <f>SUMIF('125-599'!$1:$1,BS$3,'125-599'!14:14)</f>
        <v>0</v>
      </c>
      <c r="BT15" s="231">
        <f>SUMIF('125-599'!$1:$1,BT$3,'125-599'!14:14)</f>
        <v>0</v>
      </c>
      <c r="BU15" s="231">
        <f>SUMIF('125-599'!$1:$1,BU$3,'125-599'!14:14)</f>
        <v>-5125</v>
      </c>
      <c r="BV15" s="231">
        <f>SUMIF('125-599'!$1:$1,BV$3,'125-599'!14:14)</f>
        <v>0</v>
      </c>
      <c r="BW15" s="231">
        <f>SUMIF('125-599'!$1:$1,BW$3,'125-599'!14:14)</f>
        <v>0</v>
      </c>
      <c r="BX15" s="231">
        <f>SUMIF('125-599'!$1:$1,BX$3,'125-599'!14:14)</f>
        <v>0</v>
      </c>
      <c r="BY15" s="231">
        <f>SUMIF('125-599'!$1:$1,BY$3,'125-599'!14:14)</f>
        <v>1480</v>
      </c>
      <c r="BZ15" s="231">
        <f>SUMIF('125-599'!$1:$1,BZ$3,'125-599'!14:14)</f>
        <v>0</v>
      </c>
      <c r="CA15" s="316">
        <f>SUMIF('125-599'!$1:$1,CA$3,'125-599'!14:14)</f>
        <v>0</v>
      </c>
      <c r="CB15" s="249">
        <f>SUMIF('125-599'!$1:$1,CB$3,'125-599'!14:14)</f>
        <v>0</v>
      </c>
      <c r="CC15" s="249">
        <f>SUMIF('125-599'!$1:$1,CC$3,'125-599'!14:14)</f>
        <v>0</v>
      </c>
      <c r="CD15" s="249">
        <f>SUMIF('125-599'!$1:$1,CD$3,'125-599'!14:14)</f>
        <v>0</v>
      </c>
      <c r="CE15" s="249">
        <f>SUMIF('125-599'!$1:$1,CE$3,'125-599'!14:14)</f>
        <v>3579.96</v>
      </c>
      <c r="CF15" s="249">
        <f>SUMIF('125-599'!$1:$1,CF$3,'125-599'!14:14)</f>
        <v>54.72</v>
      </c>
      <c r="CG15" s="262">
        <f t="shared" si="1"/>
        <v>-155985.6399999999</v>
      </c>
      <c r="CJ15" s="122"/>
      <c r="CK15" s="169">
        <f>INDEX(SAP!C:C,MATCH('Actuals mapped to CFR'!A15,SAP!H:H,FALSE),1)</f>
        <v>-155985.64000000001</v>
      </c>
      <c r="CL15" s="59">
        <f t="shared" si="7"/>
        <v>0</v>
      </c>
      <c r="CN15" s="81">
        <f t="shared" si="2"/>
        <v>725535.81999999983</v>
      </c>
      <c r="CO15" s="81">
        <f t="shared" si="3"/>
        <v>693453.42999999993</v>
      </c>
      <c r="CP15" s="166">
        <f>VLOOKUP(B15,'2526 GBP Data input'!$A$4:$CA$230,38,FALSE)</f>
        <v>696253</v>
      </c>
      <c r="CQ15" s="166">
        <f>VLOOKUP(B15,'2526 GBP Data input'!$A$4:$CA$230,73,FALSE)</f>
        <v>14802</v>
      </c>
      <c r="CR15" s="89">
        <f t="shared" si="8"/>
        <v>29282.819999999832</v>
      </c>
      <c r="CS15" s="83">
        <f t="shared" si="9"/>
        <v>46.848630590460743</v>
      </c>
      <c r="CT15" s="82">
        <f t="shared" si="5"/>
        <v>151507.46999999986</v>
      </c>
      <c r="CU15" s="82">
        <f t="shared" si="6"/>
        <v>5376.78</v>
      </c>
      <c r="CV15" s="86">
        <f t="shared" si="10"/>
        <v>156884.24999999985</v>
      </c>
    </row>
    <row r="16" spans="1:100" ht="12.75" customHeight="1">
      <c r="A16" s="238">
        <v>107553</v>
      </c>
      <c r="B16" s="60">
        <v>553</v>
      </c>
      <c r="C16" s="60" t="s">
        <v>241</v>
      </c>
      <c r="D16" s="231">
        <f>SUMIF('125-599'!$1:$1,D$3,'125-599'!15:15)</f>
        <v>-95580.76</v>
      </c>
      <c r="E16" s="231">
        <f>SUMIF('125-599'!$1:$1,E$3,'125-599'!15:15)</f>
        <v>-14030</v>
      </c>
      <c r="F16" s="231">
        <f>SUMIF('125-599'!$1:$1,F$3,'125-599'!15:15)</f>
        <v>0</v>
      </c>
      <c r="G16" s="231">
        <f>SUMIF('125-599'!$1:$1,G$3,'125-599'!15:15)</f>
        <v>-410.07</v>
      </c>
      <c r="H16" s="231">
        <f>SUMIF('125-599'!$1:$1,H$3,'125-599'!15:15)</f>
        <v>0</v>
      </c>
      <c r="I16" s="231">
        <f>SUMIF('125-599'!$1:$1,I$3,'125-599'!15:15)</f>
        <v>0</v>
      </c>
      <c r="J16" s="231">
        <f>SUMIF('125-599'!$1:$1,J$3,'125-599'!15:15)</f>
        <v>-25866.35</v>
      </c>
      <c r="K16" s="231">
        <f>SUMIF('125-599'!$1:$1,K$3,'125-599'!15:15)</f>
        <v>-479290.15</v>
      </c>
      <c r="L16" s="231">
        <f>SUMIF('125-599'!$1:$1,L$3,'125-599'!15:15)</f>
        <v>0</v>
      </c>
      <c r="M16" s="231">
        <f>SUMIF('125-599'!$1:$1,M$3,'125-599'!15:15)</f>
        <v>-27087</v>
      </c>
      <c r="N16" s="231">
        <f>SUMIF('125-599'!$1:$1,N$3,'125-599'!15:15)</f>
        <v>0</v>
      </c>
      <c r="O16" s="231">
        <f>SUMIF('125-599'!$1:$1,O$3,'125-599'!15:15)</f>
        <v>-19645</v>
      </c>
      <c r="P16" s="231">
        <f>SUMIF('125-599'!$1:$1,P$3,'125-599'!15:15)</f>
        <v>-21277.29</v>
      </c>
      <c r="Q16" s="231">
        <f>SUMIF('125-599'!$1:$1,Q$3,'125-599'!15:15)</f>
        <v>-2774</v>
      </c>
      <c r="R16" s="231">
        <f>SUMIF('125-599'!$1:$1,R$3,'125-599'!15:15)</f>
        <v>0</v>
      </c>
      <c r="S16" s="231">
        <f>SUMIF('125-599'!$1:$1,S$3,'125-599'!15:15)</f>
        <v>-19944.240000000005</v>
      </c>
      <c r="T16" s="231">
        <f>SUMIF('125-599'!$1:$1,T$3,'125-599'!15:15)</f>
        <v>-3639.8499999999995</v>
      </c>
      <c r="U16" s="231">
        <f>SUMIF('125-599'!$1:$1,U$3,'125-599'!15:15)</f>
        <v>0</v>
      </c>
      <c r="V16" s="231">
        <f>SUMIF('125-599'!$1:$1,V$3,'125-599'!15:15)</f>
        <v>-444</v>
      </c>
      <c r="W16" s="231">
        <f>SUMIF('125-599'!$1:$1,W$3,'125-599'!15:15)</f>
        <v>-4579.3700000000008</v>
      </c>
      <c r="X16" s="231">
        <f>SUMIF('125-599'!$1:$1,X$3,'125-599'!15:15)</f>
        <v>-2390.2400000000002</v>
      </c>
      <c r="Y16" s="277">
        <f>SUMIF('125-599'!$1:$1,Y$3,'125-599'!15:15)</f>
        <v>0</v>
      </c>
      <c r="Z16" s="231">
        <f>SUMIF('125-599'!$1:$1,Z$3,'125-599'!15:15)</f>
        <v>0</v>
      </c>
      <c r="AA16" s="231">
        <f>SUMIF('125-599'!$1:$1,AA$3,'125-599'!15:15)</f>
        <v>-33636.220000000008</v>
      </c>
      <c r="AB16" s="231">
        <f>SUMIF('125-599'!$1:$1,AB$3,'125-599'!15:15)</f>
        <v>-5064.79</v>
      </c>
      <c r="AC16" s="312">
        <f>SUMIF('125-599'!$1:$1,AC$3,'125-599'!15:15)</f>
        <v>0</v>
      </c>
      <c r="AD16" s="312">
        <f>SUMIF('125-599'!$1:$1,AD$3,'125-599'!15:15)</f>
        <v>0</v>
      </c>
      <c r="AE16" s="312">
        <f>SUMIF('125-599'!$1:$1,AE$3,'125-599'!15:15)</f>
        <v>0</v>
      </c>
      <c r="AF16" s="312">
        <f>SUMIF('125-599'!$1:$1,AF$3,'125-599'!15:15)</f>
        <v>0</v>
      </c>
      <c r="AG16" s="231">
        <f>SUMIF('125-599'!$1:$1,AG$3,'125-599'!15:15)</f>
        <v>274036.16000000003</v>
      </c>
      <c r="AH16" s="231">
        <f>SUMIF('125-599'!$1:$1,AH$3,'125-599'!15:15)</f>
        <v>9095.48</v>
      </c>
      <c r="AI16" s="231">
        <f>SUMIF('125-599'!$1:$1,AI$3,'125-599'!15:15)</f>
        <v>95256.489999999991</v>
      </c>
      <c r="AJ16" s="231">
        <f>SUMIF('125-599'!$1:$1,AJ$3,'125-599'!15:15)</f>
        <v>105.79</v>
      </c>
      <c r="AK16" s="231">
        <f>SUMIF('125-599'!$1:$1,AK$3,'125-599'!15:15)</f>
        <v>41975.210000000006</v>
      </c>
      <c r="AL16" s="231">
        <f>SUMIF('125-599'!$1:$1,AL$3,'125-599'!15:15)</f>
        <v>0</v>
      </c>
      <c r="AM16" s="231">
        <f>SUMIF('125-599'!$1:$1,AM$3,'125-599'!15:15)</f>
        <v>38916.399999999994</v>
      </c>
      <c r="AN16" s="231">
        <f>SUMIF('125-599'!$1:$1,AN$3,'125-599'!15:15)</f>
        <v>2102.5100000000002</v>
      </c>
      <c r="AO16" s="231">
        <f>SUMIF('125-599'!$1:$1,AO$3,'125-599'!15:15)</f>
        <v>3664.75</v>
      </c>
      <c r="AP16" s="231">
        <f>SUMIF('125-599'!$1:$1,AP$3,'125-599'!15:15)</f>
        <v>2855.46</v>
      </c>
      <c r="AQ16" s="231">
        <f>SUMIF('125-599'!$1:$1,AQ$3,'125-599'!15:15)</f>
        <v>672.69</v>
      </c>
      <c r="AR16" s="231">
        <f>SUMIF('125-599'!$1:$1,AR$3,'125-599'!15:15)</f>
        <v>12501.619999999999</v>
      </c>
      <c r="AS16" s="231">
        <f>SUMIF('125-599'!$1:$1,AS$3,'125-599'!15:15)</f>
        <v>1416.3</v>
      </c>
      <c r="AT16" s="231">
        <f>SUMIF('125-599'!$1:$1,AT$3,'125-599'!15:15)</f>
        <v>15153.980000000001</v>
      </c>
      <c r="AU16" s="231">
        <f>SUMIF('125-599'!$1:$1,AU$3,'125-599'!15:15)</f>
        <v>532.67000000000007</v>
      </c>
      <c r="AV16" s="231">
        <f>SUMIF('125-599'!$1:$1,AV$3,'125-599'!15:15)</f>
        <v>9696.98</v>
      </c>
      <c r="AW16" s="231">
        <f>SUMIF('125-599'!$1:$1,AW$3,'125-599'!15:15)</f>
        <v>3842.3</v>
      </c>
      <c r="AX16" s="231">
        <f>SUMIF('125-599'!$1:$1,AX$3,'125-599'!15:15)</f>
        <v>4228.04</v>
      </c>
      <c r="AY16" s="231">
        <f>SUMIF('125-599'!$1:$1,AY$3,'125-599'!15:15)</f>
        <v>33171.519999999997</v>
      </c>
      <c r="AZ16" s="312">
        <f>SUMIF('125-599'!$1:$1,AZ$3,'125-599'!15:15)</f>
        <v>2095.02</v>
      </c>
      <c r="BA16" s="231">
        <f>SUMIF('125-599'!$1:$1,BA$3,'125-599'!15:15)</f>
        <v>710</v>
      </c>
      <c r="BB16" s="231">
        <f>SUMIF('125-599'!$1:$1,BB$3,'125-599'!15:15)</f>
        <v>0</v>
      </c>
      <c r="BC16" s="231">
        <f>SUMIF('125-599'!$1:$1,BC$3,'125-599'!15:15)</f>
        <v>184.42</v>
      </c>
      <c r="BD16" s="231">
        <f>SUMIF('125-599'!$1:$1,BD$3,'125-599'!15:15)</f>
        <v>0</v>
      </c>
      <c r="BE16" s="231">
        <f>SUMIF('125-599'!$1:$1,BE$3,'125-599'!15:15)</f>
        <v>690.2</v>
      </c>
      <c r="BF16" s="231">
        <f>SUMIF('125-599'!$1:$1,BF$3,'125-599'!15:15)</f>
        <v>50.34</v>
      </c>
      <c r="BG16" s="231">
        <f>SUMIF('125-599'!$1:$1,BG$3,'125-599'!15:15)</f>
        <v>3284.19</v>
      </c>
      <c r="BH16" s="231">
        <f>SUMIF('125-599'!$1:$1,BH$3,'125-599'!15:15)</f>
        <v>0</v>
      </c>
      <c r="BI16" s="231">
        <f>SUMIF('125-599'!$1:$1,BI$3,'125-599'!15:15)</f>
        <v>3641.0099999999998</v>
      </c>
      <c r="BJ16" s="231">
        <f>SUMIF('125-599'!$1:$1,BJ$3,'125-599'!15:15)</f>
        <v>2914.92</v>
      </c>
      <c r="BK16" s="231">
        <f>SUMIF('125-599'!$1:$1,BK$3,'125-599'!15:15)</f>
        <v>0</v>
      </c>
      <c r="BL16" s="231">
        <f>SUMIF('125-599'!$1:$1,BL$3,'125-599'!15:15)</f>
        <v>11788.47</v>
      </c>
      <c r="BM16" s="231">
        <f>SUMIF('125-599'!$1:$1,BM$3,'125-599'!15:15)</f>
        <v>10123.34</v>
      </c>
      <c r="BN16" s="231">
        <f>SUMIF('125-599'!$1:$1,BN$3,'125-599'!15:15)</f>
        <v>22513.9</v>
      </c>
      <c r="BO16" s="231">
        <f>SUMIF('125-599'!$1:$1,BO$3,'125-599'!15:15)</f>
        <v>11281.510000000002</v>
      </c>
      <c r="BP16" s="231">
        <f>SUMIF('125-599'!$1:$1,BP$3,'125-599'!15:15)</f>
        <v>0</v>
      </c>
      <c r="BQ16" s="231">
        <f>SUMIF('125-599'!$1:$1,BQ$3,'125-599'!15:15)</f>
        <v>0</v>
      </c>
      <c r="BR16" s="231">
        <f>SUMIF('125-599'!$1:$1,BR$3,'125-599'!15:15)</f>
        <v>0</v>
      </c>
      <c r="BS16" s="231">
        <f>SUMIF('125-599'!$1:$1,BS$3,'125-599'!15:15)</f>
        <v>39510.579999999987</v>
      </c>
      <c r="BT16" s="231">
        <f>SUMIF('125-599'!$1:$1,BT$3,'125-599'!15:15)</f>
        <v>1552.63</v>
      </c>
      <c r="BU16" s="231">
        <f>SUMIF('125-599'!$1:$1,BU$3,'125-599'!15:15)</f>
        <v>-4607.5</v>
      </c>
      <c r="BV16" s="231">
        <f>SUMIF('125-599'!$1:$1,BV$3,'125-599'!15:15)</f>
        <v>0</v>
      </c>
      <c r="BW16" s="231">
        <f>SUMIF('125-599'!$1:$1,BW$3,'125-599'!15:15)</f>
        <v>0</v>
      </c>
      <c r="BX16" s="231">
        <f>SUMIF('125-599'!$1:$1,BX$3,'125-599'!15:15)</f>
        <v>0</v>
      </c>
      <c r="BY16" s="231">
        <f>SUMIF('125-599'!$1:$1,BY$3,'125-599'!15:15)</f>
        <v>0</v>
      </c>
      <c r="BZ16" s="231">
        <f>SUMIF('125-599'!$1:$1,BZ$3,'125-599'!15:15)</f>
        <v>0</v>
      </c>
      <c r="CA16" s="316">
        <f>SUMIF('125-599'!$1:$1,CA$3,'125-599'!15:15)</f>
        <v>0</v>
      </c>
      <c r="CB16" s="249">
        <f>SUMIF('125-599'!$1:$1,CB$3,'125-599'!15:15)</f>
        <v>0</v>
      </c>
      <c r="CC16" s="249">
        <f>SUMIF('125-599'!$1:$1,CC$3,'125-599'!15:15)</f>
        <v>0</v>
      </c>
      <c r="CD16" s="249">
        <f>SUMIF('125-599'!$1:$1,CD$3,'125-599'!15:15)</f>
        <v>0</v>
      </c>
      <c r="CE16" s="249">
        <f>SUMIF('125-599'!$1:$1,CE$3,'125-599'!15:15)</f>
        <v>0</v>
      </c>
      <c r="CF16" s="249">
        <f>SUMIF('125-599'!$1:$1,CF$3,'125-599'!15:15)</f>
        <v>824.3</v>
      </c>
      <c r="CG16" s="262">
        <f t="shared" si="1"/>
        <v>-99877.64999999998</v>
      </c>
      <c r="CJ16" s="122"/>
      <c r="CK16" s="169">
        <f>INDEX(SAP!C:C,MATCH('Actuals mapped to CFR'!A16,SAP!H:H,FALSE),1)</f>
        <v>-99877.65</v>
      </c>
      <c r="CL16" s="59">
        <f>ROUND(CK16-CG16,2)</f>
        <v>0</v>
      </c>
      <c r="CN16" s="81">
        <f t="shared" si="2"/>
        <v>619772.15</v>
      </c>
      <c r="CO16" s="81">
        <f t="shared" si="3"/>
        <v>659564.87999999989</v>
      </c>
      <c r="CP16" s="166">
        <f>VLOOKUP(B16,'2526 GBP Data input'!$A$4:$CA$230,38,FALSE)</f>
        <v>574009</v>
      </c>
      <c r="CQ16" s="166">
        <f>VLOOKUP(B16,'2526 GBP Data input'!$A$4:$CA$230,73,FALSE)</f>
        <v>12207</v>
      </c>
      <c r="CR16" s="89">
        <f t="shared" si="8"/>
        <v>45763.150000000023</v>
      </c>
      <c r="CS16" s="83">
        <f t="shared" si="9"/>
        <v>54.031693290734815</v>
      </c>
      <c r="CT16" s="82">
        <f t="shared" si="5"/>
        <v>55788.030000000144</v>
      </c>
      <c r="CU16" s="82">
        <f t="shared" si="6"/>
        <v>4193.2699999999995</v>
      </c>
      <c r="CV16" s="86">
        <f t="shared" si="10"/>
        <v>59981.300000000141</v>
      </c>
    </row>
    <row r="17" spans="1:100" s="350" customFormat="1" ht="12.75" customHeight="1">
      <c r="A17" s="344">
        <v>107558</v>
      </c>
      <c r="B17" s="345">
        <v>558</v>
      </c>
      <c r="C17" s="346" t="s">
        <v>389</v>
      </c>
      <c r="D17" s="231">
        <f>SUMIF('125-599'!$1:$1,D$3,'125-599'!16:16)</f>
        <v>0</v>
      </c>
      <c r="E17" s="231">
        <f>SUMIF('125-599'!$1:$1,E$3,'125-599'!16:16)</f>
        <v>63979.91</v>
      </c>
      <c r="F17" s="231">
        <f>SUMIF('125-599'!$1:$1,F$3,'125-599'!16:16)</f>
        <v>0</v>
      </c>
      <c r="G17" s="231">
        <f>SUMIF('125-599'!$1:$1,G$3,'125-599'!16:16)</f>
        <v>-23399.9</v>
      </c>
      <c r="H17" s="231">
        <f>SUMIF('125-599'!$1:$1,H$3,'125-599'!16:16)</f>
        <v>0</v>
      </c>
      <c r="I17" s="231">
        <f>SUMIF('125-599'!$1:$1,I$3,'125-599'!16:16)</f>
        <v>0</v>
      </c>
      <c r="J17" s="231">
        <f>SUMIF('125-599'!$1:$1,J$3,'125-599'!16:16)</f>
        <v>0</v>
      </c>
      <c r="K17" s="347">
        <f>SUMIF('125-599'!$1:$1,K$3,'125-599'!16:16)</f>
        <v>-1133060.33</v>
      </c>
      <c r="L17" s="347">
        <f>SUMIF('125-599'!$1:$1,L$3,'125-599'!16:16)</f>
        <v>0</v>
      </c>
      <c r="M17" s="347">
        <f>SUMIF('125-599'!$1:$1,M$3,'125-599'!16:16)</f>
        <v>-74335</v>
      </c>
      <c r="N17" s="347">
        <f>SUMIF('125-599'!$1:$1,N$3,'125-599'!16:16)</f>
        <v>0</v>
      </c>
      <c r="O17" s="347">
        <f>SUMIF('125-599'!$1:$1,O$3,'125-599'!16:16)</f>
        <v>-51430</v>
      </c>
      <c r="P17" s="347">
        <f>SUMIF('125-599'!$1:$1,P$3,'125-599'!16:16)</f>
        <v>-60635</v>
      </c>
      <c r="Q17" s="347">
        <f>SUMIF('125-599'!$1:$1,Q$3,'125-599'!16:16)</f>
        <v>-450</v>
      </c>
      <c r="R17" s="347">
        <f>SUMIF('125-599'!$1:$1,R$3,'125-599'!16:16)</f>
        <v>0</v>
      </c>
      <c r="S17" s="347">
        <f>SUMIF('125-599'!$1:$1,S$3,'125-599'!16:16)</f>
        <v>-6973.77</v>
      </c>
      <c r="T17" s="347">
        <f>SUMIF('125-599'!$1:$1,T$3,'125-599'!16:16)</f>
        <v>-1123.5700000000002</v>
      </c>
      <c r="U17" s="347">
        <f>SUMIF('125-599'!$1:$1,U$3,'125-599'!16:16)</f>
        <v>-553</v>
      </c>
      <c r="V17" s="347">
        <f>SUMIF('125-599'!$1:$1,V$3,'125-599'!16:16)</f>
        <v>0</v>
      </c>
      <c r="W17" s="347">
        <f>SUMIF('125-599'!$1:$1,W$3,'125-599'!16:16)</f>
        <v>-28497.009999999991</v>
      </c>
      <c r="X17" s="347">
        <f>SUMIF('125-599'!$1:$1,X$3,'125-599'!16:16)</f>
        <v>-1636.18</v>
      </c>
      <c r="Y17" s="347">
        <f>SUMIF('125-599'!$1:$1,Y$3,'125-599'!16:16)</f>
        <v>0</v>
      </c>
      <c r="Z17" s="347">
        <f>SUMIF('125-599'!$1:$1,Z$3,'125-599'!16:16)</f>
        <v>0</v>
      </c>
      <c r="AA17" s="347">
        <f>SUMIF('125-599'!$1:$1,AA$3,'125-599'!16:16)</f>
        <v>0</v>
      </c>
      <c r="AB17" s="347">
        <f>SUMIF('125-599'!$1:$1,AB$3,'125-599'!16:16)</f>
        <v>0</v>
      </c>
      <c r="AC17" s="312">
        <f>SUMIF('125-599'!$1:$1,AC$3,'125-599'!16:16)</f>
        <v>0</v>
      </c>
      <c r="AD17" s="312">
        <f>SUMIF('125-599'!$1:$1,AD$3,'125-599'!16:16)</f>
        <v>0</v>
      </c>
      <c r="AE17" s="312">
        <f>SUMIF('125-599'!$1:$1,AE$3,'125-599'!16:16)</f>
        <v>0</v>
      </c>
      <c r="AF17" s="312">
        <f>SUMIF('125-599'!$1:$1,AF$3,'125-599'!16:16)</f>
        <v>0</v>
      </c>
      <c r="AG17" s="347">
        <f>SUMIF('125-599'!$1:$1,AG$3,'125-599'!16:16)</f>
        <v>589544.27999999991</v>
      </c>
      <c r="AH17" s="347">
        <f>SUMIF('125-599'!$1:$1,AH$3,'125-599'!16:16)</f>
        <v>8462.61</v>
      </c>
      <c r="AI17" s="347">
        <f>SUMIF('125-599'!$1:$1,AI$3,'125-599'!16:16)</f>
        <v>308570.77</v>
      </c>
      <c r="AJ17" s="347">
        <f>SUMIF('125-599'!$1:$1,AJ$3,'125-599'!16:16)</f>
        <v>35243.659999999996</v>
      </c>
      <c r="AK17" s="347">
        <f>SUMIF('125-599'!$1:$1,AK$3,'125-599'!16:16)</f>
        <v>75601.38</v>
      </c>
      <c r="AL17" s="347">
        <f>SUMIF('125-599'!$1:$1,AL$3,'125-599'!16:16)</f>
        <v>0</v>
      </c>
      <c r="AM17" s="347">
        <f>SUMIF('125-599'!$1:$1,AM$3,'125-599'!16:16)</f>
        <v>31601.47</v>
      </c>
      <c r="AN17" s="347">
        <f>SUMIF('125-599'!$1:$1,AN$3,'125-599'!16:16)</f>
        <v>4341.9799999999996</v>
      </c>
      <c r="AO17" s="347">
        <f>SUMIF('125-599'!$1:$1,AO$3,'125-599'!16:16)</f>
        <v>7718.59</v>
      </c>
      <c r="AP17" s="347">
        <f>SUMIF('125-599'!$1:$1,AP$3,'125-599'!16:16)</f>
        <v>475.8</v>
      </c>
      <c r="AQ17" s="347">
        <f>SUMIF('125-599'!$1:$1,AQ$3,'125-599'!16:16)</f>
        <v>0</v>
      </c>
      <c r="AR17" s="347">
        <f>SUMIF('125-599'!$1:$1,AR$3,'125-599'!16:16)</f>
        <v>8085.3200000000006</v>
      </c>
      <c r="AS17" s="347">
        <f>SUMIF('125-599'!$1:$1,AS$3,'125-599'!16:16)</f>
        <v>3818.7699999999995</v>
      </c>
      <c r="AT17" s="347">
        <f>SUMIF('125-599'!$1:$1,AT$3,'125-599'!16:16)</f>
        <v>2308.9</v>
      </c>
      <c r="AU17" s="347">
        <f>SUMIF('125-599'!$1:$1,AU$3,'125-599'!16:16)</f>
        <v>4682.4500000000007</v>
      </c>
      <c r="AV17" s="347">
        <f>SUMIF('125-599'!$1:$1,AV$3,'125-599'!16:16)</f>
        <v>24949.31</v>
      </c>
      <c r="AW17" s="347">
        <f>SUMIF('125-599'!$1:$1,AW$3,'125-599'!16:16)</f>
        <v>18213.5</v>
      </c>
      <c r="AX17" s="347">
        <f>SUMIF('125-599'!$1:$1,AX$3,'125-599'!16:16)</f>
        <v>6860.49</v>
      </c>
      <c r="AY17" s="347">
        <f>SUMIF('125-599'!$1:$1,AY$3,'125-599'!16:16)</f>
        <v>90231.739999999991</v>
      </c>
      <c r="AZ17" s="347">
        <f>SUMIF('125-599'!$1:$1,AZ$3,'125-599'!16:16)</f>
        <v>0</v>
      </c>
      <c r="BA17" s="347">
        <f>SUMIF('125-599'!$1:$1,BA$3,'125-599'!16:16)</f>
        <v>4690.91</v>
      </c>
      <c r="BB17" s="347">
        <f>SUMIF('125-599'!$1:$1,BB$3,'125-599'!16:16)</f>
        <v>2106.9599999999996</v>
      </c>
      <c r="BC17" s="347">
        <f>SUMIF('125-599'!$1:$1,BC$3,'125-599'!16:16)</f>
        <v>463.56</v>
      </c>
      <c r="BD17" s="347">
        <f>SUMIF('125-599'!$1:$1,BD$3,'125-599'!16:16)</f>
        <v>4450.9799999999996</v>
      </c>
      <c r="BE17" s="347">
        <f>SUMIF('125-599'!$1:$1,BE$3,'125-599'!16:16)</f>
        <v>5920.26</v>
      </c>
      <c r="BF17" s="347">
        <f>SUMIF('125-599'!$1:$1,BF$3,'125-599'!16:16)</f>
        <v>886.49999999999989</v>
      </c>
      <c r="BG17" s="347">
        <f>SUMIF('125-599'!$1:$1,BG$3,'125-599'!16:16)</f>
        <v>6672</v>
      </c>
      <c r="BH17" s="347">
        <f>SUMIF('125-599'!$1:$1,BH$3,'125-599'!16:16)</f>
        <v>0</v>
      </c>
      <c r="BI17" s="347">
        <f>SUMIF('125-599'!$1:$1,BI$3,'125-599'!16:16)</f>
        <v>2605.3000000000002</v>
      </c>
      <c r="BJ17" s="347">
        <f>SUMIF('125-599'!$1:$1,BJ$3,'125-599'!16:16)</f>
        <v>8420.880000000001</v>
      </c>
      <c r="BK17" s="347">
        <f>SUMIF('125-599'!$1:$1,BK$3,'125-599'!16:16)</f>
        <v>0</v>
      </c>
      <c r="BL17" s="347">
        <f>SUMIF('125-599'!$1:$1,BL$3,'125-599'!16:16)</f>
        <v>45068.25</v>
      </c>
      <c r="BM17" s="347">
        <f>SUMIF('125-599'!$1:$1,BM$3,'125-599'!16:16)</f>
        <v>17257</v>
      </c>
      <c r="BN17" s="347">
        <f>SUMIF('125-599'!$1:$1,BN$3,'125-599'!16:16)</f>
        <v>2166.75</v>
      </c>
      <c r="BO17" s="347">
        <f>SUMIF('125-599'!$1:$1,BO$3,'125-599'!16:16)</f>
        <v>23531.960000000006</v>
      </c>
      <c r="BP17" s="347">
        <f>SUMIF('125-599'!$1:$1,BP$3,'125-599'!16:16)</f>
        <v>0</v>
      </c>
      <c r="BQ17" s="347">
        <f>SUMIF('125-599'!$1:$1,BQ$3,'125-599'!16:16)</f>
        <v>0</v>
      </c>
      <c r="BR17" s="347">
        <f>SUMIF('125-599'!$1:$1,BR$3,'125-599'!16:16)</f>
        <v>0</v>
      </c>
      <c r="BS17" s="347">
        <f>SUMIF('125-599'!$1:$1,BS$3,'125-599'!16:16)</f>
        <v>0</v>
      </c>
      <c r="BT17" s="347">
        <f>SUMIF('125-599'!$1:$1,BT$3,'125-599'!16:16)</f>
        <v>0</v>
      </c>
      <c r="BU17" s="347">
        <f>SUMIF('125-599'!$1:$1,BU$3,'125-599'!16:16)</f>
        <v>-9890</v>
      </c>
      <c r="BV17" s="347">
        <f>SUMIF('125-599'!$1:$1,BV$3,'125-599'!16:16)</f>
        <v>0</v>
      </c>
      <c r="BW17" s="347">
        <f>SUMIF('125-599'!$1:$1,BW$3,'125-599'!16:16)</f>
        <v>0</v>
      </c>
      <c r="BX17" s="347">
        <f>SUMIF('125-599'!$1:$1,BX$3,'125-599'!16:16)</f>
        <v>0</v>
      </c>
      <c r="BY17" s="347">
        <f>SUMIF('125-599'!$1:$1,BY$3,'125-599'!16:16)</f>
        <v>17341.41</v>
      </c>
      <c r="BZ17" s="347">
        <f>SUMIF('125-599'!$1:$1,BZ$3,'125-599'!16:16)</f>
        <v>0</v>
      </c>
      <c r="CA17" s="348">
        <f>SUMIF('125-599'!$1:$1,CA$3,'125-599'!16:16)</f>
        <v>0</v>
      </c>
      <c r="CB17" s="348">
        <f>SUMIF('125-599'!$1:$1,CB$3,'125-599'!16:16)</f>
        <v>0</v>
      </c>
      <c r="CC17" s="348">
        <f>SUMIF('125-599'!$1:$1,CC$3,'125-599'!16:16)</f>
        <v>0</v>
      </c>
      <c r="CD17" s="348">
        <f>SUMIF('125-599'!$1:$1,CD$3,'125-599'!16:16)</f>
        <v>0</v>
      </c>
      <c r="CE17" s="348">
        <f>SUMIF('125-599'!$1:$1,CE$3,'125-599'!16:16)</f>
        <v>879</v>
      </c>
      <c r="CF17" s="348">
        <f>SUMIF('125-599'!$1:$1,CF$3,'125-599'!16:16)</f>
        <v>0</v>
      </c>
      <c r="CG17" s="349">
        <f t="shared" si="1"/>
        <v>35168.889999999796</v>
      </c>
      <c r="CJ17" s="351"/>
      <c r="CK17" s="352">
        <f>INDEX(SAP!C:C,MATCH('Actuals mapped to CFR'!A17,SAP!H:H,FALSE),1)</f>
        <v>35168.89</v>
      </c>
      <c r="CL17" s="353">
        <f t="shared" si="7"/>
        <v>0</v>
      </c>
      <c r="CN17" s="354">
        <f t="shared" si="2"/>
        <v>1358693.86</v>
      </c>
      <c r="CO17" s="354">
        <f t="shared" si="3"/>
        <v>1344952.3299999998</v>
      </c>
      <c r="CP17" s="355">
        <f>VLOOKUP(B17,'2526 GBP Data input'!$A$4:$CA$230,38,FALSE)</f>
        <v>1297952</v>
      </c>
      <c r="CQ17" s="355">
        <f>VLOOKUP(B17,'2526 GBP Data input'!$A$4:$CA$230,73,FALSE)</f>
        <v>21909</v>
      </c>
      <c r="CR17" s="356">
        <f t="shared" si="8"/>
        <v>60741.860000000102</v>
      </c>
      <c r="CS17" s="357">
        <f t="shared" si="9"/>
        <v>61.388120407138615</v>
      </c>
      <c r="CT17" s="358">
        <f t="shared" si="5"/>
        <v>13741.530000000261</v>
      </c>
      <c r="CU17" s="358">
        <f t="shared" si="6"/>
        <v>15948.490000000002</v>
      </c>
      <c r="CV17" s="359">
        <f t="shared" si="10"/>
        <v>29690.020000000262</v>
      </c>
    </row>
    <row r="18" spans="1:100" ht="12.75" customHeight="1">
      <c r="A18" s="238">
        <v>107559</v>
      </c>
      <c r="B18" s="60">
        <v>559</v>
      </c>
      <c r="C18" s="60" t="s">
        <v>390</v>
      </c>
      <c r="D18" s="231">
        <f>SUMIF('125-599'!$1:$1,D$3,'125-599'!17:17)</f>
        <v>-213688.23</v>
      </c>
      <c r="E18" s="231">
        <f>SUMIF('125-599'!$1:$1,E$3,'125-599'!17:17)</f>
        <v>-8106</v>
      </c>
      <c r="F18" s="231">
        <f>SUMIF('125-599'!$1:$1,F$3,'125-599'!17:17)</f>
        <v>0</v>
      </c>
      <c r="G18" s="231">
        <f>SUMIF('125-599'!$1:$1,G$3,'125-599'!17:17)</f>
        <v>-19276.310000000001</v>
      </c>
      <c r="H18" s="231">
        <f>SUMIF('125-599'!$1:$1,H$3,'125-599'!17:17)</f>
        <v>0</v>
      </c>
      <c r="I18" s="231">
        <f>SUMIF('125-599'!$1:$1,I$3,'125-599'!17:17)</f>
        <v>0</v>
      </c>
      <c r="J18" s="231">
        <f>SUMIF('125-599'!$1:$1,J$3,'125-599'!17:17)</f>
        <v>0</v>
      </c>
      <c r="K18" s="231">
        <f>SUMIF('125-599'!$1:$1,K$3,'125-599'!17:17)</f>
        <v>-589834.43999999994</v>
      </c>
      <c r="L18" s="231">
        <f>SUMIF('125-599'!$1:$1,L$3,'125-599'!17:17)</f>
        <v>0</v>
      </c>
      <c r="M18" s="231">
        <f>SUMIF('125-599'!$1:$1,M$3,'125-599'!17:17)</f>
        <v>0</v>
      </c>
      <c r="N18" s="231">
        <f>SUMIF('125-599'!$1:$1,N$3,'125-599'!17:17)</f>
        <v>0</v>
      </c>
      <c r="O18" s="231">
        <f>SUMIF('125-599'!$1:$1,O$3,'125-599'!17:17)</f>
        <v>-8275</v>
      </c>
      <c r="P18" s="231">
        <f>SUMIF('125-599'!$1:$1,P$3,'125-599'!17:17)</f>
        <v>-39348</v>
      </c>
      <c r="Q18" s="231">
        <f>SUMIF('125-599'!$1:$1,Q$3,'125-599'!17:17)</f>
        <v>0</v>
      </c>
      <c r="R18" s="231">
        <f>SUMIF('125-599'!$1:$1,R$3,'125-599'!17:17)</f>
        <v>0</v>
      </c>
      <c r="S18" s="231">
        <f>SUMIF('125-599'!$1:$1,S$3,'125-599'!17:17)</f>
        <v>-29079.699999999997</v>
      </c>
      <c r="T18" s="231">
        <f>SUMIF('125-599'!$1:$1,T$3,'125-599'!17:17)</f>
        <v>0</v>
      </c>
      <c r="U18" s="231">
        <f>SUMIF('125-599'!$1:$1,U$3,'125-599'!17:17)</f>
        <v>0</v>
      </c>
      <c r="V18" s="231">
        <f>SUMIF('125-599'!$1:$1,V$3,'125-599'!17:17)</f>
        <v>0</v>
      </c>
      <c r="W18" s="231">
        <f>SUMIF('125-599'!$1:$1,W$3,'125-599'!17:17)</f>
        <v>-9060.399999999996</v>
      </c>
      <c r="X18" s="231">
        <f>SUMIF('125-599'!$1:$1,X$3,'125-599'!17:17)</f>
        <v>-13061.35</v>
      </c>
      <c r="Y18" s="277">
        <f>SUMIF('125-599'!$1:$1,Y$3,'125-599'!17:17)</f>
        <v>0</v>
      </c>
      <c r="Z18" s="231">
        <f>SUMIF('125-599'!$1:$1,Z$3,'125-599'!17:17)</f>
        <v>0</v>
      </c>
      <c r="AA18" s="231">
        <f>SUMIF('125-599'!$1:$1,AA$3,'125-599'!17:17)</f>
        <v>0</v>
      </c>
      <c r="AB18" s="231">
        <f>SUMIF('125-599'!$1:$1,AB$3,'125-599'!17:17)</f>
        <v>0</v>
      </c>
      <c r="AC18" s="312">
        <f>SUMIF('125-599'!$1:$1,AC$3,'125-599'!17:17)</f>
        <v>0</v>
      </c>
      <c r="AD18" s="312">
        <f>SUMIF('125-599'!$1:$1,AD$3,'125-599'!17:17)</f>
        <v>0</v>
      </c>
      <c r="AE18" s="312">
        <f>SUMIF('125-599'!$1:$1,AE$3,'125-599'!17:17)</f>
        <v>0</v>
      </c>
      <c r="AF18" s="312">
        <f>SUMIF('125-599'!$1:$1,AF$3,'125-599'!17:17)</f>
        <v>0</v>
      </c>
      <c r="AG18" s="231">
        <f>SUMIF('125-599'!$1:$1,AG$3,'125-599'!17:17)</f>
        <v>375756.85000000003</v>
      </c>
      <c r="AH18" s="231">
        <f>SUMIF('125-599'!$1:$1,AH$3,'125-599'!17:17)</f>
        <v>5197.03</v>
      </c>
      <c r="AI18" s="231">
        <f>SUMIF('125-599'!$1:$1,AI$3,'125-599'!17:17)</f>
        <v>94573.89</v>
      </c>
      <c r="AJ18" s="231">
        <f>SUMIF('125-599'!$1:$1,AJ$3,'125-599'!17:17)</f>
        <v>11568.250000000002</v>
      </c>
      <c r="AK18" s="231">
        <f>SUMIF('125-599'!$1:$1,AK$3,'125-599'!17:17)</f>
        <v>31121.28000000001</v>
      </c>
      <c r="AL18" s="231">
        <f>SUMIF('125-599'!$1:$1,AL$3,'125-599'!17:17)</f>
        <v>0</v>
      </c>
      <c r="AM18" s="231">
        <f>SUMIF('125-599'!$1:$1,AM$3,'125-599'!17:17)</f>
        <v>16248.949999999999</v>
      </c>
      <c r="AN18" s="231">
        <f>SUMIF('125-599'!$1:$1,AN$3,'125-599'!17:17)</f>
        <v>1904</v>
      </c>
      <c r="AO18" s="231">
        <f>SUMIF('125-599'!$1:$1,AO$3,'125-599'!17:17)</f>
        <v>1458</v>
      </c>
      <c r="AP18" s="231">
        <f>SUMIF('125-599'!$1:$1,AP$3,'125-599'!17:17)</f>
        <v>250.1</v>
      </c>
      <c r="AQ18" s="231">
        <f>SUMIF('125-599'!$1:$1,AQ$3,'125-599'!17:17)</f>
        <v>0</v>
      </c>
      <c r="AR18" s="231">
        <f>SUMIF('125-599'!$1:$1,AR$3,'125-599'!17:17)</f>
        <v>8939.4100000000017</v>
      </c>
      <c r="AS18" s="231">
        <f>SUMIF('125-599'!$1:$1,AS$3,'125-599'!17:17)</f>
        <v>4352.9200000000019</v>
      </c>
      <c r="AT18" s="231">
        <f>SUMIF('125-599'!$1:$1,AT$3,'125-599'!17:17)</f>
        <v>2407.6599999999994</v>
      </c>
      <c r="AU18" s="231">
        <f>SUMIF('125-599'!$1:$1,AU$3,'125-599'!17:17)</f>
        <v>3906.5299999999997</v>
      </c>
      <c r="AV18" s="231">
        <f>SUMIF('125-599'!$1:$1,AV$3,'125-599'!17:17)</f>
        <v>9346.5999999999985</v>
      </c>
      <c r="AW18" s="231">
        <f>SUMIF('125-599'!$1:$1,AW$3,'125-599'!17:17)</f>
        <v>9730.5</v>
      </c>
      <c r="AX18" s="231">
        <f>SUMIF('125-599'!$1:$1,AX$3,'125-599'!17:17)</f>
        <v>3157.6399999999994</v>
      </c>
      <c r="AY18" s="231">
        <f>SUMIF('125-599'!$1:$1,AY$3,'125-599'!17:17)</f>
        <v>27905.919999999998</v>
      </c>
      <c r="AZ18" s="312">
        <f>SUMIF('125-599'!$1:$1,AZ$3,'125-599'!17:17)</f>
        <v>0</v>
      </c>
      <c r="BA18" s="231">
        <f>SUMIF('125-599'!$1:$1,BA$3,'125-599'!17:17)</f>
        <v>1194.4000000000001</v>
      </c>
      <c r="BB18" s="231">
        <f>SUMIF('125-599'!$1:$1,BB$3,'125-599'!17:17)</f>
        <v>0</v>
      </c>
      <c r="BC18" s="231">
        <f>SUMIF('125-599'!$1:$1,BC$3,'125-599'!17:17)</f>
        <v>670</v>
      </c>
      <c r="BD18" s="231">
        <f>SUMIF('125-599'!$1:$1,BD$3,'125-599'!17:17)</f>
        <v>4068.5600000000004</v>
      </c>
      <c r="BE18" s="231">
        <f>SUMIF('125-599'!$1:$1,BE$3,'125-599'!17:17)</f>
        <v>0</v>
      </c>
      <c r="BF18" s="231">
        <f>SUMIF('125-599'!$1:$1,BF$3,'125-599'!17:17)</f>
        <v>0</v>
      </c>
      <c r="BG18" s="231">
        <f>SUMIF('125-599'!$1:$1,BG$3,'125-599'!17:17)</f>
        <v>4324.9500000000007</v>
      </c>
      <c r="BH18" s="231">
        <f>SUMIF('125-599'!$1:$1,BH$3,'125-599'!17:17)</f>
        <v>0</v>
      </c>
      <c r="BI18" s="231">
        <f>SUMIF('125-599'!$1:$1,BI$3,'125-599'!17:17)</f>
        <v>995.18</v>
      </c>
      <c r="BJ18" s="231">
        <f>SUMIF('125-599'!$1:$1,BJ$3,'125-599'!17:17)</f>
        <v>4426.3600000000006</v>
      </c>
      <c r="BK18" s="231">
        <f>SUMIF('125-599'!$1:$1,BK$3,'125-599'!17:17)</f>
        <v>0</v>
      </c>
      <c r="BL18" s="231">
        <f>SUMIF('125-599'!$1:$1,BL$3,'125-599'!17:17)</f>
        <v>25166.03</v>
      </c>
      <c r="BM18" s="231">
        <f>SUMIF('125-599'!$1:$1,BM$3,'125-599'!17:17)</f>
        <v>0</v>
      </c>
      <c r="BN18" s="231">
        <f>SUMIF('125-599'!$1:$1,BN$3,'125-599'!17:17)</f>
        <v>19204</v>
      </c>
      <c r="BO18" s="231">
        <f>SUMIF('125-599'!$1:$1,BO$3,'125-599'!17:17)</f>
        <v>21870.129999999997</v>
      </c>
      <c r="BP18" s="231">
        <f>SUMIF('125-599'!$1:$1,BP$3,'125-599'!17:17)</f>
        <v>0</v>
      </c>
      <c r="BQ18" s="231">
        <f>SUMIF('125-599'!$1:$1,BQ$3,'125-599'!17:17)</f>
        <v>0</v>
      </c>
      <c r="BR18" s="231">
        <f>SUMIF('125-599'!$1:$1,BR$3,'125-599'!17:17)</f>
        <v>0</v>
      </c>
      <c r="BS18" s="231">
        <f>SUMIF('125-599'!$1:$1,BS$3,'125-599'!17:17)</f>
        <v>0</v>
      </c>
      <c r="BT18" s="231">
        <f>SUMIF('125-599'!$1:$1,BT$3,'125-599'!17:17)</f>
        <v>0</v>
      </c>
      <c r="BU18" s="231">
        <f>SUMIF('125-599'!$1:$1,BU$3,'125-599'!17:17)</f>
        <v>-4900</v>
      </c>
      <c r="BV18" s="231">
        <f>SUMIF('125-599'!$1:$1,BV$3,'125-599'!17:17)</f>
        <v>0</v>
      </c>
      <c r="BW18" s="231">
        <f>SUMIF('125-599'!$1:$1,BW$3,'125-599'!17:17)</f>
        <v>0</v>
      </c>
      <c r="BX18" s="231">
        <f>SUMIF('125-599'!$1:$1,BX$3,'125-599'!17:17)</f>
        <v>0</v>
      </c>
      <c r="BY18" s="231">
        <f>SUMIF('125-599'!$1:$1,BY$3,'125-599'!17:17)</f>
        <v>9641.369999999999</v>
      </c>
      <c r="BZ18" s="231">
        <f>SUMIF('125-599'!$1:$1,BZ$3,'125-599'!17:17)</f>
        <v>0</v>
      </c>
      <c r="CA18" s="316">
        <f>SUMIF('125-599'!$1:$1,CA$3,'125-599'!17:17)</f>
        <v>0</v>
      </c>
      <c r="CB18" s="249">
        <f>SUMIF('125-599'!$1:$1,CB$3,'125-599'!17:17)</f>
        <v>0</v>
      </c>
      <c r="CC18" s="249">
        <f>SUMIF('125-599'!$1:$1,CC$3,'125-599'!17:17)</f>
        <v>0</v>
      </c>
      <c r="CD18" s="249">
        <f>SUMIF('125-599'!$1:$1,CD$3,'125-599'!17:17)</f>
        <v>1045</v>
      </c>
      <c r="CE18" s="249">
        <f>SUMIF('125-599'!$1:$1,CE$3,'125-599'!17:17)</f>
        <v>1722.1</v>
      </c>
      <c r="CF18" s="249">
        <f>SUMIF('125-599'!$1:$1,CF$3,'125-599'!17:17)</f>
        <v>0</v>
      </c>
      <c r="CG18" s="262">
        <f t="shared" si="1"/>
        <v>-232475.8199999998</v>
      </c>
      <c r="CJ18" s="122"/>
      <c r="CK18" s="169">
        <f>INDEX(SAP!C:C,MATCH('Actuals mapped to CFR'!A18,SAP!H:H,FALSE),1)</f>
        <v>-232475.82</v>
      </c>
      <c r="CL18" s="59">
        <f t="shared" si="7"/>
        <v>0</v>
      </c>
      <c r="CN18" s="81">
        <f t="shared" si="2"/>
        <v>688658.8899999999</v>
      </c>
      <c r="CO18" s="81">
        <f t="shared" si="3"/>
        <v>689745.14000000036</v>
      </c>
      <c r="CP18" s="166">
        <f>VLOOKUP(B18,'2526 GBP Data input'!$A$4:$CA$230,38,FALSE)</f>
        <v>638446</v>
      </c>
      <c r="CQ18" s="166">
        <f>VLOOKUP(B18,'2526 GBP Data input'!$A$4:$CA$230,73,FALSE)</f>
        <v>11700</v>
      </c>
      <c r="CR18" s="89">
        <f t="shared" si="8"/>
        <v>50212.889999999898</v>
      </c>
      <c r="CS18" s="83">
        <f t="shared" si="9"/>
        <v>58.952576068376096</v>
      </c>
      <c r="CT18" s="82">
        <f t="shared" si="5"/>
        <v>212601.97999999952</v>
      </c>
      <c r="CU18" s="82">
        <f t="shared" si="6"/>
        <v>14534.940000000002</v>
      </c>
      <c r="CV18" s="86">
        <f t="shared" si="10"/>
        <v>227136.91999999952</v>
      </c>
    </row>
    <row r="19" spans="1:100" ht="12.75" customHeight="1">
      <c r="A19" s="238">
        <v>107567</v>
      </c>
      <c r="B19" s="60">
        <v>567</v>
      </c>
      <c r="C19" s="60" t="s">
        <v>391</v>
      </c>
      <c r="D19" s="231">
        <f>SUMIF('125-599'!$1:$1,D$3,'125-599'!18:18)</f>
        <v>0</v>
      </c>
      <c r="E19" s="231">
        <f>SUMIF('125-599'!$1:$1,E$3,'125-599'!18:18)</f>
        <v>-3009.95</v>
      </c>
      <c r="F19" s="231">
        <f>SUMIF('125-599'!$1:$1,F$3,'125-599'!18:18)</f>
        <v>29664.98</v>
      </c>
      <c r="G19" s="231">
        <f>SUMIF('125-599'!$1:$1,G$3,'125-599'!18:18)</f>
        <v>0</v>
      </c>
      <c r="H19" s="231">
        <f>SUMIF('125-599'!$1:$1,H$3,'125-599'!18:18)</f>
        <v>0</v>
      </c>
      <c r="I19" s="231">
        <f>SUMIF('125-599'!$1:$1,I$3,'125-599'!18:18)</f>
        <v>0</v>
      </c>
      <c r="J19" s="231">
        <f>SUMIF('125-599'!$1:$1,J$3,'125-599'!18:18)</f>
        <v>-23986.05</v>
      </c>
      <c r="K19" s="231">
        <f>SUMIF('125-599'!$1:$1,K$3,'125-599'!18:18)</f>
        <v>-627682.72</v>
      </c>
      <c r="L19" s="231">
        <f>SUMIF('125-599'!$1:$1,L$3,'125-599'!18:18)</f>
        <v>0</v>
      </c>
      <c r="M19" s="231">
        <f>SUMIF('125-599'!$1:$1,M$3,'125-599'!18:18)</f>
        <v>-57482</v>
      </c>
      <c r="N19" s="231">
        <f>SUMIF('125-599'!$1:$1,N$3,'125-599'!18:18)</f>
        <v>0</v>
      </c>
      <c r="O19" s="231">
        <f>SUMIF('125-599'!$1:$1,O$3,'125-599'!18:18)</f>
        <v>-26455</v>
      </c>
      <c r="P19" s="231">
        <f>SUMIF('125-599'!$1:$1,P$3,'125-599'!18:18)</f>
        <v>-34547.64</v>
      </c>
      <c r="Q19" s="231">
        <f>SUMIF('125-599'!$1:$1,Q$3,'125-599'!18:18)</f>
        <v>-450</v>
      </c>
      <c r="R19" s="231">
        <f>SUMIF('125-599'!$1:$1,R$3,'125-599'!18:18)</f>
        <v>-4997</v>
      </c>
      <c r="S19" s="231">
        <f>SUMIF('125-599'!$1:$1,S$3,'125-599'!18:18)</f>
        <v>-20388.399999999998</v>
      </c>
      <c r="T19" s="231">
        <f>SUMIF('125-599'!$1:$1,T$3,'125-599'!18:18)</f>
        <v>-11732.490000000003</v>
      </c>
      <c r="U19" s="231">
        <f>SUMIF('125-599'!$1:$1,U$3,'125-599'!18:18)</f>
        <v>-650</v>
      </c>
      <c r="V19" s="231">
        <f>SUMIF('125-599'!$1:$1,V$3,'125-599'!18:18)</f>
        <v>0</v>
      </c>
      <c r="W19" s="231">
        <f>SUMIF('125-599'!$1:$1,W$3,'125-599'!18:18)</f>
        <v>-9275.1299999999956</v>
      </c>
      <c r="X19" s="231">
        <f>SUMIF('125-599'!$1:$1,X$3,'125-599'!18:18)</f>
        <v>-1329</v>
      </c>
      <c r="Y19" s="277">
        <f>SUMIF('125-599'!$1:$1,Y$3,'125-599'!18:18)</f>
        <v>0</v>
      </c>
      <c r="Z19" s="231">
        <f>SUMIF('125-599'!$1:$1,Z$3,'125-599'!18:18)</f>
        <v>0</v>
      </c>
      <c r="AA19" s="231">
        <f>SUMIF('125-599'!$1:$1,AA$3,'125-599'!18:18)</f>
        <v>-54145.130000000005</v>
      </c>
      <c r="AB19" s="231">
        <f>SUMIF('125-599'!$1:$1,AB$3,'125-599'!18:18)</f>
        <v>-3884.4699999999989</v>
      </c>
      <c r="AC19" s="312">
        <f>SUMIF('125-599'!$1:$1,AC$3,'125-599'!18:18)</f>
        <v>0</v>
      </c>
      <c r="AD19" s="312">
        <f>SUMIF('125-599'!$1:$1,AD$3,'125-599'!18:18)</f>
        <v>0</v>
      </c>
      <c r="AE19" s="312">
        <f>SUMIF('125-599'!$1:$1,AE$3,'125-599'!18:18)</f>
        <v>0</v>
      </c>
      <c r="AF19" s="312">
        <f>SUMIF('125-599'!$1:$1,AF$3,'125-599'!18:18)</f>
        <v>0</v>
      </c>
      <c r="AG19" s="231">
        <f>SUMIF('125-599'!$1:$1,AG$3,'125-599'!18:18)</f>
        <v>344050.60000000003</v>
      </c>
      <c r="AH19" s="231">
        <f>SUMIF('125-599'!$1:$1,AH$3,'125-599'!18:18)</f>
        <v>3409.9199999999996</v>
      </c>
      <c r="AI19" s="231">
        <f>SUMIF('125-599'!$1:$1,AI$3,'125-599'!18:18)</f>
        <v>160511.56</v>
      </c>
      <c r="AJ19" s="231">
        <f>SUMIF('125-599'!$1:$1,AJ$3,'125-599'!18:18)</f>
        <v>0</v>
      </c>
      <c r="AK19" s="231">
        <f>SUMIF('125-599'!$1:$1,AK$3,'125-599'!18:18)</f>
        <v>39374.29</v>
      </c>
      <c r="AL19" s="231">
        <f>SUMIF('125-599'!$1:$1,AL$3,'125-599'!18:18)</f>
        <v>0</v>
      </c>
      <c r="AM19" s="231">
        <f>SUMIF('125-599'!$1:$1,AM$3,'125-599'!18:18)</f>
        <v>15509.249999999998</v>
      </c>
      <c r="AN19" s="231">
        <f>SUMIF('125-599'!$1:$1,AN$3,'125-599'!18:18)</f>
        <v>209.69000000000003</v>
      </c>
      <c r="AO19" s="231">
        <f>SUMIF('125-599'!$1:$1,AO$3,'125-599'!18:18)</f>
        <v>2973.96</v>
      </c>
      <c r="AP19" s="231">
        <f>SUMIF('125-599'!$1:$1,AP$3,'125-599'!18:18)</f>
        <v>2109.98</v>
      </c>
      <c r="AQ19" s="231">
        <f>SUMIF('125-599'!$1:$1,AQ$3,'125-599'!18:18)</f>
        <v>0</v>
      </c>
      <c r="AR19" s="231">
        <f>SUMIF('125-599'!$1:$1,AR$3,'125-599'!18:18)</f>
        <v>3581.36</v>
      </c>
      <c r="AS19" s="231">
        <f>SUMIF('125-599'!$1:$1,AS$3,'125-599'!18:18)</f>
        <v>5305.2</v>
      </c>
      <c r="AT19" s="231">
        <f>SUMIF('125-599'!$1:$1,AT$3,'125-599'!18:18)</f>
        <v>15126.939999999999</v>
      </c>
      <c r="AU19" s="231">
        <f>SUMIF('125-599'!$1:$1,AU$3,'125-599'!18:18)</f>
        <v>1821.54</v>
      </c>
      <c r="AV19" s="231">
        <f>SUMIF('125-599'!$1:$1,AV$3,'125-599'!18:18)</f>
        <v>11624</v>
      </c>
      <c r="AW19" s="231">
        <f>SUMIF('125-599'!$1:$1,AW$3,'125-599'!18:18)</f>
        <v>2894.2</v>
      </c>
      <c r="AX19" s="231">
        <f>SUMIF('125-599'!$1:$1,AX$3,'125-599'!18:18)</f>
        <v>2278.3200000000002</v>
      </c>
      <c r="AY19" s="231">
        <f>SUMIF('125-599'!$1:$1,AY$3,'125-599'!18:18)</f>
        <v>40129.380000000005</v>
      </c>
      <c r="AZ19" s="312">
        <f>SUMIF('125-599'!$1:$1,AZ$3,'125-599'!18:18)</f>
        <v>0</v>
      </c>
      <c r="BA19" s="231">
        <f>SUMIF('125-599'!$1:$1,BA$3,'125-599'!18:18)</f>
        <v>2550</v>
      </c>
      <c r="BB19" s="231">
        <f>SUMIF('125-599'!$1:$1,BB$3,'125-599'!18:18)</f>
        <v>0</v>
      </c>
      <c r="BC19" s="231">
        <f>SUMIF('125-599'!$1:$1,BC$3,'125-599'!18:18)</f>
        <v>85</v>
      </c>
      <c r="BD19" s="231">
        <f>SUMIF('125-599'!$1:$1,BD$3,'125-599'!18:18)</f>
        <v>0</v>
      </c>
      <c r="BE19" s="231">
        <f>SUMIF('125-599'!$1:$1,BE$3,'125-599'!18:18)</f>
        <v>0</v>
      </c>
      <c r="BF19" s="231">
        <f>SUMIF('125-599'!$1:$1,BF$3,'125-599'!18:18)</f>
        <v>0</v>
      </c>
      <c r="BG19" s="231">
        <f>SUMIF('125-599'!$1:$1,BG$3,'125-599'!18:18)</f>
        <v>5635.5</v>
      </c>
      <c r="BH19" s="231">
        <f>SUMIF('125-599'!$1:$1,BH$3,'125-599'!18:18)</f>
        <v>0</v>
      </c>
      <c r="BI19" s="231">
        <f>SUMIF('125-599'!$1:$1,BI$3,'125-599'!18:18)</f>
        <v>3125.39</v>
      </c>
      <c r="BJ19" s="231">
        <f>SUMIF('125-599'!$1:$1,BJ$3,'125-599'!18:18)</f>
        <v>5451.98</v>
      </c>
      <c r="BK19" s="231">
        <f>SUMIF('125-599'!$1:$1,BK$3,'125-599'!18:18)</f>
        <v>0</v>
      </c>
      <c r="BL19" s="231">
        <f>SUMIF('125-599'!$1:$1,BL$3,'125-599'!18:18)</f>
        <v>33770.780000000006</v>
      </c>
      <c r="BM19" s="231">
        <f>SUMIF('125-599'!$1:$1,BM$3,'125-599'!18:18)</f>
        <v>981</v>
      </c>
      <c r="BN19" s="231">
        <f>SUMIF('125-599'!$1:$1,BN$3,'125-599'!18:18)</f>
        <v>19140</v>
      </c>
      <c r="BO19" s="231">
        <f>SUMIF('125-599'!$1:$1,BO$3,'125-599'!18:18)</f>
        <v>23187.100000000002</v>
      </c>
      <c r="BP19" s="231">
        <f>SUMIF('125-599'!$1:$1,BP$3,'125-599'!18:18)</f>
        <v>0</v>
      </c>
      <c r="BQ19" s="231">
        <f>SUMIF('125-599'!$1:$1,BQ$3,'125-599'!18:18)</f>
        <v>0</v>
      </c>
      <c r="BR19" s="231">
        <f>SUMIF('125-599'!$1:$1,BR$3,'125-599'!18:18)</f>
        <v>0</v>
      </c>
      <c r="BS19" s="231">
        <f>SUMIF('125-599'!$1:$1,BS$3,'125-599'!18:18)</f>
        <v>41151.860000000008</v>
      </c>
      <c r="BT19" s="231">
        <f>SUMIF('125-599'!$1:$1,BT$3,'125-599'!18:18)</f>
        <v>1594.11</v>
      </c>
      <c r="BU19" s="231">
        <f>SUMIF('125-599'!$1:$1,BU$3,'125-599'!18:18)</f>
        <v>0</v>
      </c>
      <c r="BV19" s="231">
        <f>SUMIF('125-599'!$1:$1,BV$3,'125-599'!18:18)</f>
        <v>0</v>
      </c>
      <c r="BW19" s="231">
        <f>SUMIF('125-599'!$1:$1,BW$3,'125-599'!18:18)</f>
        <v>0</v>
      </c>
      <c r="BX19" s="231">
        <f>SUMIF('125-599'!$1:$1,BX$3,'125-599'!18:18)</f>
        <v>0</v>
      </c>
      <c r="BY19" s="231">
        <f>SUMIF('125-599'!$1:$1,BY$3,'125-599'!18:18)</f>
        <v>0</v>
      </c>
      <c r="BZ19" s="231">
        <f>SUMIF('125-599'!$1:$1,BZ$3,'125-599'!18:18)</f>
        <v>0</v>
      </c>
      <c r="CA19" s="316">
        <f>SUMIF('125-599'!$1:$1,CA$3,'125-599'!18:18)</f>
        <v>0</v>
      </c>
      <c r="CB19" s="249">
        <f>SUMIF('125-599'!$1:$1,CB$3,'125-599'!18:18)</f>
        <v>0</v>
      </c>
      <c r="CC19" s="249">
        <f>SUMIF('125-599'!$1:$1,CC$3,'125-599'!18:18)</f>
        <v>0</v>
      </c>
      <c r="CD19" s="249">
        <f>SUMIF('125-599'!$1:$1,CD$3,'125-599'!18:18)</f>
        <v>0</v>
      </c>
      <c r="CE19" s="249">
        <f>SUMIF('125-599'!$1:$1,CE$3,'125-599'!18:18)</f>
        <v>0</v>
      </c>
      <c r="CF19" s="249">
        <f>SUMIF('125-599'!$1:$1,CF$3,'125-599'!18:18)</f>
        <v>0</v>
      </c>
      <c r="CG19" s="262">
        <f t="shared" si="1"/>
        <v>-62767.089999999931</v>
      </c>
      <c r="CJ19" s="122"/>
      <c r="CK19" s="169">
        <f>INDEX(SAP!C:C,MATCH('Actuals mapped to CFR'!A19,SAP!H:H,FALSE),1)</f>
        <v>-62767.09</v>
      </c>
      <c r="CL19" s="59">
        <f t="shared" ref="CL19:CL73" si="15">ROUND(CK19-CG19,2)</f>
        <v>0</v>
      </c>
      <c r="CN19" s="81">
        <f t="shared" si="2"/>
        <v>853018.98</v>
      </c>
      <c r="CO19" s="81">
        <f t="shared" si="3"/>
        <v>787582.90999999968</v>
      </c>
      <c r="CP19" s="166">
        <f>VLOOKUP(B19,'2526 GBP Data input'!$A$4:$CA$230,38,FALSE)</f>
        <v>823057</v>
      </c>
      <c r="CQ19" s="166">
        <f>VLOOKUP(B19,'2526 GBP Data input'!$A$4:$CA$230,73,FALSE)</f>
        <v>26260</v>
      </c>
      <c r="CR19" s="89">
        <f t="shared" si="8"/>
        <v>29961.979999999981</v>
      </c>
      <c r="CS19" s="83">
        <f t="shared" si="9"/>
        <v>29.991733054074626</v>
      </c>
      <c r="CT19" s="82">
        <f t="shared" si="5"/>
        <v>35771.090000000317</v>
      </c>
      <c r="CU19" s="82">
        <f t="shared" si="6"/>
        <v>0</v>
      </c>
      <c r="CV19" s="86">
        <f t="shared" si="10"/>
        <v>35771.090000000317</v>
      </c>
    </row>
    <row r="20" spans="1:100" ht="12.75" customHeight="1">
      <c r="A20" s="238">
        <v>107569</v>
      </c>
      <c r="B20" s="60">
        <v>569</v>
      </c>
      <c r="C20" s="60" t="s">
        <v>217</v>
      </c>
      <c r="D20" s="231">
        <f>SUMIF('125-599'!$1:$1,D$3,'125-599'!19:19)</f>
        <v>-123381.74</v>
      </c>
      <c r="E20" s="231">
        <f>SUMIF('125-599'!$1:$1,E$3,'125-599'!19:19)</f>
        <v>-7692.34</v>
      </c>
      <c r="F20" s="231">
        <f>SUMIF('125-599'!$1:$1,F$3,'125-599'!19:19)</f>
        <v>0</v>
      </c>
      <c r="G20" s="231">
        <f>SUMIF('125-599'!$1:$1,G$3,'125-599'!19:19)</f>
        <v>-20056.560000000001</v>
      </c>
      <c r="H20" s="231">
        <f>SUMIF('125-599'!$1:$1,H$3,'125-599'!19:19)</f>
        <v>0</v>
      </c>
      <c r="I20" s="231">
        <f>SUMIF('125-599'!$1:$1,I$3,'125-599'!19:19)</f>
        <v>0</v>
      </c>
      <c r="J20" s="231">
        <f>SUMIF('125-599'!$1:$1,J$3,'125-599'!19:19)</f>
        <v>0</v>
      </c>
      <c r="K20" s="231">
        <f>SUMIF('125-599'!$1:$1,K$3,'125-599'!19:19)</f>
        <v>-1218359.92</v>
      </c>
      <c r="L20" s="231">
        <f>SUMIF('125-599'!$1:$1,L$3,'125-599'!19:19)</f>
        <v>0</v>
      </c>
      <c r="M20" s="231">
        <f>SUMIF('125-599'!$1:$1,M$3,'125-599'!19:19)</f>
        <v>-55248</v>
      </c>
      <c r="N20" s="231">
        <f>SUMIF('125-599'!$1:$1,N$3,'125-599'!19:19)</f>
        <v>0</v>
      </c>
      <c r="O20" s="231">
        <f>SUMIF('125-599'!$1:$1,O$3,'125-599'!19:19)</f>
        <v>-108155</v>
      </c>
      <c r="P20" s="231">
        <f>SUMIF('125-599'!$1:$1,P$3,'125-599'!19:19)</f>
        <v>-19911.93</v>
      </c>
      <c r="Q20" s="231">
        <f>SUMIF('125-599'!$1:$1,Q$3,'125-599'!19:19)</f>
        <v>0</v>
      </c>
      <c r="R20" s="231">
        <f>SUMIF('125-599'!$1:$1,R$3,'125-599'!19:19)</f>
        <v>0</v>
      </c>
      <c r="S20" s="231">
        <f>SUMIF('125-599'!$1:$1,S$3,'125-599'!19:19)</f>
        <v>-6813.65</v>
      </c>
      <c r="T20" s="231">
        <f>SUMIF('125-599'!$1:$1,T$3,'125-599'!19:19)</f>
        <v>-9565.16</v>
      </c>
      <c r="U20" s="231">
        <f>SUMIF('125-599'!$1:$1,U$3,'125-599'!19:19)</f>
        <v>0</v>
      </c>
      <c r="V20" s="231">
        <f>SUMIF('125-599'!$1:$1,V$3,'125-599'!19:19)</f>
        <v>0</v>
      </c>
      <c r="W20" s="231">
        <f>SUMIF('125-599'!$1:$1,W$3,'125-599'!19:19)</f>
        <v>-42729.149999999994</v>
      </c>
      <c r="X20" s="231">
        <f>SUMIF('125-599'!$1:$1,X$3,'125-599'!19:19)</f>
        <v>0</v>
      </c>
      <c r="Y20" s="277">
        <f>SUMIF('125-599'!$1:$1,Y$3,'125-599'!19:19)</f>
        <v>0</v>
      </c>
      <c r="Z20" s="231">
        <f>SUMIF('125-599'!$1:$1,Z$3,'125-599'!19:19)</f>
        <v>0</v>
      </c>
      <c r="AA20" s="231">
        <f>SUMIF('125-599'!$1:$1,AA$3,'125-599'!19:19)</f>
        <v>0</v>
      </c>
      <c r="AB20" s="231">
        <f>SUMIF('125-599'!$1:$1,AB$3,'125-599'!19:19)</f>
        <v>0</v>
      </c>
      <c r="AC20" s="312">
        <f>SUMIF('125-599'!$1:$1,AC$3,'125-599'!19:19)</f>
        <v>0</v>
      </c>
      <c r="AD20" s="312">
        <f>SUMIF('125-599'!$1:$1,AD$3,'125-599'!19:19)</f>
        <v>0</v>
      </c>
      <c r="AE20" s="312">
        <f>SUMIF('125-599'!$1:$1,AE$3,'125-599'!19:19)</f>
        <v>0</v>
      </c>
      <c r="AF20" s="312">
        <f>SUMIF('125-599'!$1:$1,AF$3,'125-599'!19:19)</f>
        <v>0</v>
      </c>
      <c r="AG20" s="231">
        <f>SUMIF('125-599'!$1:$1,AG$3,'125-599'!19:19)</f>
        <v>613176.76</v>
      </c>
      <c r="AH20" s="231">
        <f>SUMIF('125-599'!$1:$1,AH$3,'125-599'!19:19)</f>
        <v>20402.309999999998</v>
      </c>
      <c r="AI20" s="231">
        <f>SUMIF('125-599'!$1:$1,AI$3,'125-599'!19:19)</f>
        <v>270616.13</v>
      </c>
      <c r="AJ20" s="231">
        <f>SUMIF('125-599'!$1:$1,AJ$3,'125-599'!19:19)</f>
        <v>4122.0199999999995</v>
      </c>
      <c r="AK20" s="231">
        <f>SUMIF('125-599'!$1:$1,AK$3,'125-599'!19:19)</f>
        <v>124213.79</v>
      </c>
      <c r="AL20" s="231">
        <f>SUMIF('125-599'!$1:$1,AL$3,'125-599'!19:19)</f>
        <v>0</v>
      </c>
      <c r="AM20" s="231">
        <f>SUMIF('125-599'!$1:$1,AM$3,'125-599'!19:19)</f>
        <v>38113.110000000008</v>
      </c>
      <c r="AN20" s="231">
        <f>SUMIF('125-599'!$1:$1,AN$3,'125-599'!19:19)</f>
        <v>4173.55</v>
      </c>
      <c r="AO20" s="231">
        <f>SUMIF('125-599'!$1:$1,AO$3,'125-599'!19:19)</f>
        <v>2497.75</v>
      </c>
      <c r="AP20" s="231">
        <f>SUMIF('125-599'!$1:$1,AP$3,'125-599'!19:19)</f>
        <v>643.54999999999995</v>
      </c>
      <c r="AQ20" s="231">
        <f>SUMIF('125-599'!$1:$1,AQ$3,'125-599'!19:19)</f>
        <v>0</v>
      </c>
      <c r="AR20" s="231">
        <f>SUMIF('125-599'!$1:$1,AR$3,'125-599'!19:19)</f>
        <v>14737.759999999997</v>
      </c>
      <c r="AS20" s="231">
        <f>SUMIF('125-599'!$1:$1,AS$3,'125-599'!19:19)</f>
        <v>12370.9</v>
      </c>
      <c r="AT20" s="231">
        <f>SUMIF('125-599'!$1:$1,AT$3,'125-599'!19:19)</f>
        <v>31967.610000000004</v>
      </c>
      <c r="AU20" s="231">
        <f>SUMIF('125-599'!$1:$1,AU$3,'125-599'!19:19)</f>
        <v>8432.25</v>
      </c>
      <c r="AV20" s="231">
        <f>SUMIF('125-599'!$1:$1,AV$3,'125-599'!19:19)</f>
        <v>21347.010000000002</v>
      </c>
      <c r="AW20" s="231">
        <f>SUMIF('125-599'!$1:$1,AW$3,'125-599'!19:19)</f>
        <v>0</v>
      </c>
      <c r="AX20" s="231">
        <f>SUMIF('125-599'!$1:$1,AX$3,'125-599'!19:19)</f>
        <v>6087.9</v>
      </c>
      <c r="AY20" s="231">
        <f>SUMIF('125-599'!$1:$1,AY$3,'125-599'!19:19)</f>
        <v>62290.680000000008</v>
      </c>
      <c r="AZ20" s="312">
        <f>SUMIF('125-599'!$1:$1,AZ$3,'125-599'!19:19)</f>
        <v>0</v>
      </c>
      <c r="BA20" s="231">
        <f>SUMIF('125-599'!$1:$1,BA$3,'125-599'!19:19)</f>
        <v>3174</v>
      </c>
      <c r="BB20" s="231">
        <f>SUMIF('125-599'!$1:$1,BB$3,'125-599'!19:19)</f>
        <v>0</v>
      </c>
      <c r="BC20" s="231">
        <f>SUMIF('125-599'!$1:$1,BC$3,'125-599'!19:19)</f>
        <v>8801.58</v>
      </c>
      <c r="BD20" s="231">
        <f>SUMIF('125-599'!$1:$1,BD$3,'125-599'!19:19)</f>
        <v>12456.56</v>
      </c>
      <c r="BE20" s="231">
        <f>SUMIF('125-599'!$1:$1,BE$3,'125-599'!19:19)</f>
        <v>0</v>
      </c>
      <c r="BF20" s="231">
        <f>SUMIF('125-599'!$1:$1,BF$3,'125-599'!19:19)</f>
        <v>168.88999999999987</v>
      </c>
      <c r="BG20" s="231">
        <f>SUMIF('125-599'!$1:$1,BG$3,'125-599'!19:19)</f>
        <v>8636.36</v>
      </c>
      <c r="BH20" s="231">
        <f>SUMIF('125-599'!$1:$1,BH$3,'125-599'!19:19)</f>
        <v>150</v>
      </c>
      <c r="BI20" s="231">
        <f>SUMIF('125-599'!$1:$1,BI$3,'125-599'!19:19)</f>
        <v>7381.37</v>
      </c>
      <c r="BJ20" s="231">
        <f>SUMIF('125-599'!$1:$1,BJ$3,'125-599'!19:19)</f>
        <v>11389.779999999999</v>
      </c>
      <c r="BK20" s="231">
        <f>SUMIF('125-599'!$1:$1,BK$3,'125-599'!19:19)</f>
        <v>0</v>
      </c>
      <c r="BL20" s="231">
        <f>SUMIF('125-599'!$1:$1,BL$3,'125-599'!19:19)</f>
        <v>30028.690000000002</v>
      </c>
      <c r="BM20" s="231">
        <f>SUMIF('125-599'!$1:$1,BM$3,'125-599'!19:19)</f>
        <v>1822.55</v>
      </c>
      <c r="BN20" s="231">
        <f>SUMIF('125-599'!$1:$1,BN$3,'125-599'!19:19)</f>
        <v>11043</v>
      </c>
      <c r="BO20" s="231">
        <f>SUMIF('125-599'!$1:$1,BO$3,'125-599'!19:19)</f>
        <v>22150.11</v>
      </c>
      <c r="BP20" s="231">
        <f>SUMIF('125-599'!$1:$1,BP$3,'125-599'!19:19)</f>
        <v>0</v>
      </c>
      <c r="BQ20" s="231">
        <f>SUMIF('125-599'!$1:$1,BQ$3,'125-599'!19:19)</f>
        <v>0</v>
      </c>
      <c r="BR20" s="231">
        <f>SUMIF('125-599'!$1:$1,BR$3,'125-599'!19:19)</f>
        <v>0</v>
      </c>
      <c r="BS20" s="231">
        <f>SUMIF('125-599'!$1:$1,BS$3,'125-599'!19:19)</f>
        <v>0</v>
      </c>
      <c r="BT20" s="231">
        <f>SUMIF('125-599'!$1:$1,BT$3,'125-599'!19:19)</f>
        <v>0</v>
      </c>
      <c r="BU20" s="231">
        <f>SUMIF('125-599'!$1:$1,BU$3,'125-599'!19:19)</f>
        <v>-6929.52</v>
      </c>
      <c r="BV20" s="231">
        <f>SUMIF('125-599'!$1:$1,BV$3,'125-599'!19:19)</f>
        <v>0</v>
      </c>
      <c r="BW20" s="231">
        <f>SUMIF('125-599'!$1:$1,BW$3,'125-599'!19:19)</f>
        <v>0</v>
      </c>
      <c r="BX20" s="231">
        <f>SUMIF('125-599'!$1:$1,BX$3,'125-599'!19:19)</f>
        <v>0</v>
      </c>
      <c r="BY20" s="231">
        <f>SUMIF('125-599'!$1:$1,BY$3,'125-599'!19:19)</f>
        <v>6385</v>
      </c>
      <c r="BZ20" s="231">
        <f>SUMIF('125-599'!$1:$1,BZ$3,'125-599'!19:19)</f>
        <v>0</v>
      </c>
      <c r="CA20" s="316">
        <f>SUMIF('125-599'!$1:$1,CA$3,'125-599'!19:19)</f>
        <v>0</v>
      </c>
      <c r="CB20" s="249">
        <f>SUMIF('125-599'!$1:$1,CB$3,'125-599'!19:19)</f>
        <v>0</v>
      </c>
      <c r="CC20" s="249">
        <f>SUMIF('125-599'!$1:$1,CC$3,'125-599'!19:19)</f>
        <v>0</v>
      </c>
      <c r="CD20" s="249">
        <f>SUMIF('125-599'!$1:$1,CD$3,'125-599'!19:19)</f>
        <v>0</v>
      </c>
      <c r="CE20" s="249">
        <f>SUMIF('125-599'!$1:$1,CE$3,'125-599'!19:19)</f>
        <v>0</v>
      </c>
      <c r="CF20" s="249">
        <f>SUMIF('125-599'!$1:$1,CF$3,'125-599'!19:19)</f>
        <v>0</v>
      </c>
      <c r="CG20" s="262">
        <f t="shared" si="1"/>
        <v>-260061.99999999953</v>
      </c>
      <c r="CJ20" s="122"/>
      <c r="CK20" s="169">
        <f>INDEX(SAP!C:C,MATCH('Actuals mapped to CFR'!A20,SAP!H:H,FALSE),1)</f>
        <v>-260062</v>
      </c>
      <c r="CL20" s="59">
        <f t="shared" ref="CL20:CL39" si="16">ROUND(CK20-CG20,2)</f>
        <v>0</v>
      </c>
      <c r="CN20" s="81">
        <f t="shared" si="2"/>
        <v>1460782.8099999996</v>
      </c>
      <c r="CO20" s="81">
        <f t="shared" si="3"/>
        <v>1352395.9700000004</v>
      </c>
      <c r="CP20" s="166">
        <f>VLOOKUP(B20,'2526 GBP Data input'!$A$4:$CA$230,38,FALSE)</f>
        <v>1400595</v>
      </c>
      <c r="CQ20" s="166">
        <f>VLOOKUP(B20,'2526 GBP Data input'!$A$4:$CA$230,73,FALSE)</f>
        <v>19413</v>
      </c>
      <c r="CR20" s="89">
        <f t="shared" si="8"/>
        <v>60187.80999999959</v>
      </c>
      <c r="CS20" s="83">
        <f t="shared" si="9"/>
        <v>69.66445011075055</v>
      </c>
      <c r="CT20" s="82">
        <f t="shared" si="5"/>
        <v>231768.57999999914</v>
      </c>
      <c r="CU20" s="82">
        <f t="shared" si="6"/>
        <v>20601.080000000002</v>
      </c>
      <c r="CV20" s="86">
        <f t="shared" si="10"/>
        <v>252369.65999999916</v>
      </c>
    </row>
    <row r="21" spans="1:100" ht="12.75" customHeight="1">
      <c r="A21" s="238">
        <v>107578</v>
      </c>
      <c r="B21" s="60">
        <v>578</v>
      </c>
      <c r="C21" s="60" t="s">
        <v>258</v>
      </c>
      <c r="D21" s="231">
        <f>SUMIF('125-599'!$1:$1,D$3,'125-599'!20:20)</f>
        <v>-8833.23</v>
      </c>
      <c r="E21" s="231">
        <f>SUMIF('125-599'!$1:$1,E$3,'125-599'!20:20)</f>
        <v>-11039.96</v>
      </c>
      <c r="F21" s="231">
        <f>SUMIF('125-599'!$1:$1,F$3,'125-599'!20:20)</f>
        <v>0</v>
      </c>
      <c r="G21" s="231">
        <f>SUMIF('125-599'!$1:$1,G$3,'125-599'!20:20)</f>
        <v>0</v>
      </c>
      <c r="H21" s="231">
        <f>SUMIF('125-599'!$1:$1,H$3,'125-599'!20:20)</f>
        <v>0</v>
      </c>
      <c r="I21" s="231">
        <f>SUMIF('125-599'!$1:$1,I$3,'125-599'!20:20)</f>
        <v>0</v>
      </c>
      <c r="J21" s="231">
        <f>SUMIF('125-599'!$1:$1,J$3,'125-599'!20:20)</f>
        <v>0</v>
      </c>
      <c r="K21" s="231">
        <f>SUMIF('125-599'!$1:$1,K$3,'125-599'!20:20)</f>
        <v>-986102.56</v>
      </c>
      <c r="L21" s="231">
        <f>SUMIF('125-599'!$1:$1,L$3,'125-599'!20:20)</f>
        <v>0</v>
      </c>
      <c r="M21" s="231">
        <f>SUMIF('125-599'!$1:$1,M$3,'125-599'!20:20)</f>
        <v>-35633</v>
      </c>
      <c r="N21" s="231">
        <f>SUMIF('125-599'!$1:$1,N$3,'125-599'!20:20)</f>
        <v>0</v>
      </c>
      <c r="O21" s="231">
        <f>SUMIF('125-599'!$1:$1,O$3,'125-599'!20:20)</f>
        <v>-33585</v>
      </c>
      <c r="P21" s="231">
        <f>SUMIF('125-599'!$1:$1,P$3,'125-599'!20:20)</f>
        <v>-36574.29</v>
      </c>
      <c r="Q21" s="231">
        <f>SUMIF('125-599'!$1:$1,Q$3,'125-599'!20:20)</f>
        <v>-500</v>
      </c>
      <c r="R21" s="231">
        <f>SUMIF('125-599'!$1:$1,R$3,'125-599'!20:20)</f>
        <v>0</v>
      </c>
      <c r="S21" s="231">
        <f>SUMIF('125-599'!$1:$1,S$3,'125-599'!20:20)</f>
        <v>-39977.889999999992</v>
      </c>
      <c r="T21" s="231">
        <f>SUMIF('125-599'!$1:$1,T$3,'125-599'!20:20)</f>
        <v>-2186.7800000000002</v>
      </c>
      <c r="U21" s="231">
        <f>SUMIF('125-599'!$1:$1,U$3,'125-599'!20:20)</f>
        <v>-750</v>
      </c>
      <c r="V21" s="231">
        <f>SUMIF('125-599'!$1:$1,V$3,'125-599'!20:20)</f>
        <v>-3300</v>
      </c>
      <c r="W21" s="231">
        <f>SUMIF('125-599'!$1:$1,W$3,'125-599'!20:20)</f>
        <v>-17282.399999999998</v>
      </c>
      <c r="X21" s="231">
        <f>SUMIF('125-599'!$1:$1,X$3,'125-599'!20:20)</f>
        <v>-6493.72</v>
      </c>
      <c r="Y21" s="277">
        <f>SUMIF('125-599'!$1:$1,Y$3,'125-599'!20:20)</f>
        <v>0</v>
      </c>
      <c r="Z21" s="231">
        <f>SUMIF('125-599'!$1:$1,Z$3,'125-599'!20:20)</f>
        <v>0</v>
      </c>
      <c r="AA21" s="231">
        <f>SUMIF('125-599'!$1:$1,AA$3,'125-599'!20:20)</f>
        <v>0</v>
      </c>
      <c r="AB21" s="231">
        <f>SUMIF('125-599'!$1:$1,AB$3,'125-599'!20:20)</f>
        <v>0</v>
      </c>
      <c r="AC21" s="312">
        <f>SUMIF('125-599'!$1:$1,AC$3,'125-599'!20:20)</f>
        <v>0</v>
      </c>
      <c r="AD21" s="312">
        <f>SUMIF('125-599'!$1:$1,AD$3,'125-599'!20:20)</f>
        <v>0</v>
      </c>
      <c r="AE21" s="312">
        <f>SUMIF('125-599'!$1:$1,AE$3,'125-599'!20:20)</f>
        <v>0</v>
      </c>
      <c r="AF21" s="312">
        <f>SUMIF('125-599'!$1:$1,AF$3,'125-599'!20:20)</f>
        <v>0</v>
      </c>
      <c r="AG21" s="231">
        <f>SUMIF('125-599'!$1:$1,AG$3,'125-599'!20:20)</f>
        <v>593814.12000000011</v>
      </c>
      <c r="AH21" s="231">
        <f>SUMIF('125-599'!$1:$1,AH$3,'125-599'!20:20)</f>
        <v>24466.530000000002</v>
      </c>
      <c r="AI21" s="231">
        <f>SUMIF('125-599'!$1:$1,AI$3,'125-599'!20:20)</f>
        <v>219923.35</v>
      </c>
      <c r="AJ21" s="231">
        <f>SUMIF('125-599'!$1:$1,AJ$3,'125-599'!20:20)</f>
        <v>17906.170000000002</v>
      </c>
      <c r="AK21" s="231">
        <f>SUMIF('125-599'!$1:$1,AK$3,'125-599'!20:20)</f>
        <v>60416.310000000012</v>
      </c>
      <c r="AL21" s="231">
        <f>SUMIF('125-599'!$1:$1,AL$3,'125-599'!20:20)</f>
        <v>0</v>
      </c>
      <c r="AM21" s="231">
        <f>SUMIF('125-599'!$1:$1,AM$3,'125-599'!20:20)</f>
        <v>57888.670000000013</v>
      </c>
      <c r="AN21" s="231">
        <f>SUMIF('125-599'!$1:$1,AN$3,'125-599'!20:20)</f>
        <v>298.08</v>
      </c>
      <c r="AO21" s="231">
        <f>SUMIF('125-599'!$1:$1,AO$3,'125-599'!20:20)</f>
        <v>4199.5</v>
      </c>
      <c r="AP21" s="231">
        <f>SUMIF('125-599'!$1:$1,AP$3,'125-599'!20:20)</f>
        <v>5276.01</v>
      </c>
      <c r="AQ21" s="231">
        <f>SUMIF('125-599'!$1:$1,AQ$3,'125-599'!20:20)</f>
        <v>2014.39</v>
      </c>
      <c r="AR21" s="231">
        <f>SUMIF('125-599'!$1:$1,AR$3,'125-599'!20:20)</f>
        <v>11598.88</v>
      </c>
      <c r="AS21" s="231">
        <f>SUMIF('125-599'!$1:$1,AS$3,'125-599'!20:20)</f>
        <v>7865.170000000001</v>
      </c>
      <c r="AT21" s="231">
        <f>SUMIF('125-599'!$1:$1,AT$3,'125-599'!20:20)</f>
        <v>4849.76</v>
      </c>
      <c r="AU21" s="231">
        <f>SUMIF('125-599'!$1:$1,AU$3,'125-599'!20:20)</f>
        <v>4172.16</v>
      </c>
      <c r="AV21" s="231">
        <f>SUMIF('125-599'!$1:$1,AV$3,'125-599'!20:20)</f>
        <v>14827.279999999999</v>
      </c>
      <c r="AW21" s="231">
        <f>SUMIF('125-599'!$1:$1,AW$3,'125-599'!20:20)</f>
        <v>3567.85</v>
      </c>
      <c r="AX21" s="231">
        <f>SUMIF('125-599'!$1:$1,AX$3,'125-599'!20:20)</f>
        <v>4243.6799999999994</v>
      </c>
      <c r="AY21" s="231">
        <f>SUMIF('125-599'!$1:$1,AY$3,'125-599'!20:20)</f>
        <v>50073.66</v>
      </c>
      <c r="AZ21" s="312">
        <f>SUMIF('125-599'!$1:$1,AZ$3,'125-599'!20:20)</f>
        <v>0</v>
      </c>
      <c r="BA21" s="231">
        <f>SUMIF('125-599'!$1:$1,BA$3,'125-599'!20:20)</f>
        <v>2120.0300000000002</v>
      </c>
      <c r="BB21" s="231">
        <f>SUMIF('125-599'!$1:$1,BB$3,'125-599'!20:20)</f>
        <v>501</v>
      </c>
      <c r="BC21" s="231">
        <f>SUMIF('125-599'!$1:$1,BC$3,'125-599'!20:20)</f>
        <v>3874.78</v>
      </c>
      <c r="BD21" s="231">
        <f>SUMIF('125-599'!$1:$1,BD$3,'125-599'!20:20)</f>
        <v>1957.1</v>
      </c>
      <c r="BE21" s="231">
        <f>SUMIF('125-599'!$1:$1,BE$3,'125-599'!20:20)</f>
        <v>274</v>
      </c>
      <c r="BF21" s="231">
        <f>SUMIF('125-599'!$1:$1,BF$3,'125-599'!20:20)</f>
        <v>0</v>
      </c>
      <c r="BG21" s="231">
        <f>SUMIF('125-599'!$1:$1,BG$3,'125-599'!20:20)</f>
        <v>4431.34</v>
      </c>
      <c r="BH21" s="231">
        <f>SUMIF('125-599'!$1:$1,BH$3,'125-599'!20:20)</f>
        <v>0</v>
      </c>
      <c r="BI21" s="231">
        <f>SUMIF('125-599'!$1:$1,BI$3,'125-599'!20:20)</f>
        <v>5277.7899999999991</v>
      </c>
      <c r="BJ21" s="231">
        <f>SUMIF('125-599'!$1:$1,BJ$3,'125-599'!20:20)</f>
        <v>10094.26</v>
      </c>
      <c r="BK21" s="231">
        <f>SUMIF('125-599'!$1:$1,BK$3,'125-599'!20:20)</f>
        <v>0</v>
      </c>
      <c r="BL21" s="231">
        <f>SUMIF('125-599'!$1:$1,BL$3,'125-599'!20:20)</f>
        <v>29203.629999999997</v>
      </c>
      <c r="BM21" s="231">
        <f>SUMIF('125-599'!$1:$1,BM$3,'125-599'!20:20)</f>
        <v>3610.32</v>
      </c>
      <c r="BN21" s="231">
        <f>SUMIF('125-599'!$1:$1,BN$3,'125-599'!20:20)</f>
        <v>15462.119999999999</v>
      </c>
      <c r="BO21" s="231">
        <f>SUMIF('125-599'!$1:$1,BO$3,'125-599'!20:20)</f>
        <v>17586.169999999998</v>
      </c>
      <c r="BP21" s="231">
        <f>SUMIF('125-599'!$1:$1,BP$3,'125-599'!20:20)</f>
        <v>0</v>
      </c>
      <c r="BQ21" s="231">
        <f>SUMIF('125-599'!$1:$1,BQ$3,'125-599'!20:20)</f>
        <v>0</v>
      </c>
      <c r="BR21" s="231">
        <f>SUMIF('125-599'!$1:$1,BR$3,'125-599'!20:20)</f>
        <v>0</v>
      </c>
      <c r="BS21" s="231">
        <f>SUMIF('125-599'!$1:$1,BS$3,'125-599'!20:20)</f>
        <v>0</v>
      </c>
      <c r="BT21" s="231">
        <f>SUMIF('125-599'!$1:$1,BT$3,'125-599'!20:20)</f>
        <v>0</v>
      </c>
      <c r="BU21" s="231">
        <f>SUMIF('125-599'!$1:$1,BU$3,'125-599'!20:20)</f>
        <v>0</v>
      </c>
      <c r="BV21" s="231">
        <f>SUMIF('125-599'!$1:$1,BV$3,'125-599'!20:20)</f>
        <v>0</v>
      </c>
      <c r="BW21" s="231">
        <f>SUMIF('125-599'!$1:$1,BW$3,'125-599'!20:20)</f>
        <v>0</v>
      </c>
      <c r="BX21" s="231">
        <f>SUMIF('125-599'!$1:$1,BX$3,'125-599'!20:20)</f>
        <v>0</v>
      </c>
      <c r="BY21" s="231">
        <f>SUMIF('125-599'!$1:$1,BY$3,'125-599'!20:20)</f>
        <v>0</v>
      </c>
      <c r="BZ21" s="231">
        <f>SUMIF('125-599'!$1:$1,BZ$3,'125-599'!20:20)</f>
        <v>0</v>
      </c>
      <c r="CA21" s="316">
        <f>SUMIF('125-599'!$1:$1,CA$3,'125-599'!20:20)</f>
        <v>0</v>
      </c>
      <c r="CB21" s="249">
        <f>SUMIF('125-599'!$1:$1,CB$3,'125-599'!20:20)</f>
        <v>0</v>
      </c>
      <c r="CC21" s="249">
        <f>SUMIF('125-599'!$1:$1,CC$3,'125-599'!20:20)</f>
        <v>0</v>
      </c>
      <c r="CD21" s="249">
        <f>SUMIF('125-599'!$1:$1,CD$3,'125-599'!20:20)</f>
        <v>0</v>
      </c>
      <c r="CE21" s="249">
        <f>SUMIF('125-599'!$1:$1,CE$3,'125-599'!20:20)</f>
        <v>0</v>
      </c>
      <c r="CF21" s="249">
        <f>SUMIF('125-599'!$1:$1,CF$3,'125-599'!20:20)</f>
        <v>0</v>
      </c>
      <c r="CG21" s="262">
        <f t="shared" si="1"/>
        <v>-464.71999999970649</v>
      </c>
      <c r="CJ21" s="122"/>
      <c r="CK21" s="169">
        <f>INDEX(SAP!C:C,MATCH('Actuals mapped to CFR'!A21,SAP!H:H,FALSE),1)</f>
        <v>-464.72</v>
      </c>
      <c r="CL21" s="59">
        <f t="shared" si="16"/>
        <v>0</v>
      </c>
      <c r="CN21" s="81">
        <f t="shared" si="2"/>
        <v>1162385.6399999999</v>
      </c>
      <c r="CO21" s="81">
        <f t="shared" si="3"/>
        <v>1181794.1100000006</v>
      </c>
      <c r="CP21" s="166">
        <f>VLOOKUP(B21,'2526 GBP Data input'!$A$4:$CA$230,38,FALSE)</f>
        <v>1122381</v>
      </c>
      <c r="CQ21" s="166">
        <f>VLOOKUP(B21,'2526 GBP Data input'!$A$4:$CA$230,73,FALSE)</f>
        <v>16217</v>
      </c>
      <c r="CR21" s="89">
        <f t="shared" si="8"/>
        <v>40004.639999999898</v>
      </c>
      <c r="CS21" s="83">
        <f t="shared" si="9"/>
        <v>72.873781217241202</v>
      </c>
      <c r="CT21" s="82">
        <f t="shared" si="5"/>
        <v>-10575.240000000689</v>
      </c>
      <c r="CU21" s="82">
        <f t="shared" si="6"/>
        <v>0</v>
      </c>
      <c r="CV21" s="86">
        <f t="shared" si="10"/>
        <v>-10575.240000000689</v>
      </c>
    </row>
    <row r="22" spans="1:100" ht="12.75" customHeight="1">
      <c r="A22" s="238">
        <v>107579</v>
      </c>
      <c r="B22" s="60">
        <v>579</v>
      </c>
      <c r="C22" s="60" t="s">
        <v>219</v>
      </c>
      <c r="D22" s="231">
        <f>SUMIF('125-599'!$1:$1,D$3,'125-599'!21:21)</f>
        <v>-259167.98</v>
      </c>
      <c r="E22" s="231">
        <f>SUMIF('125-599'!$1:$1,E$3,'125-599'!21:21)</f>
        <v>-21125.17</v>
      </c>
      <c r="F22" s="231">
        <f>SUMIF('125-599'!$1:$1,F$3,'125-599'!21:21)</f>
        <v>0</v>
      </c>
      <c r="G22" s="231">
        <f>SUMIF('125-599'!$1:$1,G$3,'125-599'!21:21)</f>
        <v>0</v>
      </c>
      <c r="H22" s="231">
        <f>SUMIF('125-599'!$1:$1,H$3,'125-599'!21:21)</f>
        <v>0</v>
      </c>
      <c r="I22" s="231">
        <f>SUMIF('125-599'!$1:$1,I$3,'125-599'!21:21)</f>
        <v>0</v>
      </c>
      <c r="J22" s="231">
        <f>SUMIF('125-599'!$1:$1,J$3,'125-599'!21:21)</f>
        <v>0</v>
      </c>
      <c r="K22" s="231">
        <f>SUMIF('125-599'!$1:$1,K$3,'125-599'!21:21)</f>
        <v>-1180770.54</v>
      </c>
      <c r="L22" s="231">
        <f>SUMIF('125-599'!$1:$1,L$3,'125-599'!21:21)</f>
        <v>0</v>
      </c>
      <c r="M22" s="231">
        <f>SUMIF('125-599'!$1:$1,M$3,'125-599'!21:21)</f>
        <v>-75585</v>
      </c>
      <c r="N22" s="231">
        <f>SUMIF('125-599'!$1:$1,N$3,'125-599'!21:21)</f>
        <v>0</v>
      </c>
      <c r="O22" s="231">
        <f>SUMIF('125-599'!$1:$1,O$3,'125-599'!21:21)</f>
        <v>-71847.8</v>
      </c>
      <c r="P22" s="231">
        <f>SUMIF('125-599'!$1:$1,P$3,'125-599'!21:21)</f>
        <v>-51143.64</v>
      </c>
      <c r="Q22" s="231">
        <f>SUMIF('125-599'!$1:$1,Q$3,'125-599'!21:21)</f>
        <v>0</v>
      </c>
      <c r="R22" s="231">
        <f>SUMIF('125-599'!$1:$1,R$3,'125-599'!21:21)</f>
        <v>-13584</v>
      </c>
      <c r="S22" s="231">
        <f>SUMIF('125-599'!$1:$1,S$3,'125-599'!21:21)</f>
        <v>-29373.500000000007</v>
      </c>
      <c r="T22" s="231">
        <f>SUMIF('125-599'!$1:$1,T$3,'125-599'!21:21)</f>
        <v>-2150.21</v>
      </c>
      <c r="U22" s="231">
        <f>SUMIF('125-599'!$1:$1,U$3,'125-599'!21:21)</f>
        <v>0</v>
      </c>
      <c r="V22" s="231">
        <f>SUMIF('125-599'!$1:$1,V$3,'125-599'!21:21)</f>
        <v>0</v>
      </c>
      <c r="W22" s="231">
        <f>SUMIF('125-599'!$1:$1,W$3,'125-599'!21:21)</f>
        <v>-12566.530000000006</v>
      </c>
      <c r="X22" s="231">
        <f>SUMIF('125-599'!$1:$1,X$3,'125-599'!21:21)</f>
        <v>-10377.41</v>
      </c>
      <c r="Y22" s="277">
        <f>SUMIF('125-599'!$1:$1,Y$3,'125-599'!21:21)</f>
        <v>0</v>
      </c>
      <c r="Z22" s="231">
        <f>SUMIF('125-599'!$1:$1,Z$3,'125-599'!21:21)</f>
        <v>0</v>
      </c>
      <c r="AA22" s="231">
        <f>SUMIF('125-599'!$1:$1,AA$3,'125-599'!21:21)</f>
        <v>0</v>
      </c>
      <c r="AB22" s="231">
        <f>SUMIF('125-599'!$1:$1,AB$3,'125-599'!21:21)</f>
        <v>0</v>
      </c>
      <c r="AC22" s="312">
        <f>SUMIF('125-599'!$1:$1,AC$3,'125-599'!21:21)</f>
        <v>0</v>
      </c>
      <c r="AD22" s="312">
        <f>SUMIF('125-599'!$1:$1,AD$3,'125-599'!21:21)</f>
        <v>0</v>
      </c>
      <c r="AE22" s="312">
        <f>SUMIF('125-599'!$1:$1,AE$3,'125-599'!21:21)</f>
        <v>0</v>
      </c>
      <c r="AF22" s="312">
        <f>SUMIF('125-599'!$1:$1,AF$3,'125-599'!21:21)</f>
        <v>0</v>
      </c>
      <c r="AG22" s="231">
        <f>SUMIF('125-599'!$1:$1,AG$3,'125-599'!21:21)</f>
        <v>665137.72</v>
      </c>
      <c r="AH22" s="231">
        <f>SUMIF('125-599'!$1:$1,AH$3,'125-599'!21:21)</f>
        <v>3370.73</v>
      </c>
      <c r="AI22" s="231">
        <f>SUMIF('125-599'!$1:$1,AI$3,'125-599'!21:21)</f>
        <v>252504.33999999997</v>
      </c>
      <c r="AJ22" s="231">
        <f>SUMIF('125-599'!$1:$1,AJ$3,'125-599'!21:21)</f>
        <v>27124.42</v>
      </c>
      <c r="AK22" s="231">
        <f>SUMIF('125-599'!$1:$1,AK$3,'125-599'!21:21)</f>
        <v>88125.049999999988</v>
      </c>
      <c r="AL22" s="231">
        <f>SUMIF('125-599'!$1:$1,AL$3,'125-599'!21:21)</f>
        <v>0</v>
      </c>
      <c r="AM22" s="231">
        <f>SUMIF('125-599'!$1:$1,AM$3,'125-599'!21:21)</f>
        <v>36906.139999999992</v>
      </c>
      <c r="AN22" s="231">
        <f>SUMIF('125-599'!$1:$1,AN$3,'125-599'!21:21)</f>
        <v>3923.9</v>
      </c>
      <c r="AO22" s="231">
        <f>SUMIF('125-599'!$1:$1,AO$3,'125-599'!21:21)</f>
        <v>7072.5</v>
      </c>
      <c r="AP22" s="231">
        <f>SUMIF('125-599'!$1:$1,AP$3,'125-599'!21:21)</f>
        <v>966.16</v>
      </c>
      <c r="AQ22" s="231">
        <f>SUMIF('125-599'!$1:$1,AQ$3,'125-599'!21:21)</f>
        <v>2512.5699999999997</v>
      </c>
      <c r="AR22" s="231">
        <f>SUMIF('125-599'!$1:$1,AR$3,'125-599'!21:21)</f>
        <v>16738.759999999998</v>
      </c>
      <c r="AS22" s="231">
        <f>SUMIF('125-599'!$1:$1,AS$3,'125-599'!21:21)</f>
        <v>5433.16</v>
      </c>
      <c r="AT22" s="231">
        <f>SUMIF('125-599'!$1:$1,AT$3,'125-599'!21:21)</f>
        <v>20452.979999999996</v>
      </c>
      <c r="AU22" s="231">
        <f>SUMIF('125-599'!$1:$1,AU$3,'125-599'!21:21)</f>
        <v>5060.3200000000006</v>
      </c>
      <c r="AV22" s="231">
        <f>SUMIF('125-599'!$1:$1,AV$3,'125-599'!21:21)</f>
        <v>15533.5</v>
      </c>
      <c r="AW22" s="231">
        <f>SUMIF('125-599'!$1:$1,AW$3,'125-599'!21:21)</f>
        <v>18213.5</v>
      </c>
      <c r="AX22" s="231">
        <f>SUMIF('125-599'!$1:$1,AX$3,'125-599'!21:21)</f>
        <v>3684.1399999999994</v>
      </c>
      <c r="AY22" s="231">
        <f>SUMIF('125-599'!$1:$1,AY$3,'125-599'!21:21)</f>
        <v>68036.38</v>
      </c>
      <c r="AZ22" s="312">
        <f>SUMIF('125-599'!$1:$1,AZ$3,'125-599'!21:21)</f>
        <v>0</v>
      </c>
      <c r="BA22" s="231">
        <f>SUMIF('125-599'!$1:$1,BA$3,'125-599'!21:21)</f>
        <v>11760.810000000001</v>
      </c>
      <c r="BB22" s="231">
        <f>SUMIF('125-599'!$1:$1,BB$3,'125-599'!21:21)</f>
        <v>0</v>
      </c>
      <c r="BC22" s="231">
        <f>SUMIF('125-599'!$1:$1,BC$3,'125-599'!21:21)</f>
        <v>1593.43</v>
      </c>
      <c r="BD22" s="231">
        <f>SUMIF('125-599'!$1:$1,BD$3,'125-599'!21:21)</f>
        <v>1141.5900000000001</v>
      </c>
      <c r="BE22" s="231">
        <f>SUMIF('125-599'!$1:$1,BE$3,'125-599'!21:21)</f>
        <v>3130.61</v>
      </c>
      <c r="BF22" s="231">
        <f>SUMIF('125-599'!$1:$1,BF$3,'125-599'!21:21)</f>
        <v>0</v>
      </c>
      <c r="BG22" s="231">
        <f>SUMIF('125-599'!$1:$1,BG$3,'125-599'!21:21)</f>
        <v>6490.5</v>
      </c>
      <c r="BH22" s="231">
        <f>SUMIF('125-599'!$1:$1,BH$3,'125-599'!21:21)</f>
        <v>0</v>
      </c>
      <c r="BI22" s="231">
        <f>SUMIF('125-599'!$1:$1,BI$3,'125-599'!21:21)</f>
        <v>11647.66</v>
      </c>
      <c r="BJ22" s="231">
        <f>SUMIF('125-599'!$1:$1,BJ$3,'125-599'!21:21)</f>
        <v>11389.779999999999</v>
      </c>
      <c r="BK22" s="231">
        <f>SUMIF('125-599'!$1:$1,BK$3,'125-599'!21:21)</f>
        <v>0</v>
      </c>
      <c r="BL22" s="231">
        <f>SUMIF('125-599'!$1:$1,BL$3,'125-599'!21:21)</f>
        <v>57727.01</v>
      </c>
      <c r="BM22" s="231">
        <f>SUMIF('125-599'!$1:$1,BM$3,'125-599'!21:21)</f>
        <v>0</v>
      </c>
      <c r="BN22" s="231">
        <f>SUMIF('125-599'!$1:$1,BN$3,'125-599'!21:21)</f>
        <v>40921.800000000003</v>
      </c>
      <c r="BO22" s="231">
        <f>SUMIF('125-599'!$1:$1,BO$3,'125-599'!21:21)</f>
        <v>18031.330000000002</v>
      </c>
      <c r="BP22" s="231">
        <f>SUMIF('125-599'!$1:$1,BP$3,'125-599'!21:21)</f>
        <v>0</v>
      </c>
      <c r="BQ22" s="231">
        <f>SUMIF('125-599'!$1:$1,BQ$3,'125-599'!21:21)</f>
        <v>0</v>
      </c>
      <c r="BR22" s="231">
        <f>SUMIF('125-599'!$1:$1,BR$3,'125-599'!21:21)</f>
        <v>3773.75</v>
      </c>
      <c r="BS22" s="231">
        <f>SUMIF('125-599'!$1:$1,BS$3,'125-599'!21:21)</f>
        <v>0</v>
      </c>
      <c r="BT22" s="231">
        <f>SUMIF('125-599'!$1:$1,BT$3,'125-599'!21:21)</f>
        <v>0</v>
      </c>
      <c r="BU22" s="231">
        <f>SUMIF('125-599'!$1:$1,BU$3,'125-599'!21:21)</f>
        <v>-6373.75</v>
      </c>
      <c r="BV22" s="231">
        <f>SUMIF('125-599'!$1:$1,BV$3,'125-599'!21:21)</f>
        <v>0</v>
      </c>
      <c r="BW22" s="231">
        <f>SUMIF('125-599'!$1:$1,BW$3,'125-599'!21:21)</f>
        <v>-3773.75</v>
      </c>
      <c r="BX22" s="231">
        <f>SUMIF('125-599'!$1:$1,BX$3,'125-599'!21:21)</f>
        <v>0</v>
      </c>
      <c r="BY22" s="231">
        <f>SUMIF('125-599'!$1:$1,BY$3,'125-599'!21:21)</f>
        <v>9697.75</v>
      </c>
      <c r="BZ22" s="231">
        <f>SUMIF('125-599'!$1:$1,BZ$3,'125-599'!21:21)</f>
        <v>0</v>
      </c>
      <c r="CA22" s="316">
        <f>SUMIF('125-599'!$1:$1,CA$3,'125-599'!21:21)</f>
        <v>0</v>
      </c>
      <c r="CB22" s="249">
        <f>SUMIF('125-599'!$1:$1,CB$3,'125-599'!21:21)</f>
        <v>0</v>
      </c>
      <c r="CC22" s="249">
        <f>SUMIF('125-599'!$1:$1,CC$3,'125-599'!21:21)</f>
        <v>0</v>
      </c>
      <c r="CD22" s="249">
        <f>SUMIF('125-599'!$1:$1,CD$3,'125-599'!21:21)</f>
        <v>0</v>
      </c>
      <c r="CE22" s="249">
        <f>SUMIF('125-599'!$1:$1,CE$3,'125-599'!21:21)</f>
        <v>0</v>
      </c>
      <c r="CF22" s="249">
        <f>SUMIF('125-599'!$1:$1,CF$3,'125-599'!21:21)</f>
        <v>0</v>
      </c>
      <c r="CG22" s="262">
        <f t="shared" si="1"/>
        <v>-319736.98999999976</v>
      </c>
      <c r="CJ22" s="122"/>
      <c r="CK22" s="169">
        <f>INDEX(SAP!C:C,MATCH('Actuals mapped to CFR'!A22,SAP!H:H,FALSE),1)</f>
        <v>-319736.99</v>
      </c>
      <c r="CL22" s="59">
        <f t="shared" si="16"/>
        <v>0</v>
      </c>
      <c r="CN22" s="81">
        <f t="shared" si="2"/>
        <v>1447398.63</v>
      </c>
      <c r="CO22" s="81">
        <f t="shared" si="3"/>
        <v>1408404.5399999998</v>
      </c>
      <c r="CP22" s="166">
        <f>VLOOKUP(B22,'2526 GBP Data input'!$A$4:$CA$230,38,FALSE)</f>
        <v>1391176</v>
      </c>
      <c r="CQ22" s="166">
        <f>VLOOKUP(B22,'2526 GBP Data input'!$A$4:$CA$230,73,FALSE)</f>
        <v>17476</v>
      </c>
      <c r="CR22" s="89">
        <f t="shared" si="8"/>
        <v>56222.629999999888</v>
      </c>
      <c r="CS22" s="83">
        <f t="shared" si="9"/>
        <v>80.590783932249934</v>
      </c>
      <c r="CT22" s="82">
        <f t="shared" si="5"/>
        <v>298162.07000000007</v>
      </c>
      <c r="CU22" s="82">
        <f t="shared" si="6"/>
        <v>449.75</v>
      </c>
      <c r="CV22" s="86">
        <f t="shared" si="10"/>
        <v>298611.82000000007</v>
      </c>
    </row>
    <row r="23" spans="1:100" ht="12.75" customHeight="1">
      <c r="A23" s="238">
        <v>107580</v>
      </c>
      <c r="B23" s="60">
        <v>580</v>
      </c>
      <c r="C23" s="60" t="s">
        <v>245</v>
      </c>
      <c r="D23" s="231">
        <f>SUMIF('125-599'!$1:$1,D$3,'125-599'!22:22)</f>
        <v>-103870.88</v>
      </c>
      <c r="E23" s="231">
        <f>SUMIF('125-599'!$1:$1,E$3,'125-599'!22:22)</f>
        <v>-18646.72</v>
      </c>
      <c r="F23" s="231">
        <f>SUMIF('125-599'!$1:$1,F$3,'125-599'!22:22)</f>
        <v>0</v>
      </c>
      <c r="G23" s="231">
        <f>SUMIF('125-599'!$1:$1,G$3,'125-599'!22:22)</f>
        <v>6000</v>
      </c>
      <c r="H23" s="231">
        <f>SUMIF('125-599'!$1:$1,H$3,'125-599'!22:22)</f>
        <v>0</v>
      </c>
      <c r="I23" s="231">
        <f>SUMIF('125-599'!$1:$1,I$3,'125-599'!22:22)</f>
        <v>0</v>
      </c>
      <c r="J23" s="231">
        <f>SUMIF('125-599'!$1:$1,J$3,'125-599'!22:22)</f>
        <v>0</v>
      </c>
      <c r="K23" s="231">
        <f>SUMIF('125-599'!$1:$1,K$3,'125-599'!22:22)</f>
        <v>-1164466.72</v>
      </c>
      <c r="L23" s="231">
        <f>SUMIF('125-599'!$1:$1,L$3,'125-599'!22:22)</f>
        <v>0</v>
      </c>
      <c r="M23" s="231">
        <f>SUMIF('125-599'!$1:$1,M$3,'125-599'!22:22)</f>
        <v>-189400</v>
      </c>
      <c r="N23" s="231">
        <f>SUMIF('125-599'!$1:$1,N$3,'125-599'!22:22)</f>
        <v>0</v>
      </c>
      <c r="O23" s="231">
        <f>SUMIF('125-599'!$1:$1,O$3,'125-599'!22:22)</f>
        <v>-86845</v>
      </c>
      <c r="P23" s="231">
        <f>SUMIF('125-599'!$1:$1,P$3,'125-599'!22:22)</f>
        <v>-63842.29</v>
      </c>
      <c r="Q23" s="231">
        <f>SUMIF('125-599'!$1:$1,Q$3,'125-599'!22:22)</f>
        <v>0</v>
      </c>
      <c r="R23" s="231">
        <f>SUMIF('125-599'!$1:$1,R$3,'125-599'!22:22)</f>
        <v>-2376</v>
      </c>
      <c r="S23" s="231">
        <f>SUMIF('125-599'!$1:$1,S$3,'125-599'!22:22)</f>
        <v>-56975.430000000008</v>
      </c>
      <c r="T23" s="231">
        <f>SUMIF('125-599'!$1:$1,T$3,'125-599'!22:22)</f>
        <v>83.54</v>
      </c>
      <c r="U23" s="231">
        <f>SUMIF('125-599'!$1:$1,U$3,'125-599'!22:22)</f>
        <v>0</v>
      </c>
      <c r="V23" s="231">
        <f>SUMIF('125-599'!$1:$1,V$3,'125-599'!22:22)</f>
        <v>-1763.5</v>
      </c>
      <c r="W23" s="231">
        <f>SUMIF('125-599'!$1:$1,W$3,'125-599'!22:22)</f>
        <v>-15050.039999999999</v>
      </c>
      <c r="X23" s="231">
        <f>SUMIF('125-599'!$1:$1,X$3,'125-599'!22:22)</f>
        <v>-8349.27</v>
      </c>
      <c r="Y23" s="277">
        <f>SUMIF('125-599'!$1:$1,Y$3,'125-599'!22:22)</f>
        <v>0</v>
      </c>
      <c r="Z23" s="231">
        <f>SUMIF('125-599'!$1:$1,Z$3,'125-599'!22:22)</f>
        <v>0</v>
      </c>
      <c r="AA23" s="231">
        <f>SUMIF('125-599'!$1:$1,AA$3,'125-599'!22:22)</f>
        <v>0</v>
      </c>
      <c r="AB23" s="231">
        <f>SUMIF('125-599'!$1:$1,AB$3,'125-599'!22:22)</f>
        <v>0</v>
      </c>
      <c r="AC23" s="312">
        <f>SUMIF('125-599'!$1:$1,AC$3,'125-599'!22:22)</f>
        <v>0</v>
      </c>
      <c r="AD23" s="312">
        <f>SUMIF('125-599'!$1:$1,AD$3,'125-599'!22:22)</f>
        <v>0</v>
      </c>
      <c r="AE23" s="312">
        <f>SUMIF('125-599'!$1:$1,AE$3,'125-599'!22:22)</f>
        <v>0</v>
      </c>
      <c r="AF23" s="312">
        <f>SUMIF('125-599'!$1:$1,AF$3,'125-599'!22:22)</f>
        <v>0</v>
      </c>
      <c r="AG23" s="231">
        <f>SUMIF('125-599'!$1:$1,AG$3,'125-599'!22:22)</f>
        <v>712243.52</v>
      </c>
      <c r="AH23" s="231">
        <f>SUMIF('125-599'!$1:$1,AH$3,'125-599'!22:22)</f>
        <v>20537.53</v>
      </c>
      <c r="AI23" s="231">
        <f>SUMIF('125-599'!$1:$1,AI$3,'125-599'!22:22)</f>
        <v>363805.58999999991</v>
      </c>
      <c r="AJ23" s="231">
        <f>SUMIF('125-599'!$1:$1,AJ$3,'125-599'!22:22)</f>
        <v>29492.55</v>
      </c>
      <c r="AK23" s="231">
        <f>SUMIF('125-599'!$1:$1,AK$3,'125-599'!22:22)</f>
        <v>68080.030000000013</v>
      </c>
      <c r="AL23" s="231">
        <f>SUMIF('125-599'!$1:$1,AL$3,'125-599'!22:22)</f>
        <v>0</v>
      </c>
      <c r="AM23" s="231">
        <f>SUMIF('125-599'!$1:$1,AM$3,'125-599'!22:22)</f>
        <v>98457.24</v>
      </c>
      <c r="AN23" s="231">
        <f>SUMIF('125-599'!$1:$1,AN$3,'125-599'!22:22)</f>
        <v>6017.6</v>
      </c>
      <c r="AO23" s="231">
        <f>SUMIF('125-599'!$1:$1,AO$3,'125-599'!22:22)</f>
        <v>3546.0299999999997</v>
      </c>
      <c r="AP23" s="231">
        <f>SUMIF('125-599'!$1:$1,AP$3,'125-599'!22:22)</f>
        <v>8463.65</v>
      </c>
      <c r="AQ23" s="231">
        <f>SUMIF('125-599'!$1:$1,AQ$3,'125-599'!22:22)</f>
        <v>2326.579999999999</v>
      </c>
      <c r="AR23" s="231">
        <f>SUMIF('125-599'!$1:$1,AR$3,'125-599'!22:22)</f>
        <v>9376.5300000000007</v>
      </c>
      <c r="AS23" s="231">
        <f>SUMIF('125-599'!$1:$1,AS$3,'125-599'!22:22)</f>
        <v>6305.6499999999987</v>
      </c>
      <c r="AT23" s="231">
        <f>SUMIF('125-599'!$1:$1,AT$3,'125-599'!22:22)</f>
        <v>2985.4999999999995</v>
      </c>
      <c r="AU23" s="231">
        <f>SUMIF('125-599'!$1:$1,AU$3,'125-599'!22:22)</f>
        <v>0</v>
      </c>
      <c r="AV23" s="231">
        <f>SUMIF('125-599'!$1:$1,AV$3,'125-599'!22:22)</f>
        <v>15269.88</v>
      </c>
      <c r="AW23" s="231">
        <f>SUMIF('125-599'!$1:$1,AW$3,'125-599'!22:22)</f>
        <v>15206</v>
      </c>
      <c r="AX23" s="231">
        <f>SUMIF('125-599'!$1:$1,AX$3,'125-599'!22:22)</f>
        <v>2642.18</v>
      </c>
      <c r="AY23" s="231">
        <f>SUMIF('125-599'!$1:$1,AY$3,'125-599'!22:22)</f>
        <v>79138.95</v>
      </c>
      <c r="AZ23" s="312">
        <f>SUMIF('125-599'!$1:$1,AZ$3,'125-599'!22:22)</f>
        <v>0</v>
      </c>
      <c r="BA23" s="231">
        <f>SUMIF('125-599'!$1:$1,BA$3,'125-599'!22:22)</f>
        <v>3570.09</v>
      </c>
      <c r="BB23" s="231">
        <f>SUMIF('125-599'!$1:$1,BB$3,'125-599'!22:22)</f>
        <v>0</v>
      </c>
      <c r="BC23" s="231">
        <f>SUMIF('125-599'!$1:$1,BC$3,'125-599'!22:22)</f>
        <v>3395.71</v>
      </c>
      <c r="BD23" s="231">
        <f>SUMIF('125-599'!$1:$1,BD$3,'125-599'!22:22)</f>
        <v>5475.8600000000006</v>
      </c>
      <c r="BE23" s="231">
        <f>SUMIF('125-599'!$1:$1,BE$3,'125-599'!22:22)</f>
        <v>503</v>
      </c>
      <c r="BF23" s="231">
        <f>SUMIF('125-599'!$1:$1,BF$3,'125-599'!22:22)</f>
        <v>0</v>
      </c>
      <c r="BG23" s="231">
        <f>SUMIF('125-599'!$1:$1,BG$3,'125-599'!22:22)</f>
        <v>6673.5</v>
      </c>
      <c r="BH23" s="231">
        <f>SUMIF('125-599'!$1:$1,BH$3,'125-599'!22:22)</f>
        <v>0</v>
      </c>
      <c r="BI23" s="231">
        <f>SUMIF('125-599'!$1:$1,BI$3,'125-599'!22:22)</f>
        <v>8058.22</v>
      </c>
      <c r="BJ23" s="231">
        <f>SUMIF('125-599'!$1:$1,BJ$3,'125-599'!22:22)</f>
        <v>11173.86</v>
      </c>
      <c r="BK23" s="231">
        <f>SUMIF('125-599'!$1:$1,BK$3,'125-599'!22:22)</f>
        <v>0</v>
      </c>
      <c r="BL23" s="231">
        <f>SUMIF('125-599'!$1:$1,BL$3,'125-599'!22:22)</f>
        <v>73656.66</v>
      </c>
      <c r="BM23" s="231">
        <f>SUMIF('125-599'!$1:$1,BM$3,'125-599'!22:22)</f>
        <v>5378</v>
      </c>
      <c r="BN23" s="231">
        <f>SUMIF('125-599'!$1:$1,BN$3,'125-599'!22:22)</f>
        <v>30150.1</v>
      </c>
      <c r="BO23" s="231">
        <f>SUMIF('125-599'!$1:$1,BO$3,'125-599'!22:22)</f>
        <v>21194.660000000003</v>
      </c>
      <c r="BP23" s="231">
        <f>SUMIF('125-599'!$1:$1,BP$3,'125-599'!22:22)</f>
        <v>0</v>
      </c>
      <c r="BQ23" s="231">
        <f>SUMIF('125-599'!$1:$1,BQ$3,'125-599'!22:22)</f>
        <v>0</v>
      </c>
      <c r="BR23" s="231">
        <f>SUMIF('125-599'!$1:$1,BR$3,'125-599'!22:22)</f>
        <v>0</v>
      </c>
      <c r="BS23" s="231">
        <f>SUMIF('125-599'!$1:$1,BS$3,'125-599'!22:22)</f>
        <v>0</v>
      </c>
      <c r="BT23" s="231">
        <f>SUMIF('125-599'!$1:$1,BT$3,'125-599'!22:22)</f>
        <v>0</v>
      </c>
      <c r="BU23" s="231">
        <f>SUMIF('125-599'!$1:$1,BU$3,'125-599'!22:22)</f>
        <v>-6362.5</v>
      </c>
      <c r="BV23" s="231">
        <f>SUMIF('125-599'!$1:$1,BV$3,'125-599'!22:22)</f>
        <v>0</v>
      </c>
      <c r="BW23" s="231">
        <f>SUMIF('125-599'!$1:$1,BW$3,'125-599'!22:22)</f>
        <v>0</v>
      </c>
      <c r="BX23" s="231">
        <f>SUMIF('125-599'!$1:$1,BX$3,'125-599'!22:22)</f>
        <v>0</v>
      </c>
      <c r="BY23" s="231">
        <f>SUMIF('125-599'!$1:$1,BY$3,'125-599'!22:22)</f>
        <v>0</v>
      </c>
      <c r="BZ23" s="231">
        <f>SUMIF('125-599'!$1:$1,BZ$3,'125-599'!22:22)</f>
        <v>0</v>
      </c>
      <c r="CA23" s="316">
        <f>SUMIF('125-599'!$1:$1,CA$3,'125-599'!22:22)</f>
        <v>0</v>
      </c>
      <c r="CB23" s="249">
        <f>SUMIF('125-599'!$1:$1,CB$3,'125-599'!22:22)</f>
        <v>0</v>
      </c>
      <c r="CC23" s="249">
        <f>SUMIF('125-599'!$1:$1,CC$3,'125-599'!22:22)</f>
        <v>0</v>
      </c>
      <c r="CD23" s="249">
        <f>SUMIF('125-599'!$1:$1,CD$3,'125-599'!22:22)</f>
        <v>0</v>
      </c>
      <c r="CE23" s="249">
        <f>SUMIF('125-599'!$1:$1,CE$3,'125-599'!22:22)</f>
        <v>0</v>
      </c>
      <c r="CF23" s="249">
        <f>SUMIF('125-599'!$1:$1,CF$3,'125-599'!22:22)</f>
        <v>0</v>
      </c>
      <c r="CG23" s="262">
        <f t="shared" si="1"/>
        <v>-98740.139999999985</v>
      </c>
      <c r="CJ23" s="122"/>
      <c r="CK23" s="169">
        <f>INDEX(SAP!C:C,MATCH('Actuals mapped to CFR'!A23,SAP!H:H,FALSE),1)</f>
        <v>-98740.14</v>
      </c>
      <c r="CL23" s="59">
        <f t="shared" si="16"/>
        <v>0</v>
      </c>
      <c r="CN23" s="81">
        <f t="shared" si="2"/>
        <v>1588984.71</v>
      </c>
      <c r="CO23" s="81">
        <f t="shared" si="3"/>
        <v>1613124.67</v>
      </c>
      <c r="CP23" s="166">
        <f>VLOOKUP(B23,'2526 GBP Data input'!$A$4:$CA$230,38,FALSE)</f>
        <v>1465208</v>
      </c>
      <c r="CQ23" s="166">
        <f>VLOOKUP(B23,'2526 GBP Data input'!$A$4:$CA$230,73,FALSE)</f>
        <v>23792</v>
      </c>
      <c r="CR23" s="89">
        <f t="shared" si="8"/>
        <v>123776.70999999996</v>
      </c>
      <c r="CS23" s="83">
        <f t="shared" si="9"/>
        <v>67.801137777404165</v>
      </c>
      <c r="CT23" s="82">
        <f t="shared" si="5"/>
        <v>79730.919999999925</v>
      </c>
      <c r="CU23" s="82">
        <f t="shared" si="6"/>
        <v>362.5</v>
      </c>
      <c r="CV23" s="86">
        <f t="shared" si="10"/>
        <v>80093.419999999925</v>
      </c>
    </row>
    <row r="24" spans="1:100" ht="12.75" customHeight="1">
      <c r="A24" s="238">
        <v>107582</v>
      </c>
      <c r="B24" s="60">
        <v>582</v>
      </c>
      <c r="C24" s="60" t="s">
        <v>234</v>
      </c>
      <c r="D24" s="231">
        <f>SUMIF('125-599'!$1:$1,D$3,'125-599'!23:23)</f>
        <v>-29682.69</v>
      </c>
      <c r="E24" s="231">
        <f>SUMIF('125-599'!$1:$1,E$3,'125-599'!23:23)</f>
        <v>-19900.47</v>
      </c>
      <c r="F24" s="231">
        <f>SUMIF('125-599'!$1:$1,F$3,'125-599'!23:23)</f>
        <v>0</v>
      </c>
      <c r="G24" s="231">
        <f>SUMIF('125-599'!$1:$1,G$3,'125-599'!23:23)</f>
        <v>0</v>
      </c>
      <c r="H24" s="231">
        <f>SUMIF('125-599'!$1:$1,H$3,'125-599'!23:23)</f>
        <v>0</v>
      </c>
      <c r="I24" s="231">
        <f>SUMIF('125-599'!$1:$1,I$3,'125-599'!23:23)</f>
        <v>0</v>
      </c>
      <c r="J24" s="231">
        <f>SUMIF('125-599'!$1:$1,J$3,'125-599'!23:23)</f>
        <v>0</v>
      </c>
      <c r="K24" s="231">
        <f>SUMIF('125-599'!$1:$1,K$3,'125-599'!23:23)</f>
        <v>-1120748.31</v>
      </c>
      <c r="L24" s="231">
        <f>SUMIF('125-599'!$1:$1,L$3,'125-599'!23:23)</f>
        <v>0</v>
      </c>
      <c r="M24" s="231">
        <f>SUMIF('125-599'!$1:$1,M$3,'125-599'!23:23)</f>
        <v>-50383</v>
      </c>
      <c r="N24" s="231">
        <f>SUMIF('125-599'!$1:$1,N$3,'125-599'!23:23)</f>
        <v>0</v>
      </c>
      <c r="O24" s="231">
        <f>SUMIF('125-599'!$1:$1,O$3,'125-599'!23:23)</f>
        <v>-42685</v>
      </c>
      <c r="P24" s="231">
        <f>SUMIF('125-599'!$1:$1,P$3,'125-599'!23:23)</f>
        <v>-58189</v>
      </c>
      <c r="Q24" s="231">
        <f>SUMIF('125-599'!$1:$1,Q$3,'125-599'!23:23)</f>
        <v>-1200</v>
      </c>
      <c r="R24" s="231">
        <f>SUMIF('125-599'!$1:$1,R$3,'125-599'!23:23)</f>
        <v>0</v>
      </c>
      <c r="S24" s="231">
        <f>SUMIF('125-599'!$1:$1,S$3,'125-599'!23:23)</f>
        <v>-3587.22</v>
      </c>
      <c r="T24" s="231">
        <f>SUMIF('125-599'!$1:$1,T$3,'125-599'!23:23)</f>
        <v>1451.85</v>
      </c>
      <c r="U24" s="231">
        <f>SUMIF('125-599'!$1:$1,U$3,'125-599'!23:23)</f>
        <v>0</v>
      </c>
      <c r="V24" s="231">
        <f>SUMIF('125-599'!$1:$1,V$3,'125-599'!23:23)</f>
        <v>-2376</v>
      </c>
      <c r="W24" s="231">
        <f>SUMIF('125-599'!$1:$1,W$3,'125-599'!23:23)</f>
        <v>-20219.049999999992</v>
      </c>
      <c r="X24" s="231">
        <f>SUMIF('125-599'!$1:$1,X$3,'125-599'!23:23)</f>
        <v>-11126.22</v>
      </c>
      <c r="Y24" s="277">
        <f>SUMIF('125-599'!$1:$1,Y$3,'125-599'!23:23)</f>
        <v>0</v>
      </c>
      <c r="Z24" s="231">
        <f>SUMIF('125-599'!$1:$1,Z$3,'125-599'!23:23)</f>
        <v>0</v>
      </c>
      <c r="AA24" s="231">
        <f>SUMIF('125-599'!$1:$1,AA$3,'125-599'!23:23)</f>
        <v>0</v>
      </c>
      <c r="AB24" s="231">
        <f>SUMIF('125-599'!$1:$1,AB$3,'125-599'!23:23)</f>
        <v>0</v>
      </c>
      <c r="AC24" s="312">
        <f>SUMIF('125-599'!$1:$1,AC$3,'125-599'!23:23)</f>
        <v>0</v>
      </c>
      <c r="AD24" s="312">
        <f>SUMIF('125-599'!$1:$1,AD$3,'125-599'!23:23)</f>
        <v>0</v>
      </c>
      <c r="AE24" s="312">
        <f>SUMIF('125-599'!$1:$1,AE$3,'125-599'!23:23)</f>
        <v>0</v>
      </c>
      <c r="AF24" s="312">
        <f>SUMIF('125-599'!$1:$1,AF$3,'125-599'!23:23)</f>
        <v>0</v>
      </c>
      <c r="AG24" s="231">
        <f>SUMIF('125-599'!$1:$1,AG$3,'125-599'!23:23)</f>
        <v>631868.64</v>
      </c>
      <c r="AH24" s="231">
        <f>SUMIF('125-599'!$1:$1,AH$3,'125-599'!23:23)</f>
        <v>11164.210000000001</v>
      </c>
      <c r="AI24" s="231">
        <f>SUMIF('125-599'!$1:$1,AI$3,'125-599'!23:23)</f>
        <v>240711.48000000004</v>
      </c>
      <c r="AJ24" s="231">
        <f>SUMIF('125-599'!$1:$1,AJ$3,'125-599'!23:23)</f>
        <v>23391.579999999998</v>
      </c>
      <c r="AK24" s="231">
        <f>SUMIF('125-599'!$1:$1,AK$3,'125-599'!23:23)</f>
        <v>59249.049999999996</v>
      </c>
      <c r="AL24" s="231">
        <f>SUMIF('125-599'!$1:$1,AL$3,'125-599'!23:23)</f>
        <v>0</v>
      </c>
      <c r="AM24" s="231">
        <f>SUMIF('125-599'!$1:$1,AM$3,'125-599'!23:23)</f>
        <v>37516.37000000001</v>
      </c>
      <c r="AN24" s="231">
        <f>SUMIF('125-599'!$1:$1,AN$3,'125-599'!23:23)</f>
        <v>244.85</v>
      </c>
      <c r="AO24" s="231">
        <f>SUMIF('125-599'!$1:$1,AO$3,'125-599'!23:23)</f>
        <v>5879.83</v>
      </c>
      <c r="AP24" s="231">
        <f>SUMIF('125-599'!$1:$1,AP$3,'125-599'!23:23)</f>
        <v>2711.41</v>
      </c>
      <c r="AQ24" s="231">
        <f>SUMIF('125-599'!$1:$1,AQ$3,'125-599'!23:23)</f>
        <v>0</v>
      </c>
      <c r="AR24" s="231">
        <f>SUMIF('125-599'!$1:$1,AR$3,'125-599'!23:23)</f>
        <v>35086.929999999986</v>
      </c>
      <c r="AS24" s="231">
        <f>SUMIF('125-599'!$1:$1,AS$3,'125-599'!23:23)</f>
        <v>4456.16</v>
      </c>
      <c r="AT24" s="231">
        <f>SUMIF('125-599'!$1:$1,AT$3,'125-599'!23:23)</f>
        <v>15165.879999999997</v>
      </c>
      <c r="AU24" s="231">
        <f>SUMIF('125-599'!$1:$1,AU$3,'125-599'!23:23)</f>
        <v>3239.17</v>
      </c>
      <c r="AV24" s="231">
        <f>SUMIF('125-599'!$1:$1,AV$3,'125-599'!23:23)</f>
        <v>10261.08</v>
      </c>
      <c r="AW24" s="231">
        <f>SUMIF('125-599'!$1:$1,AW$3,'125-599'!23:23)</f>
        <v>2145.6999999999998</v>
      </c>
      <c r="AX24" s="231">
        <f>SUMIF('125-599'!$1:$1,AX$3,'125-599'!23:23)</f>
        <v>5054.3899999999994</v>
      </c>
      <c r="AY24" s="231">
        <f>SUMIF('125-599'!$1:$1,AY$3,'125-599'!23:23)</f>
        <v>58250.25</v>
      </c>
      <c r="AZ24" s="312">
        <f>SUMIF('125-599'!$1:$1,AZ$3,'125-599'!23:23)</f>
        <v>0</v>
      </c>
      <c r="BA24" s="231">
        <f>SUMIF('125-599'!$1:$1,BA$3,'125-599'!23:23)</f>
        <v>4455.12</v>
      </c>
      <c r="BB24" s="231">
        <f>SUMIF('125-599'!$1:$1,BB$3,'125-599'!23:23)</f>
        <v>0</v>
      </c>
      <c r="BC24" s="231">
        <f>SUMIF('125-599'!$1:$1,BC$3,'125-599'!23:23)</f>
        <v>14556.7</v>
      </c>
      <c r="BD24" s="231">
        <f>SUMIF('125-599'!$1:$1,BD$3,'125-599'!23:23)</f>
        <v>8992.2800000000007</v>
      </c>
      <c r="BE24" s="231">
        <f>SUMIF('125-599'!$1:$1,BE$3,'125-599'!23:23)</f>
        <v>10205.15</v>
      </c>
      <c r="BF24" s="231">
        <f>SUMIF('125-599'!$1:$1,BF$3,'125-599'!23:23)</f>
        <v>1590.49</v>
      </c>
      <c r="BG24" s="231">
        <f>SUMIF('125-599'!$1:$1,BG$3,'125-599'!23:23)</f>
        <v>6715.5</v>
      </c>
      <c r="BH24" s="231">
        <f>SUMIF('125-599'!$1:$1,BH$3,'125-599'!23:23)</f>
        <v>0</v>
      </c>
      <c r="BI24" s="231">
        <f>SUMIF('125-599'!$1:$1,BI$3,'125-599'!23:23)</f>
        <v>5626.3799999999992</v>
      </c>
      <c r="BJ24" s="231">
        <f>SUMIF('125-599'!$1:$1,BJ$3,'125-599'!23:23)</f>
        <v>11389.779999999999</v>
      </c>
      <c r="BK24" s="231">
        <f>SUMIF('125-599'!$1:$1,BK$3,'125-599'!23:23)</f>
        <v>0</v>
      </c>
      <c r="BL24" s="231">
        <f>SUMIF('125-599'!$1:$1,BL$3,'125-599'!23:23)</f>
        <v>57008.409999999996</v>
      </c>
      <c r="BM24" s="231">
        <f>SUMIF('125-599'!$1:$1,BM$3,'125-599'!23:23)</f>
        <v>18329.910000000007</v>
      </c>
      <c r="BN24" s="231">
        <f>SUMIF('125-599'!$1:$1,BN$3,'125-599'!23:23)</f>
        <v>8945.25</v>
      </c>
      <c r="BO24" s="231">
        <f>SUMIF('125-599'!$1:$1,BO$3,'125-599'!23:23)</f>
        <v>26479.420000000006</v>
      </c>
      <c r="BP24" s="231">
        <f>SUMIF('125-599'!$1:$1,BP$3,'125-599'!23:23)</f>
        <v>0</v>
      </c>
      <c r="BQ24" s="231">
        <f>SUMIF('125-599'!$1:$1,BQ$3,'125-599'!23:23)</f>
        <v>0</v>
      </c>
      <c r="BR24" s="231">
        <f>SUMIF('125-599'!$1:$1,BR$3,'125-599'!23:23)</f>
        <v>0</v>
      </c>
      <c r="BS24" s="231">
        <f>SUMIF('125-599'!$1:$1,BS$3,'125-599'!23:23)</f>
        <v>0</v>
      </c>
      <c r="BT24" s="231">
        <f>SUMIF('125-599'!$1:$1,BT$3,'125-599'!23:23)</f>
        <v>0</v>
      </c>
      <c r="BU24" s="231">
        <f>SUMIF('125-599'!$1:$1,BU$3,'125-599'!23:23)</f>
        <v>0</v>
      </c>
      <c r="BV24" s="231">
        <f>SUMIF('125-599'!$1:$1,BV$3,'125-599'!23:23)</f>
        <v>0</v>
      </c>
      <c r="BW24" s="231">
        <f>SUMIF('125-599'!$1:$1,BW$3,'125-599'!23:23)</f>
        <v>0</v>
      </c>
      <c r="BX24" s="231">
        <f>SUMIF('125-599'!$1:$1,BX$3,'125-599'!23:23)</f>
        <v>0</v>
      </c>
      <c r="BY24" s="231">
        <f>SUMIF('125-599'!$1:$1,BY$3,'125-599'!23:23)</f>
        <v>0</v>
      </c>
      <c r="BZ24" s="231">
        <f>SUMIF('125-599'!$1:$1,BZ$3,'125-599'!23:23)</f>
        <v>0</v>
      </c>
      <c r="CA24" s="316">
        <f>SUMIF('125-599'!$1:$1,CA$3,'125-599'!23:23)</f>
        <v>0</v>
      </c>
      <c r="CB24" s="249">
        <f>SUMIF('125-599'!$1:$1,CB$3,'125-599'!23:23)</f>
        <v>0</v>
      </c>
      <c r="CC24" s="249">
        <f>SUMIF('125-599'!$1:$1,CC$3,'125-599'!23:23)</f>
        <v>0</v>
      </c>
      <c r="CD24" s="249">
        <f>SUMIF('125-599'!$1:$1,CD$3,'125-599'!23:23)</f>
        <v>0</v>
      </c>
      <c r="CE24" s="249">
        <f>SUMIF('125-599'!$1:$1,CE$3,'125-599'!23:23)</f>
        <v>0</v>
      </c>
      <c r="CF24" s="249">
        <f>SUMIF('125-599'!$1:$1,CF$3,'125-599'!23:23)</f>
        <v>0</v>
      </c>
      <c r="CG24" s="262">
        <f t="shared" si="1"/>
        <v>-37953.739999999882</v>
      </c>
      <c r="CJ24" s="122"/>
      <c r="CK24" s="169">
        <f>INDEX(SAP!C:C,MATCH('Actuals mapped to CFR'!A24,SAP!H:H,FALSE),1)</f>
        <v>-37953.74</v>
      </c>
      <c r="CL24" s="59">
        <f t="shared" si="16"/>
        <v>0</v>
      </c>
      <c r="CN24" s="81">
        <f t="shared" si="2"/>
        <v>1309061.95</v>
      </c>
      <c r="CO24" s="81">
        <f t="shared" si="3"/>
        <v>1320691.3699999994</v>
      </c>
      <c r="CP24" s="166">
        <f>VLOOKUP(B24,'2526 GBP Data input'!$A$4:$CA$230,38,FALSE)</f>
        <v>1255653</v>
      </c>
      <c r="CQ24" s="166">
        <f>VLOOKUP(B24,'2526 GBP Data input'!$A$4:$CA$230,73,FALSE)</f>
        <v>13523</v>
      </c>
      <c r="CR24" s="89">
        <f t="shared" si="8"/>
        <v>53408.949999999953</v>
      </c>
      <c r="CS24" s="83">
        <f t="shared" si="9"/>
        <v>97.662602233232221</v>
      </c>
      <c r="CT24" s="82">
        <f t="shared" si="5"/>
        <v>18053.270000000484</v>
      </c>
      <c r="CU24" s="82">
        <f t="shared" si="6"/>
        <v>0</v>
      </c>
      <c r="CV24" s="86">
        <f t="shared" si="10"/>
        <v>18053.270000000484</v>
      </c>
    </row>
    <row r="25" spans="1:100" ht="12.75" customHeight="1">
      <c r="A25" s="238">
        <v>107583</v>
      </c>
      <c r="B25" s="60">
        <v>583</v>
      </c>
      <c r="C25" s="60" t="s">
        <v>215</v>
      </c>
      <c r="D25" s="231">
        <f>SUMIF('125-599'!$1:$1,D$3,'125-599'!24:24)</f>
        <v>-14193.05</v>
      </c>
      <c r="E25" s="231">
        <f>SUMIF('125-599'!$1:$1,E$3,'125-599'!24:24)</f>
        <v>-9451.8700000000008</v>
      </c>
      <c r="F25" s="231">
        <f>SUMIF('125-599'!$1:$1,F$3,'125-599'!24:24)</f>
        <v>0</v>
      </c>
      <c r="G25" s="231">
        <f>SUMIF('125-599'!$1:$1,G$3,'125-599'!24:24)</f>
        <v>-11438.56</v>
      </c>
      <c r="H25" s="231">
        <f>SUMIF('125-599'!$1:$1,H$3,'125-599'!24:24)</f>
        <v>0</v>
      </c>
      <c r="I25" s="231">
        <f>SUMIF('125-599'!$1:$1,I$3,'125-599'!24:24)</f>
        <v>0</v>
      </c>
      <c r="J25" s="231">
        <f>SUMIF('125-599'!$1:$1,J$3,'125-599'!24:24)</f>
        <v>0</v>
      </c>
      <c r="K25" s="231">
        <f>SUMIF('125-599'!$1:$1,K$3,'125-599'!24:24)</f>
        <v>-896359.64</v>
      </c>
      <c r="L25" s="231">
        <f>SUMIF('125-599'!$1:$1,L$3,'125-599'!24:24)</f>
        <v>0</v>
      </c>
      <c r="M25" s="231">
        <f>SUMIF('125-599'!$1:$1,M$3,'125-599'!24:24)</f>
        <v>-85714</v>
      </c>
      <c r="N25" s="231">
        <f>SUMIF('125-599'!$1:$1,N$3,'125-599'!24:24)</f>
        <v>0</v>
      </c>
      <c r="O25" s="231">
        <f>SUMIF('125-599'!$1:$1,O$3,'125-599'!24:24)</f>
        <v>-49995</v>
      </c>
      <c r="P25" s="231">
        <f>SUMIF('125-599'!$1:$1,P$3,'125-599'!24:24)</f>
        <v>-64129.64</v>
      </c>
      <c r="Q25" s="231">
        <f>SUMIF('125-599'!$1:$1,Q$3,'125-599'!24:24)</f>
        <v>-3680</v>
      </c>
      <c r="R25" s="231">
        <f>SUMIF('125-599'!$1:$1,R$3,'125-599'!24:24)</f>
        <v>0</v>
      </c>
      <c r="S25" s="231">
        <f>SUMIF('125-599'!$1:$1,S$3,'125-599'!24:24)</f>
        <v>-2206.56</v>
      </c>
      <c r="T25" s="231">
        <f>SUMIF('125-599'!$1:$1,T$3,'125-599'!24:24)</f>
        <v>-8308.08</v>
      </c>
      <c r="U25" s="231">
        <f>SUMIF('125-599'!$1:$1,U$3,'125-599'!24:24)</f>
        <v>-9697</v>
      </c>
      <c r="V25" s="231">
        <f>SUMIF('125-599'!$1:$1,V$3,'125-599'!24:24)</f>
        <v>0</v>
      </c>
      <c r="W25" s="231">
        <f>SUMIF('125-599'!$1:$1,W$3,'125-599'!24:24)</f>
        <v>0</v>
      </c>
      <c r="X25" s="231">
        <f>SUMIF('125-599'!$1:$1,X$3,'125-599'!24:24)</f>
        <v>-9264.14</v>
      </c>
      <c r="Y25" s="277">
        <f>SUMIF('125-599'!$1:$1,Y$3,'125-599'!24:24)</f>
        <v>0</v>
      </c>
      <c r="Z25" s="231">
        <f>SUMIF('125-599'!$1:$1,Z$3,'125-599'!24:24)</f>
        <v>0</v>
      </c>
      <c r="AA25" s="231">
        <f>SUMIF('125-599'!$1:$1,AA$3,'125-599'!24:24)</f>
        <v>0</v>
      </c>
      <c r="AB25" s="231">
        <f>SUMIF('125-599'!$1:$1,AB$3,'125-599'!24:24)</f>
        <v>0</v>
      </c>
      <c r="AC25" s="312">
        <f>SUMIF('125-599'!$1:$1,AC$3,'125-599'!24:24)</f>
        <v>0</v>
      </c>
      <c r="AD25" s="312">
        <f>SUMIF('125-599'!$1:$1,AD$3,'125-599'!24:24)</f>
        <v>0</v>
      </c>
      <c r="AE25" s="312">
        <f>SUMIF('125-599'!$1:$1,AE$3,'125-599'!24:24)</f>
        <v>0</v>
      </c>
      <c r="AF25" s="312">
        <f>SUMIF('125-599'!$1:$1,AF$3,'125-599'!24:24)</f>
        <v>0</v>
      </c>
      <c r="AG25" s="231">
        <f>SUMIF('125-599'!$1:$1,AG$3,'125-599'!24:24)</f>
        <v>493490.10000000003</v>
      </c>
      <c r="AH25" s="231">
        <f>SUMIF('125-599'!$1:$1,AH$3,'125-599'!24:24)</f>
        <v>921.94000000000017</v>
      </c>
      <c r="AI25" s="231">
        <f>SUMIF('125-599'!$1:$1,AI$3,'125-599'!24:24)</f>
        <v>266269.92000000004</v>
      </c>
      <c r="AJ25" s="231">
        <f>SUMIF('125-599'!$1:$1,AJ$3,'125-599'!24:24)</f>
        <v>8307.6099999999988</v>
      </c>
      <c r="AK25" s="231">
        <f>SUMIF('125-599'!$1:$1,AK$3,'125-599'!24:24)</f>
        <v>36904.04</v>
      </c>
      <c r="AL25" s="231">
        <f>SUMIF('125-599'!$1:$1,AL$3,'125-599'!24:24)</f>
        <v>0</v>
      </c>
      <c r="AM25" s="231">
        <f>SUMIF('125-599'!$1:$1,AM$3,'125-599'!24:24)</f>
        <v>16385.850000000002</v>
      </c>
      <c r="AN25" s="231">
        <f>SUMIF('125-599'!$1:$1,AN$3,'125-599'!24:24)</f>
        <v>3013.94</v>
      </c>
      <c r="AO25" s="231">
        <f>SUMIF('125-599'!$1:$1,AO$3,'125-599'!24:24)</f>
        <v>6539.12</v>
      </c>
      <c r="AP25" s="231">
        <f>SUMIF('125-599'!$1:$1,AP$3,'125-599'!24:24)</f>
        <v>7143.85</v>
      </c>
      <c r="AQ25" s="231">
        <f>SUMIF('125-599'!$1:$1,AQ$3,'125-599'!24:24)</f>
        <v>0</v>
      </c>
      <c r="AR25" s="231">
        <f>SUMIF('125-599'!$1:$1,AR$3,'125-599'!24:24)</f>
        <v>9737.9200000000019</v>
      </c>
      <c r="AS25" s="231">
        <f>SUMIF('125-599'!$1:$1,AS$3,'125-599'!24:24)</f>
        <v>1861.82</v>
      </c>
      <c r="AT25" s="231">
        <f>SUMIF('125-599'!$1:$1,AT$3,'125-599'!24:24)</f>
        <v>19146.059999999994</v>
      </c>
      <c r="AU25" s="231">
        <f>SUMIF('125-599'!$1:$1,AU$3,'125-599'!24:24)</f>
        <v>1740.6</v>
      </c>
      <c r="AV25" s="231">
        <f>SUMIF('125-599'!$1:$1,AV$3,'125-599'!24:24)</f>
        <v>9753.3700000000008</v>
      </c>
      <c r="AW25" s="231">
        <f>SUMIF('125-599'!$1:$1,AW$3,'125-599'!24:24)</f>
        <v>12225.5</v>
      </c>
      <c r="AX25" s="231">
        <f>SUMIF('125-599'!$1:$1,AX$3,'125-599'!24:24)</f>
        <v>5244.68</v>
      </c>
      <c r="AY25" s="231">
        <f>SUMIF('125-599'!$1:$1,AY$3,'125-599'!24:24)</f>
        <v>20012.989999999998</v>
      </c>
      <c r="AZ25" s="312">
        <f>SUMIF('125-599'!$1:$1,AZ$3,'125-599'!24:24)</f>
        <v>0</v>
      </c>
      <c r="BA25" s="231">
        <f>SUMIF('125-599'!$1:$1,BA$3,'125-599'!24:24)</f>
        <v>4648.26</v>
      </c>
      <c r="BB25" s="231">
        <f>SUMIF('125-599'!$1:$1,BB$3,'125-599'!24:24)</f>
        <v>0</v>
      </c>
      <c r="BC25" s="231">
        <f>SUMIF('125-599'!$1:$1,BC$3,'125-599'!24:24)</f>
        <v>8842.7800000000007</v>
      </c>
      <c r="BD25" s="231">
        <f>SUMIF('125-599'!$1:$1,BD$3,'125-599'!24:24)</f>
        <v>2704.7</v>
      </c>
      <c r="BE25" s="231">
        <f>SUMIF('125-599'!$1:$1,BE$3,'125-599'!24:24)</f>
        <v>2374.6699999999996</v>
      </c>
      <c r="BF25" s="231">
        <f>SUMIF('125-599'!$1:$1,BF$3,'125-599'!24:24)</f>
        <v>0</v>
      </c>
      <c r="BG25" s="231">
        <f>SUMIF('125-599'!$1:$1,BG$3,'125-599'!24:24)</f>
        <v>4611.5</v>
      </c>
      <c r="BH25" s="231">
        <f>SUMIF('125-599'!$1:$1,BH$3,'125-599'!24:24)</f>
        <v>180</v>
      </c>
      <c r="BI25" s="231">
        <f>SUMIF('125-599'!$1:$1,BI$3,'125-599'!24:24)</f>
        <v>1943.8900000000003</v>
      </c>
      <c r="BJ25" s="231">
        <f>SUMIF('125-599'!$1:$1,BJ$3,'125-599'!24:24)</f>
        <v>8150.9800000000005</v>
      </c>
      <c r="BK25" s="231">
        <f>SUMIF('125-599'!$1:$1,BK$3,'125-599'!24:24)</f>
        <v>0</v>
      </c>
      <c r="BL25" s="231">
        <f>SUMIF('125-599'!$1:$1,BL$3,'125-599'!24:24)</f>
        <v>63039.94</v>
      </c>
      <c r="BM25" s="231">
        <f>SUMIF('125-599'!$1:$1,BM$3,'125-599'!24:24)</f>
        <v>56596.679999999942</v>
      </c>
      <c r="BN25" s="231">
        <f>SUMIF('125-599'!$1:$1,BN$3,'125-599'!24:24)</f>
        <v>74001.760000000009</v>
      </c>
      <c r="BO25" s="231">
        <f>SUMIF('125-599'!$1:$1,BO$3,'125-599'!24:24)</f>
        <v>13208.630000000005</v>
      </c>
      <c r="BP25" s="231">
        <f>SUMIF('125-599'!$1:$1,BP$3,'125-599'!24:24)</f>
        <v>0</v>
      </c>
      <c r="BQ25" s="231">
        <f>SUMIF('125-599'!$1:$1,BQ$3,'125-599'!24:24)</f>
        <v>0</v>
      </c>
      <c r="BR25" s="231">
        <f>SUMIF('125-599'!$1:$1,BR$3,'125-599'!24:24)</f>
        <v>0</v>
      </c>
      <c r="BS25" s="231">
        <f>SUMIF('125-599'!$1:$1,BS$3,'125-599'!24:24)</f>
        <v>0</v>
      </c>
      <c r="BT25" s="231">
        <f>SUMIF('125-599'!$1:$1,BT$3,'125-599'!24:24)</f>
        <v>0</v>
      </c>
      <c r="BU25" s="231">
        <f>SUMIF('125-599'!$1:$1,BU$3,'125-599'!24:24)</f>
        <v>-5631.25</v>
      </c>
      <c r="BV25" s="231">
        <f>SUMIF('125-599'!$1:$1,BV$3,'125-599'!24:24)</f>
        <v>0</v>
      </c>
      <c r="BW25" s="231">
        <f>SUMIF('125-599'!$1:$1,BW$3,'125-599'!24:24)</f>
        <v>0</v>
      </c>
      <c r="BX25" s="231">
        <f>SUMIF('125-599'!$1:$1,BX$3,'125-599'!24:24)</f>
        <v>0</v>
      </c>
      <c r="BY25" s="231">
        <f>SUMIF('125-599'!$1:$1,BY$3,'125-599'!24:24)</f>
        <v>2129.14</v>
      </c>
      <c r="BZ25" s="231">
        <f>SUMIF('125-599'!$1:$1,BZ$3,'125-599'!24:24)</f>
        <v>0</v>
      </c>
      <c r="CA25" s="316">
        <f>SUMIF('125-599'!$1:$1,CA$3,'125-599'!24:24)</f>
        <v>0</v>
      </c>
      <c r="CB25" s="249">
        <f>SUMIF('125-599'!$1:$1,CB$3,'125-599'!24:24)</f>
        <v>0</v>
      </c>
      <c r="CC25" s="249">
        <f>SUMIF('125-599'!$1:$1,CC$3,'125-599'!24:24)</f>
        <v>0</v>
      </c>
      <c r="CD25" s="249">
        <f>SUMIF('125-599'!$1:$1,CD$3,'125-599'!24:24)</f>
        <v>0</v>
      </c>
      <c r="CE25" s="249">
        <f>SUMIF('125-599'!$1:$1,CE$3,'125-599'!24:24)</f>
        <v>2586.9899999999998</v>
      </c>
      <c r="CF25" s="249">
        <f>SUMIF('125-599'!$1:$1,CF$3,'125-599'!24:24)</f>
        <v>1877</v>
      </c>
      <c r="CG25" s="262">
        <f t="shared" si="1"/>
        <v>-4472.5600000000904</v>
      </c>
      <c r="CJ25" s="122"/>
      <c r="CK25" s="169">
        <f>INDEX(SAP!C:C,MATCH('Actuals mapped to CFR'!A25,SAP!H:H,FALSE),1)</f>
        <v>-4472.5600000000004</v>
      </c>
      <c r="CL25" s="59">
        <f t="shared" si="16"/>
        <v>0</v>
      </c>
      <c r="CN25" s="81">
        <f t="shared" si="2"/>
        <v>1129354.06</v>
      </c>
      <c r="CO25" s="81">
        <f t="shared" si="3"/>
        <v>1159003.1000000001</v>
      </c>
      <c r="CP25" s="166">
        <f>VLOOKUP(B25,'2526 GBP Data input'!$A$4:$CA$230,38,FALSE)</f>
        <v>1060358</v>
      </c>
      <c r="CQ25" s="166">
        <f>VLOOKUP(B25,'2526 GBP Data input'!$A$4:$CA$230,73,FALSE)</f>
        <v>11586</v>
      </c>
      <c r="CR25" s="89">
        <f t="shared" si="8"/>
        <v>68996.060000000056</v>
      </c>
      <c r="CS25" s="83">
        <f t="shared" si="9"/>
        <v>100.03479199033318</v>
      </c>
      <c r="CT25" s="82">
        <f t="shared" si="5"/>
        <v>-15455.989999999991</v>
      </c>
      <c r="CU25" s="82">
        <f t="shared" si="6"/>
        <v>13063.669999999998</v>
      </c>
      <c r="CV25" s="86">
        <f t="shared" si="10"/>
        <v>-2392.3199999999924</v>
      </c>
    </row>
    <row r="26" spans="1:100" ht="12.75" customHeight="1">
      <c r="A26" s="238">
        <v>107585</v>
      </c>
      <c r="B26" s="60">
        <v>585</v>
      </c>
      <c r="C26" s="60" t="s">
        <v>263</v>
      </c>
      <c r="D26" s="231">
        <f>SUMIF('125-599'!$1:$1,D$3,'125-599'!25:25)</f>
        <v>-259196.45</v>
      </c>
      <c r="E26" s="231">
        <f>SUMIF('125-599'!$1:$1,E$3,'125-599'!25:25)</f>
        <v>-17652.98</v>
      </c>
      <c r="F26" s="231">
        <f>SUMIF('125-599'!$1:$1,F$3,'125-599'!25:25)</f>
        <v>0</v>
      </c>
      <c r="G26" s="231">
        <f>SUMIF('125-599'!$1:$1,G$3,'125-599'!25:25)</f>
        <v>0</v>
      </c>
      <c r="H26" s="231">
        <f>SUMIF('125-599'!$1:$1,H$3,'125-599'!25:25)</f>
        <v>0</v>
      </c>
      <c r="I26" s="231">
        <f>SUMIF('125-599'!$1:$1,I$3,'125-599'!25:25)</f>
        <v>0</v>
      </c>
      <c r="J26" s="231">
        <f>SUMIF('125-599'!$1:$1,J$3,'125-599'!25:25)</f>
        <v>0</v>
      </c>
      <c r="K26" s="231">
        <f>SUMIF('125-599'!$1:$1,K$3,'125-599'!25:25)</f>
        <v>-1248641.4099999999</v>
      </c>
      <c r="L26" s="231">
        <f>SUMIF('125-599'!$1:$1,L$3,'125-599'!25:25)</f>
        <v>0</v>
      </c>
      <c r="M26" s="231">
        <f>SUMIF('125-599'!$1:$1,M$3,'125-599'!25:25)</f>
        <v>-210109</v>
      </c>
      <c r="N26" s="231">
        <f>SUMIF('125-599'!$1:$1,N$3,'125-599'!25:25)</f>
        <v>0</v>
      </c>
      <c r="O26" s="231">
        <f>SUMIF('125-599'!$1:$1,O$3,'125-599'!25:25)</f>
        <v>-100305.00000000001</v>
      </c>
      <c r="P26" s="231">
        <f>SUMIF('125-599'!$1:$1,P$3,'125-599'!25:25)</f>
        <v>-41109</v>
      </c>
      <c r="Q26" s="231">
        <f>SUMIF('125-599'!$1:$1,Q$3,'125-599'!25:25)</f>
        <v>0</v>
      </c>
      <c r="R26" s="231">
        <f>SUMIF('125-599'!$1:$1,R$3,'125-599'!25:25)</f>
        <v>-14944</v>
      </c>
      <c r="S26" s="231">
        <f>SUMIF('125-599'!$1:$1,S$3,'125-599'!25:25)</f>
        <v>-62279.499999999985</v>
      </c>
      <c r="T26" s="231">
        <f>SUMIF('125-599'!$1:$1,T$3,'125-599'!25:25)</f>
        <v>-4975.5700000000006</v>
      </c>
      <c r="U26" s="231">
        <f>SUMIF('125-599'!$1:$1,U$3,'125-599'!25:25)</f>
        <v>0</v>
      </c>
      <c r="V26" s="231">
        <f>SUMIF('125-599'!$1:$1,V$3,'125-599'!25:25)</f>
        <v>0</v>
      </c>
      <c r="W26" s="231">
        <f>SUMIF('125-599'!$1:$1,W$3,'125-599'!25:25)</f>
        <v>-20864.339999999997</v>
      </c>
      <c r="X26" s="231">
        <f>SUMIF('125-599'!$1:$1,X$3,'125-599'!25:25)</f>
        <v>-6425.5</v>
      </c>
      <c r="Y26" s="277">
        <f>SUMIF('125-599'!$1:$1,Y$3,'125-599'!25:25)</f>
        <v>0</v>
      </c>
      <c r="Z26" s="231">
        <f>SUMIF('125-599'!$1:$1,Z$3,'125-599'!25:25)</f>
        <v>0</v>
      </c>
      <c r="AA26" s="231">
        <f>SUMIF('125-599'!$1:$1,AA$3,'125-599'!25:25)</f>
        <v>0</v>
      </c>
      <c r="AB26" s="231">
        <f>SUMIF('125-599'!$1:$1,AB$3,'125-599'!25:25)</f>
        <v>0</v>
      </c>
      <c r="AC26" s="312">
        <f>SUMIF('125-599'!$1:$1,AC$3,'125-599'!25:25)</f>
        <v>0</v>
      </c>
      <c r="AD26" s="312">
        <f>SUMIF('125-599'!$1:$1,AD$3,'125-599'!25:25)</f>
        <v>0</v>
      </c>
      <c r="AE26" s="312">
        <f>SUMIF('125-599'!$1:$1,AE$3,'125-599'!25:25)</f>
        <v>0</v>
      </c>
      <c r="AF26" s="312">
        <f>SUMIF('125-599'!$1:$1,AF$3,'125-599'!25:25)</f>
        <v>0</v>
      </c>
      <c r="AG26" s="231">
        <f>SUMIF('125-599'!$1:$1,AG$3,'125-599'!25:25)</f>
        <v>696850.41999999993</v>
      </c>
      <c r="AH26" s="231">
        <f>SUMIF('125-599'!$1:$1,AH$3,'125-599'!25:25)</f>
        <v>35305.31</v>
      </c>
      <c r="AI26" s="231">
        <f>SUMIF('125-599'!$1:$1,AI$3,'125-599'!25:25)</f>
        <v>359326.44000000006</v>
      </c>
      <c r="AJ26" s="231">
        <f>SUMIF('125-599'!$1:$1,AJ$3,'125-599'!25:25)</f>
        <v>41229.899999999994</v>
      </c>
      <c r="AK26" s="231">
        <f>SUMIF('125-599'!$1:$1,AK$3,'125-599'!25:25)</f>
        <v>79996.7</v>
      </c>
      <c r="AL26" s="231">
        <f>SUMIF('125-599'!$1:$1,AL$3,'125-599'!25:25)</f>
        <v>0</v>
      </c>
      <c r="AM26" s="231">
        <f>SUMIF('125-599'!$1:$1,AM$3,'125-599'!25:25)</f>
        <v>39495.730000000003</v>
      </c>
      <c r="AN26" s="231">
        <f>SUMIF('125-599'!$1:$1,AN$3,'125-599'!25:25)</f>
        <v>4698.34</v>
      </c>
      <c r="AO26" s="231">
        <f>SUMIF('125-599'!$1:$1,AO$3,'125-599'!25:25)</f>
        <v>12894.77</v>
      </c>
      <c r="AP26" s="231">
        <f>SUMIF('125-599'!$1:$1,AP$3,'125-599'!25:25)</f>
        <v>1827.02</v>
      </c>
      <c r="AQ26" s="231">
        <f>SUMIF('125-599'!$1:$1,AQ$3,'125-599'!25:25)</f>
        <v>0</v>
      </c>
      <c r="AR26" s="231">
        <f>SUMIF('125-599'!$1:$1,AR$3,'125-599'!25:25)</f>
        <v>9424.5400000000027</v>
      </c>
      <c r="AS26" s="231">
        <f>SUMIF('125-599'!$1:$1,AS$3,'125-599'!25:25)</f>
        <v>4995</v>
      </c>
      <c r="AT26" s="231">
        <f>SUMIF('125-599'!$1:$1,AT$3,'125-599'!25:25)</f>
        <v>3410.16</v>
      </c>
      <c r="AU26" s="231">
        <f>SUMIF('125-599'!$1:$1,AU$3,'125-599'!25:25)</f>
        <v>8454.74</v>
      </c>
      <c r="AV26" s="231">
        <f>SUMIF('125-599'!$1:$1,AV$3,'125-599'!25:25)</f>
        <v>20433.900000000001</v>
      </c>
      <c r="AW26" s="231">
        <f>SUMIF('125-599'!$1:$1,AW$3,'125-599'!25:25)</f>
        <v>19386.150000000001</v>
      </c>
      <c r="AX26" s="231">
        <f>SUMIF('125-599'!$1:$1,AX$3,'125-599'!25:25)</f>
        <v>9347.369999999999</v>
      </c>
      <c r="AY26" s="231">
        <f>SUMIF('125-599'!$1:$1,AY$3,'125-599'!25:25)</f>
        <v>59348.93</v>
      </c>
      <c r="AZ26" s="312">
        <f>SUMIF('125-599'!$1:$1,AZ$3,'125-599'!25:25)</f>
        <v>0</v>
      </c>
      <c r="BA26" s="231">
        <f>SUMIF('125-599'!$1:$1,BA$3,'125-599'!25:25)</f>
        <v>2279</v>
      </c>
      <c r="BB26" s="231">
        <f>SUMIF('125-599'!$1:$1,BB$3,'125-599'!25:25)</f>
        <v>0</v>
      </c>
      <c r="BC26" s="231">
        <f>SUMIF('125-599'!$1:$1,BC$3,'125-599'!25:25)</f>
        <v>10330.07</v>
      </c>
      <c r="BD26" s="231">
        <f>SUMIF('125-599'!$1:$1,BD$3,'125-599'!25:25)</f>
        <v>2684.99</v>
      </c>
      <c r="BE26" s="231">
        <f>SUMIF('125-599'!$1:$1,BE$3,'125-599'!25:25)</f>
        <v>88</v>
      </c>
      <c r="BF26" s="231">
        <f>SUMIF('125-599'!$1:$1,BF$3,'125-599'!25:25)</f>
        <v>128.76</v>
      </c>
      <c r="BG26" s="231">
        <f>SUMIF('125-599'!$1:$1,BG$3,'125-599'!25:25)</f>
        <v>6617.14</v>
      </c>
      <c r="BH26" s="231">
        <f>SUMIF('125-599'!$1:$1,BH$3,'125-599'!25:25)</f>
        <v>0</v>
      </c>
      <c r="BI26" s="231">
        <f>SUMIF('125-599'!$1:$1,BI$3,'125-599'!25:25)</f>
        <v>5715.7</v>
      </c>
      <c r="BJ26" s="231">
        <f>SUMIF('125-599'!$1:$1,BJ$3,'125-599'!25:25)</f>
        <v>10041.49</v>
      </c>
      <c r="BK26" s="231">
        <f>SUMIF('125-599'!$1:$1,BK$3,'125-599'!25:25)</f>
        <v>45276.39</v>
      </c>
      <c r="BL26" s="231">
        <f>SUMIF('125-599'!$1:$1,BL$3,'125-599'!25:25)</f>
        <v>55703.72</v>
      </c>
      <c r="BM26" s="231">
        <f>SUMIF('125-599'!$1:$1,BM$3,'125-599'!25:25)</f>
        <v>0</v>
      </c>
      <c r="BN26" s="231">
        <f>SUMIF('125-599'!$1:$1,BN$3,'125-599'!25:25)</f>
        <v>29826.45</v>
      </c>
      <c r="BO26" s="231">
        <f>SUMIF('125-599'!$1:$1,BO$3,'125-599'!25:25)</f>
        <v>27401.61</v>
      </c>
      <c r="BP26" s="231">
        <f>SUMIF('125-599'!$1:$1,BP$3,'125-599'!25:25)</f>
        <v>0</v>
      </c>
      <c r="BQ26" s="231">
        <f>SUMIF('125-599'!$1:$1,BQ$3,'125-599'!25:25)</f>
        <v>0</v>
      </c>
      <c r="BR26" s="231">
        <f>SUMIF('125-599'!$1:$1,BR$3,'125-599'!25:25)</f>
        <v>0</v>
      </c>
      <c r="BS26" s="231">
        <f>SUMIF('125-599'!$1:$1,BS$3,'125-599'!25:25)</f>
        <v>585.08000000000004</v>
      </c>
      <c r="BT26" s="231">
        <f>SUMIF('125-599'!$1:$1,BT$3,'125-599'!25:25)</f>
        <v>2304.9300000000007</v>
      </c>
      <c r="BU26" s="231">
        <f>SUMIF('125-599'!$1:$1,BU$3,'125-599'!25:25)</f>
        <v>-6205</v>
      </c>
      <c r="BV26" s="231">
        <f>SUMIF('125-599'!$1:$1,BV$3,'125-599'!25:25)</f>
        <v>0</v>
      </c>
      <c r="BW26" s="231">
        <f>SUMIF('125-599'!$1:$1,BW$3,'125-599'!25:25)</f>
        <v>0</v>
      </c>
      <c r="BX26" s="231">
        <f>SUMIF('125-599'!$1:$1,BX$3,'125-599'!25:25)</f>
        <v>0</v>
      </c>
      <c r="BY26" s="231">
        <f>SUMIF('125-599'!$1:$1,BY$3,'125-599'!25:25)</f>
        <v>3457.5</v>
      </c>
      <c r="BZ26" s="231">
        <f>SUMIF('125-599'!$1:$1,BZ$3,'125-599'!25:25)</f>
        <v>0</v>
      </c>
      <c r="CA26" s="316">
        <f>SUMIF('125-599'!$1:$1,CA$3,'125-599'!25:25)</f>
        <v>0</v>
      </c>
      <c r="CB26" s="249">
        <f>SUMIF('125-599'!$1:$1,CB$3,'125-599'!25:25)</f>
        <v>0</v>
      </c>
      <c r="CC26" s="249">
        <f>SUMIF('125-599'!$1:$1,CC$3,'125-599'!25:25)</f>
        <v>0</v>
      </c>
      <c r="CD26" s="249">
        <f>SUMIF('125-599'!$1:$1,CD$3,'125-599'!25:25)</f>
        <v>0</v>
      </c>
      <c r="CE26" s="249">
        <f>SUMIF('125-599'!$1:$1,CE$3,'125-599'!25:25)</f>
        <v>0</v>
      </c>
      <c r="CF26" s="249">
        <f>SUMIF('125-599'!$1:$1,CF$3,'125-599'!25:25)</f>
        <v>0</v>
      </c>
      <c r="CG26" s="262">
        <f t="shared" si="1"/>
        <v>-383841.49999999994</v>
      </c>
      <c r="CJ26" s="122"/>
      <c r="CK26" s="169">
        <f>INDEX(SAP!C:C,MATCH('Actuals mapped to CFR'!A26,SAP!H:H,FALSE),1)</f>
        <v>-383841.5</v>
      </c>
      <c r="CL26" s="59">
        <f t="shared" si="16"/>
        <v>0</v>
      </c>
      <c r="CN26" s="81">
        <f t="shared" si="2"/>
        <v>1709653.32</v>
      </c>
      <c r="CO26" s="81">
        <f t="shared" si="3"/>
        <v>1605408.7499999995</v>
      </c>
      <c r="CP26" s="166">
        <f>VLOOKUP(B26,'2526 GBP Data input'!$A$4:$CA$230,38,FALSE)</f>
        <v>1610634</v>
      </c>
      <c r="CQ26" s="166">
        <f>VLOOKUP(B26,'2526 GBP Data input'!$A$4:$CA$230,73,FALSE)</f>
        <v>18911</v>
      </c>
      <c r="CR26" s="89">
        <f t="shared" si="8"/>
        <v>99019.320000000065</v>
      </c>
      <c r="CS26" s="83">
        <f t="shared" si="9"/>
        <v>84.89285336576593</v>
      </c>
      <c r="CT26" s="82">
        <f t="shared" si="5"/>
        <v>363441.02000000048</v>
      </c>
      <c r="CU26" s="82">
        <f t="shared" si="6"/>
        <v>2747.5</v>
      </c>
      <c r="CV26" s="86">
        <f t="shared" si="10"/>
        <v>366188.52000000048</v>
      </c>
    </row>
    <row r="27" spans="1:100" ht="12.75" customHeight="1">
      <c r="A27" s="238">
        <v>107586</v>
      </c>
      <c r="B27" s="60">
        <v>586</v>
      </c>
      <c r="C27" s="60" t="s">
        <v>226</v>
      </c>
      <c r="D27" s="231">
        <f>SUMIF('125-599'!$1:$1,D$3,'125-599'!26:26)</f>
        <v>162.27000000000001</v>
      </c>
      <c r="E27" s="231">
        <f>SUMIF('125-599'!$1:$1,E$3,'125-599'!26:26)</f>
        <v>-11871.24</v>
      </c>
      <c r="F27" s="231">
        <f>SUMIF('125-599'!$1:$1,F$3,'125-599'!26:26)</f>
        <v>58974.91</v>
      </c>
      <c r="G27" s="231">
        <f>SUMIF('125-599'!$1:$1,G$3,'125-599'!26:26)</f>
        <v>-1239.8699999999999</v>
      </c>
      <c r="H27" s="231">
        <f>SUMIF('125-599'!$1:$1,H$3,'125-599'!26:26)</f>
        <v>0</v>
      </c>
      <c r="I27" s="231">
        <f>SUMIF('125-599'!$1:$1,I$3,'125-599'!26:26)</f>
        <v>0</v>
      </c>
      <c r="J27" s="231">
        <f>SUMIF('125-599'!$1:$1,J$3,'125-599'!26:26)</f>
        <v>0</v>
      </c>
      <c r="K27" s="231">
        <f>SUMIF('125-599'!$1:$1,K$3,'125-599'!26:26)</f>
        <v>-983451.98</v>
      </c>
      <c r="L27" s="231">
        <f>SUMIF('125-599'!$1:$1,L$3,'125-599'!26:26)</f>
        <v>0</v>
      </c>
      <c r="M27" s="231">
        <f>SUMIF('125-599'!$1:$1,M$3,'125-599'!26:26)</f>
        <v>-25502</v>
      </c>
      <c r="N27" s="231">
        <f>SUMIF('125-599'!$1:$1,N$3,'125-599'!26:26)</f>
        <v>0</v>
      </c>
      <c r="O27" s="231">
        <f>SUMIF('125-599'!$1:$1,O$3,'125-599'!26:26)</f>
        <v>-19645</v>
      </c>
      <c r="P27" s="231">
        <f>SUMIF('125-599'!$1:$1,P$3,'125-599'!26:26)</f>
        <v>-46224</v>
      </c>
      <c r="Q27" s="231">
        <f>SUMIF('125-599'!$1:$1,Q$3,'125-599'!26:26)</f>
        <v>0</v>
      </c>
      <c r="R27" s="231">
        <f>SUMIF('125-599'!$1:$1,R$3,'125-599'!26:26)</f>
        <v>0</v>
      </c>
      <c r="S27" s="231">
        <f>SUMIF('125-599'!$1:$1,S$3,'125-599'!26:26)</f>
        <v>-9673.7899999999991</v>
      </c>
      <c r="T27" s="231">
        <f>SUMIF('125-599'!$1:$1,T$3,'125-599'!26:26)</f>
        <v>-17998.410000000007</v>
      </c>
      <c r="U27" s="231">
        <f>SUMIF('125-599'!$1:$1,U$3,'125-599'!26:26)</f>
        <v>0</v>
      </c>
      <c r="V27" s="231">
        <f>SUMIF('125-599'!$1:$1,V$3,'125-599'!26:26)</f>
        <v>0</v>
      </c>
      <c r="W27" s="231">
        <f>SUMIF('125-599'!$1:$1,W$3,'125-599'!26:26)</f>
        <v>-6372.6</v>
      </c>
      <c r="X27" s="231">
        <f>SUMIF('125-599'!$1:$1,X$3,'125-599'!26:26)</f>
        <v>-20556.8</v>
      </c>
      <c r="Y27" s="277">
        <f>SUMIF('125-599'!$1:$1,Y$3,'125-599'!26:26)</f>
        <v>0</v>
      </c>
      <c r="Z27" s="231">
        <f>SUMIF('125-599'!$1:$1,Z$3,'125-599'!26:26)</f>
        <v>0</v>
      </c>
      <c r="AA27" s="231">
        <f>SUMIF('125-599'!$1:$1,AA$3,'125-599'!26:26)</f>
        <v>0</v>
      </c>
      <c r="AB27" s="231">
        <f>SUMIF('125-599'!$1:$1,AB$3,'125-599'!26:26)</f>
        <v>0</v>
      </c>
      <c r="AC27" s="312">
        <f>SUMIF('125-599'!$1:$1,AC$3,'125-599'!26:26)</f>
        <v>0</v>
      </c>
      <c r="AD27" s="312">
        <f>SUMIF('125-599'!$1:$1,AD$3,'125-599'!26:26)</f>
        <v>0</v>
      </c>
      <c r="AE27" s="312">
        <f>SUMIF('125-599'!$1:$1,AE$3,'125-599'!26:26)</f>
        <v>0</v>
      </c>
      <c r="AF27" s="312">
        <f>SUMIF('125-599'!$1:$1,AF$3,'125-599'!26:26)</f>
        <v>0</v>
      </c>
      <c r="AG27" s="231">
        <f>SUMIF('125-599'!$1:$1,AG$3,'125-599'!26:26)</f>
        <v>635262.64999999991</v>
      </c>
      <c r="AH27" s="231">
        <f>SUMIF('125-599'!$1:$1,AH$3,'125-599'!26:26)</f>
        <v>34782.759999999995</v>
      </c>
      <c r="AI27" s="231">
        <f>SUMIF('125-599'!$1:$1,AI$3,'125-599'!26:26)</f>
        <v>229356.03</v>
      </c>
      <c r="AJ27" s="231">
        <f>SUMIF('125-599'!$1:$1,AJ$3,'125-599'!26:26)</f>
        <v>8565.3899999999976</v>
      </c>
      <c r="AK27" s="231">
        <f>SUMIF('125-599'!$1:$1,AK$3,'125-599'!26:26)</f>
        <v>67593.06</v>
      </c>
      <c r="AL27" s="231">
        <f>SUMIF('125-599'!$1:$1,AL$3,'125-599'!26:26)</f>
        <v>0</v>
      </c>
      <c r="AM27" s="231">
        <f>SUMIF('125-599'!$1:$1,AM$3,'125-599'!26:26)</f>
        <v>18757.800000000007</v>
      </c>
      <c r="AN27" s="231">
        <f>SUMIF('125-599'!$1:$1,AN$3,'125-599'!26:26)</f>
        <v>3900.92</v>
      </c>
      <c r="AO27" s="231">
        <f>SUMIF('125-599'!$1:$1,AO$3,'125-599'!26:26)</f>
        <v>3973.5</v>
      </c>
      <c r="AP27" s="231">
        <f>SUMIF('125-599'!$1:$1,AP$3,'125-599'!26:26)</f>
        <v>4256.7699999999995</v>
      </c>
      <c r="AQ27" s="231">
        <f>SUMIF('125-599'!$1:$1,AQ$3,'125-599'!26:26)</f>
        <v>920.08</v>
      </c>
      <c r="AR27" s="231">
        <f>SUMIF('125-599'!$1:$1,AR$3,'125-599'!26:26)</f>
        <v>15455.149999999998</v>
      </c>
      <c r="AS27" s="231">
        <f>SUMIF('125-599'!$1:$1,AS$3,'125-599'!26:26)</f>
        <v>93.98</v>
      </c>
      <c r="AT27" s="231">
        <f>SUMIF('125-599'!$1:$1,AT$3,'125-599'!26:26)</f>
        <v>29280.470000000005</v>
      </c>
      <c r="AU27" s="231">
        <f>SUMIF('125-599'!$1:$1,AU$3,'125-599'!26:26)</f>
        <v>3687.3199999999997</v>
      </c>
      <c r="AV27" s="231">
        <f>SUMIF('125-599'!$1:$1,AV$3,'125-599'!26:26)</f>
        <v>17928.400000000001</v>
      </c>
      <c r="AW27" s="231">
        <f>SUMIF('125-599'!$1:$1,AW$3,'125-599'!26:26)</f>
        <v>4940.1000000000004</v>
      </c>
      <c r="AX27" s="231">
        <f>SUMIF('125-599'!$1:$1,AX$3,'125-599'!26:26)</f>
        <v>9573.66</v>
      </c>
      <c r="AY27" s="231">
        <f>SUMIF('125-599'!$1:$1,AY$3,'125-599'!26:26)</f>
        <v>39658.330000000016</v>
      </c>
      <c r="AZ27" s="312">
        <f>SUMIF('125-599'!$1:$1,AZ$3,'125-599'!26:26)</f>
        <v>0</v>
      </c>
      <c r="BA27" s="231">
        <f>SUMIF('125-599'!$1:$1,BA$3,'125-599'!26:26)</f>
        <v>5444.83</v>
      </c>
      <c r="BB27" s="231">
        <f>SUMIF('125-599'!$1:$1,BB$3,'125-599'!26:26)</f>
        <v>0</v>
      </c>
      <c r="BC27" s="231">
        <f>SUMIF('125-599'!$1:$1,BC$3,'125-599'!26:26)</f>
        <v>999.5</v>
      </c>
      <c r="BD27" s="231">
        <f>SUMIF('125-599'!$1:$1,BD$3,'125-599'!26:26)</f>
        <v>1419.1799999999998</v>
      </c>
      <c r="BE27" s="231">
        <f>SUMIF('125-599'!$1:$1,BE$3,'125-599'!26:26)</f>
        <v>3194.62</v>
      </c>
      <c r="BF27" s="231">
        <f>SUMIF('125-599'!$1:$1,BF$3,'125-599'!26:26)</f>
        <v>461.64</v>
      </c>
      <c r="BG27" s="231">
        <f>SUMIF('125-599'!$1:$1,BG$3,'125-599'!26:26)</f>
        <v>1984.5</v>
      </c>
      <c r="BH27" s="231">
        <f>SUMIF('125-599'!$1:$1,BH$3,'125-599'!26:26)</f>
        <v>30</v>
      </c>
      <c r="BI27" s="231">
        <f>SUMIF('125-599'!$1:$1,BI$3,'125-599'!26:26)</f>
        <v>3187.2799999999997</v>
      </c>
      <c r="BJ27" s="231">
        <f>SUMIF('125-599'!$1:$1,BJ$3,'125-599'!26:26)</f>
        <v>8994.51</v>
      </c>
      <c r="BK27" s="231">
        <f>SUMIF('125-599'!$1:$1,BK$3,'125-599'!26:26)</f>
        <v>0</v>
      </c>
      <c r="BL27" s="231">
        <f>SUMIF('125-599'!$1:$1,BL$3,'125-599'!26:26)</f>
        <v>50744.289999999994</v>
      </c>
      <c r="BM27" s="231">
        <f>SUMIF('125-599'!$1:$1,BM$3,'125-599'!26:26)</f>
        <v>400</v>
      </c>
      <c r="BN27" s="231">
        <f>SUMIF('125-599'!$1:$1,BN$3,'125-599'!26:26)</f>
        <v>36268.33</v>
      </c>
      <c r="BO27" s="231">
        <f>SUMIF('125-599'!$1:$1,BO$3,'125-599'!26:26)</f>
        <v>16509.550000000003</v>
      </c>
      <c r="BP27" s="231">
        <f>SUMIF('125-599'!$1:$1,BP$3,'125-599'!26:26)</f>
        <v>0</v>
      </c>
      <c r="BQ27" s="231">
        <f>SUMIF('125-599'!$1:$1,BQ$3,'125-599'!26:26)</f>
        <v>0</v>
      </c>
      <c r="BR27" s="231">
        <f>SUMIF('125-599'!$1:$1,BR$3,'125-599'!26:26)</f>
        <v>0</v>
      </c>
      <c r="BS27" s="231">
        <f>SUMIF('125-599'!$1:$1,BS$3,'125-599'!26:26)</f>
        <v>0</v>
      </c>
      <c r="BT27" s="231">
        <f>SUMIF('125-599'!$1:$1,BT$3,'125-599'!26:26)</f>
        <v>0</v>
      </c>
      <c r="BU27" s="231">
        <f>SUMIF('125-599'!$1:$1,BU$3,'125-599'!26:26)</f>
        <v>-6227.5</v>
      </c>
      <c r="BV27" s="231">
        <f>SUMIF('125-599'!$1:$1,BV$3,'125-599'!26:26)</f>
        <v>0</v>
      </c>
      <c r="BW27" s="231">
        <f>SUMIF('125-599'!$1:$1,BW$3,'125-599'!26:26)</f>
        <v>0</v>
      </c>
      <c r="BX27" s="231">
        <f>SUMIF('125-599'!$1:$1,BX$3,'125-599'!26:26)</f>
        <v>0</v>
      </c>
      <c r="BY27" s="231">
        <f>SUMIF('125-599'!$1:$1,BY$3,'125-599'!26:26)</f>
        <v>2249.31</v>
      </c>
      <c r="BZ27" s="231">
        <f>SUMIF('125-599'!$1:$1,BZ$3,'125-599'!26:26)</f>
        <v>0</v>
      </c>
      <c r="CA27" s="316">
        <f>SUMIF('125-599'!$1:$1,CA$3,'125-599'!26:26)</f>
        <v>0</v>
      </c>
      <c r="CB27" s="249">
        <f>SUMIF('125-599'!$1:$1,CB$3,'125-599'!26:26)</f>
        <v>0</v>
      </c>
      <c r="CC27" s="249">
        <f>SUMIF('125-599'!$1:$1,CC$3,'125-599'!26:26)</f>
        <v>2607.56</v>
      </c>
      <c r="CD27" s="249">
        <f>SUMIF('125-599'!$1:$1,CD$3,'125-599'!26:26)</f>
        <v>1270</v>
      </c>
      <c r="CE27" s="249">
        <f>SUMIF('125-599'!$1:$1,CE$3,'125-599'!26:26)</f>
        <v>1816</v>
      </c>
      <c r="CF27" s="249">
        <f>SUMIF('125-599'!$1:$1,CF$3,'125-599'!26:26)</f>
        <v>0</v>
      </c>
      <c r="CG27" s="262">
        <f t="shared" si="1"/>
        <v>175941.45999999967</v>
      </c>
      <c r="CJ27" s="122"/>
      <c r="CK27" s="169">
        <f>INDEX(SAP!C:C,MATCH('Actuals mapped to CFR'!A27,SAP!H:H,FALSE),1)</f>
        <v>175941.46</v>
      </c>
      <c r="CL27" s="59">
        <f>ROUND(CK27-CG27,2)</f>
        <v>0</v>
      </c>
      <c r="CN27" s="81">
        <f t="shared" si="2"/>
        <v>1129424.58</v>
      </c>
      <c r="CO27" s="81">
        <f t="shared" si="3"/>
        <v>1257624.6000000003</v>
      </c>
      <c r="CP27" s="166">
        <f>VLOOKUP(B27,'2526 GBP Data input'!$A$4:$CA$230,38,FALSE)</f>
        <v>1091707</v>
      </c>
      <c r="CQ27" s="166">
        <f>VLOOKUP(B27,'2526 GBP Data input'!$A$4:$CA$230,73,FALSE)</f>
        <v>13005</v>
      </c>
      <c r="CR27" s="89">
        <f t="shared" si="8"/>
        <v>37717.580000000075</v>
      </c>
      <c r="CS27" s="83">
        <f t="shared" si="9"/>
        <v>96.703160322952741</v>
      </c>
      <c r="CT27" s="82">
        <f t="shared" si="5"/>
        <v>-187337.20000000019</v>
      </c>
      <c r="CU27" s="82">
        <f t="shared" si="6"/>
        <v>5218.0599999999995</v>
      </c>
      <c r="CV27" s="86">
        <f t="shared" si="10"/>
        <v>-182119.14000000019</v>
      </c>
    </row>
    <row r="28" spans="1:100" ht="12.75" customHeight="1">
      <c r="A28" s="238">
        <v>107593</v>
      </c>
      <c r="B28" s="60">
        <v>593</v>
      </c>
      <c r="C28" s="60" t="s">
        <v>200</v>
      </c>
      <c r="D28" s="231">
        <f>SUMIF('125-599'!$1:$1,D$3,'125-599'!27:27)</f>
        <v>0</v>
      </c>
      <c r="E28" s="231">
        <f>SUMIF('125-599'!$1:$1,E$3,'125-599'!27:27)</f>
        <v>-2956.42</v>
      </c>
      <c r="F28" s="231">
        <f>SUMIF('125-599'!$1:$1,F$3,'125-599'!27:27)</f>
        <v>21643.86</v>
      </c>
      <c r="G28" s="231">
        <f>SUMIF('125-599'!$1:$1,G$3,'125-599'!27:27)</f>
        <v>8353.61</v>
      </c>
      <c r="H28" s="231">
        <f>SUMIF('125-599'!$1:$1,H$3,'125-599'!27:27)</f>
        <v>0</v>
      </c>
      <c r="I28" s="231">
        <f>SUMIF('125-599'!$1:$1,I$3,'125-599'!27:27)</f>
        <v>0</v>
      </c>
      <c r="J28" s="231">
        <f>SUMIF('125-599'!$1:$1,J$3,'125-599'!27:27)</f>
        <v>0</v>
      </c>
      <c r="K28" s="231">
        <f>SUMIF('125-599'!$1:$1,K$3,'125-599'!27:27)</f>
        <v>-1098677.1399999999</v>
      </c>
      <c r="L28" s="231">
        <f>SUMIF('125-599'!$1:$1,L$3,'125-599'!27:27)</f>
        <v>0</v>
      </c>
      <c r="M28" s="231">
        <f>SUMIF('125-599'!$1:$1,M$3,'125-599'!27:27)</f>
        <v>-184797</v>
      </c>
      <c r="N28" s="231">
        <f>SUMIF('125-599'!$1:$1,N$3,'125-599'!27:27)</f>
        <v>0</v>
      </c>
      <c r="O28" s="231">
        <f>SUMIF('125-599'!$1:$1,O$3,'125-599'!27:27)</f>
        <v>-54299.5</v>
      </c>
      <c r="P28" s="231">
        <f>SUMIF('125-599'!$1:$1,P$3,'125-599'!27:27)</f>
        <v>-97421</v>
      </c>
      <c r="Q28" s="231">
        <f>SUMIF('125-599'!$1:$1,Q$3,'125-599'!27:27)</f>
        <v>-2258.1400000000003</v>
      </c>
      <c r="R28" s="231">
        <f>SUMIF('125-599'!$1:$1,R$3,'125-599'!27:27)</f>
        <v>-10106.35</v>
      </c>
      <c r="S28" s="231">
        <f>SUMIF('125-599'!$1:$1,S$3,'125-599'!27:27)</f>
        <v>-5208</v>
      </c>
      <c r="T28" s="231">
        <f>SUMIF('125-599'!$1:$1,T$3,'125-599'!27:27)</f>
        <v>-37528.410000000011</v>
      </c>
      <c r="U28" s="231">
        <f>SUMIF('125-599'!$1:$1,U$3,'125-599'!27:27)</f>
        <v>-1539.9999999999998</v>
      </c>
      <c r="V28" s="231">
        <f>SUMIF('125-599'!$1:$1,V$3,'125-599'!27:27)</f>
        <v>-2754</v>
      </c>
      <c r="W28" s="231">
        <f>SUMIF('125-599'!$1:$1,W$3,'125-599'!27:27)</f>
        <v>-31811.990000000009</v>
      </c>
      <c r="X28" s="231">
        <f>SUMIF('125-599'!$1:$1,X$3,'125-599'!27:27)</f>
        <v>-16997.36</v>
      </c>
      <c r="Y28" s="277">
        <f>SUMIF('125-599'!$1:$1,Y$3,'125-599'!27:27)</f>
        <v>0</v>
      </c>
      <c r="Z28" s="231">
        <f>SUMIF('125-599'!$1:$1,Z$3,'125-599'!27:27)</f>
        <v>0</v>
      </c>
      <c r="AA28" s="231">
        <f>SUMIF('125-599'!$1:$1,AA$3,'125-599'!27:27)</f>
        <v>0</v>
      </c>
      <c r="AB28" s="231">
        <f>SUMIF('125-599'!$1:$1,AB$3,'125-599'!27:27)</f>
        <v>-10.69</v>
      </c>
      <c r="AC28" s="312">
        <f>SUMIF('125-599'!$1:$1,AC$3,'125-599'!27:27)</f>
        <v>0</v>
      </c>
      <c r="AD28" s="312">
        <f>SUMIF('125-599'!$1:$1,AD$3,'125-599'!27:27)</f>
        <v>0</v>
      </c>
      <c r="AE28" s="312">
        <f>SUMIF('125-599'!$1:$1,AE$3,'125-599'!27:27)</f>
        <v>0</v>
      </c>
      <c r="AF28" s="312">
        <f>SUMIF('125-599'!$1:$1,AF$3,'125-599'!27:27)</f>
        <v>0</v>
      </c>
      <c r="AG28" s="231">
        <f>SUMIF('125-599'!$1:$1,AG$3,'125-599'!27:27)</f>
        <v>738531.42</v>
      </c>
      <c r="AH28" s="231">
        <f>SUMIF('125-599'!$1:$1,AH$3,'125-599'!27:27)</f>
        <v>12089.35</v>
      </c>
      <c r="AI28" s="231">
        <f>SUMIF('125-599'!$1:$1,AI$3,'125-599'!27:27)</f>
        <v>343741.62</v>
      </c>
      <c r="AJ28" s="231">
        <f>SUMIF('125-599'!$1:$1,AJ$3,'125-599'!27:27)</f>
        <v>13904.980000000003</v>
      </c>
      <c r="AK28" s="231">
        <f>SUMIF('125-599'!$1:$1,AK$3,'125-599'!27:27)</f>
        <v>55808.94</v>
      </c>
      <c r="AL28" s="231">
        <f>SUMIF('125-599'!$1:$1,AL$3,'125-599'!27:27)</f>
        <v>64159.080000000009</v>
      </c>
      <c r="AM28" s="231">
        <f>SUMIF('125-599'!$1:$1,AM$3,'125-599'!27:27)</f>
        <v>39585.450000000004</v>
      </c>
      <c r="AN28" s="231">
        <f>SUMIF('125-599'!$1:$1,AN$3,'125-599'!27:27)</f>
        <v>4640.3500000000004</v>
      </c>
      <c r="AO28" s="231">
        <f>SUMIF('125-599'!$1:$1,AO$3,'125-599'!27:27)</f>
        <v>2797.75</v>
      </c>
      <c r="AP28" s="231">
        <f>SUMIF('125-599'!$1:$1,AP$3,'125-599'!27:27)</f>
        <v>7758.3</v>
      </c>
      <c r="AQ28" s="231">
        <f>SUMIF('125-599'!$1:$1,AQ$3,'125-599'!27:27)</f>
        <v>1990.18</v>
      </c>
      <c r="AR28" s="231">
        <f>SUMIF('125-599'!$1:$1,AR$3,'125-599'!27:27)</f>
        <v>11419.490000000002</v>
      </c>
      <c r="AS28" s="231">
        <f>SUMIF('125-599'!$1:$1,AS$3,'125-599'!27:27)</f>
        <v>6369.2599999999993</v>
      </c>
      <c r="AT28" s="231">
        <f>SUMIF('125-599'!$1:$1,AT$3,'125-599'!27:27)</f>
        <v>26931.380000000005</v>
      </c>
      <c r="AU28" s="231">
        <f>SUMIF('125-599'!$1:$1,AU$3,'125-599'!27:27)</f>
        <v>7007.95</v>
      </c>
      <c r="AV28" s="231">
        <f>SUMIF('125-599'!$1:$1,AV$3,'125-599'!27:27)</f>
        <v>17713.47</v>
      </c>
      <c r="AW28" s="231">
        <f>SUMIF('125-599'!$1:$1,AW$3,'125-599'!27:27)</f>
        <v>14958.5</v>
      </c>
      <c r="AX28" s="231">
        <f>SUMIF('125-599'!$1:$1,AX$3,'125-599'!27:27)</f>
        <v>6778.0299999999988</v>
      </c>
      <c r="AY28" s="231">
        <f>SUMIF('125-599'!$1:$1,AY$3,'125-599'!27:27)</f>
        <v>42825.590000000004</v>
      </c>
      <c r="AZ28" s="312">
        <f>SUMIF('125-599'!$1:$1,AZ$3,'125-599'!27:27)</f>
        <v>0</v>
      </c>
      <c r="BA28" s="231">
        <f>SUMIF('125-599'!$1:$1,BA$3,'125-599'!27:27)</f>
        <v>2352</v>
      </c>
      <c r="BB28" s="231">
        <f>SUMIF('125-599'!$1:$1,BB$3,'125-599'!27:27)</f>
        <v>0</v>
      </c>
      <c r="BC28" s="231">
        <f>SUMIF('125-599'!$1:$1,BC$3,'125-599'!27:27)</f>
        <v>5503.36</v>
      </c>
      <c r="BD28" s="231">
        <f>SUMIF('125-599'!$1:$1,BD$3,'125-599'!27:27)</f>
        <v>3874.34</v>
      </c>
      <c r="BE28" s="231">
        <f>SUMIF('125-599'!$1:$1,BE$3,'125-599'!27:27)</f>
        <v>798</v>
      </c>
      <c r="BF28" s="231">
        <f>SUMIF('125-599'!$1:$1,BF$3,'125-599'!27:27)</f>
        <v>4827.76</v>
      </c>
      <c r="BG28" s="231">
        <f>SUMIF('125-599'!$1:$1,BG$3,'125-599'!27:27)</f>
        <v>5804</v>
      </c>
      <c r="BH28" s="231">
        <f>SUMIF('125-599'!$1:$1,BH$3,'125-599'!27:27)</f>
        <v>0</v>
      </c>
      <c r="BI28" s="231">
        <f>SUMIF('125-599'!$1:$1,BI$3,'125-599'!27:27)</f>
        <v>1785.9099999999999</v>
      </c>
      <c r="BJ28" s="231">
        <f>SUMIF('125-599'!$1:$1,BJ$3,'125-599'!27:27)</f>
        <v>11119.880000000001</v>
      </c>
      <c r="BK28" s="231">
        <f>SUMIF('125-599'!$1:$1,BK$3,'125-599'!27:27)</f>
        <v>0</v>
      </c>
      <c r="BL28" s="231">
        <f>SUMIF('125-599'!$1:$1,BL$3,'125-599'!27:27)</f>
        <v>34805.509999999987</v>
      </c>
      <c r="BM28" s="231">
        <f>SUMIF('125-599'!$1:$1,BM$3,'125-599'!27:27)</f>
        <v>2249.5</v>
      </c>
      <c r="BN28" s="231">
        <f>SUMIF('125-599'!$1:$1,BN$3,'125-599'!27:27)</f>
        <v>47442.49</v>
      </c>
      <c r="BO28" s="231">
        <f>SUMIF('125-599'!$1:$1,BO$3,'125-599'!27:27)</f>
        <v>15521.740000000003</v>
      </c>
      <c r="BP28" s="231">
        <f>SUMIF('125-599'!$1:$1,BP$3,'125-599'!27:27)</f>
        <v>0</v>
      </c>
      <c r="BQ28" s="231">
        <f>SUMIF('125-599'!$1:$1,BQ$3,'125-599'!27:27)</f>
        <v>0</v>
      </c>
      <c r="BR28" s="231">
        <f>SUMIF('125-599'!$1:$1,BR$3,'125-599'!27:27)</f>
        <v>0</v>
      </c>
      <c r="BS28" s="231">
        <f>SUMIF('125-599'!$1:$1,BS$3,'125-599'!27:27)</f>
        <v>0</v>
      </c>
      <c r="BT28" s="231">
        <f>SUMIF('125-599'!$1:$1,BT$3,'125-599'!27:27)</f>
        <v>0</v>
      </c>
      <c r="BU28" s="231">
        <f>SUMIF('125-599'!$1:$1,BU$3,'125-599'!27:27)</f>
        <v>-6351.25</v>
      </c>
      <c r="BV28" s="231">
        <f>SUMIF('125-599'!$1:$1,BV$3,'125-599'!27:27)</f>
        <v>0</v>
      </c>
      <c r="BW28" s="231">
        <f>SUMIF('125-599'!$1:$1,BW$3,'125-599'!27:27)</f>
        <v>0</v>
      </c>
      <c r="BX28" s="231">
        <f>SUMIF('125-599'!$1:$1,BX$3,'125-599'!27:27)</f>
        <v>0</v>
      </c>
      <c r="BY28" s="231">
        <f>SUMIF('125-599'!$1:$1,BY$3,'125-599'!27:27)</f>
        <v>-7341</v>
      </c>
      <c r="BZ28" s="231">
        <f>SUMIF('125-599'!$1:$1,BZ$3,'125-599'!27:27)</f>
        <v>0</v>
      </c>
      <c r="CA28" s="316">
        <f>SUMIF('125-599'!$1:$1,CA$3,'125-599'!27:27)</f>
        <v>0</v>
      </c>
      <c r="CB28" s="249">
        <f>SUMIF('125-599'!$1:$1,CB$3,'125-599'!27:27)</f>
        <v>0</v>
      </c>
      <c r="CC28" s="249">
        <f>SUMIF('125-599'!$1:$1,CC$3,'125-599'!27:27)</f>
        <v>0</v>
      </c>
      <c r="CD28" s="249">
        <f>SUMIF('125-599'!$1:$1,CD$3,'125-599'!27:27)</f>
        <v>0</v>
      </c>
      <c r="CE28" s="249">
        <f>SUMIF('125-599'!$1:$1,CE$3,'125-599'!27:27)</f>
        <v>15139.48</v>
      </c>
      <c r="CF28" s="249">
        <f>SUMIF('125-599'!$1:$1,CF$3,'125-599'!27:27)</f>
        <v>903.39</v>
      </c>
      <c r="CG28" s="262">
        <f t="shared" si="1"/>
        <v>41077.670000000217</v>
      </c>
      <c r="CJ28" s="122"/>
      <c r="CK28" s="169">
        <f>INDEX(SAP!C:C,MATCH('Actuals mapped to CFR'!A28,SAP!H:H,FALSE),1)</f>
        <v>41077.67</v>
      </c>
      <c r="CL28" s="59">
        <f t="shared" si="16"/>
        <v>0</v>
      </c>
      <c r="CN28" s="81">
        <f t="shared" si="2"/>
        <v>1543409.5799999998</v>
      </c>
      <c r="CO28" s="81">
        <f t="shared" si="3"/>
        <v>1555095.5800000003</v>
      </c>
      <c r="CP28" s="166">
        <f>VLOOKUP(B28,'2526 GBP Data input'!$A$4:$CA$230,38,FALSE)</f>
        <v>1512526</v>
      </c>
      <c r="CQ28" s="166">
        <f>VLOOKUP(B28,'2526 GBP Data input'!$A$4:$CA$230,73,FALSE)</f>
        <v>17435</v>
      </c>
      <c r="CR28" s="89">
        <f t="shared" si="8"/>
        <v>30883.579999999842</v>
      </c>
      <c r="CS28" s="83">
        <f t="shared" si="9"/>
        <v>89.193896185833111</v>
      </c>
      <c r="CT28" s="82">
        <f t="shared" si="5"/>
        <v>-33329.860000000568</v>
      </c>
      <c r="CU28" s="82">
        <f t="shared" si="6"/>
        <v>4435.2499999999991</v>
      </c>
      <c r="CV28" s="86">
        <f t="shared" si="10"/>
        <v>-28894.610000000568</v>
      </c>
    </row>
    <row r="29" spans="1:100" ht="12.75" customHeight="1" thickBot="1">
      <c r="A29" s="258">
        <v>107598</v>
      </c>
      <c r="B29" s="230">
        <v>598</v>
      </c>
      <c r="C29" s="230" t="s">
        <v>227</v>
      </c>
      <c r="D29" s="231">
        <f>SUMIF('125-599'!$1:$1,D$3,'125-599'!28:28)</f>
        <v>-317554.07</v>
      </c>
      <c r="E29" s="231">
        <f>SUMIF('125-599'!$1:$1,E$3,'125-599'!28:28)</f>
        <v>-18974.77</v>
      </c>
      <c r="F29" s="231">
        <f>SUMIF('125-599'!$1:$1,F$3,'125-599'!28:28)</f>
        <v>0</v>
      </c>
      <c r="G29" s="231">
        <f>SUMIF('125-599'!$1:$1,G$3,'125-599'!28:28)</f>
        <v>-5598.83</v>
      </c>
      <c r="H29" s="231">
        <f>SUMIF('125-599'!$1:$1,H$3,'125-599'!28:28)</f>
        <v>0</v>
      </c>
      <c r="I29" s="231">
        <f>SUMIF('125-599'!$1:$1,I$3,'125-599'!28:28)</f>
        <v>0</v>
      </c>
      <c r="J29" s="231">
        <f>SUMIF('125-599'!$1:$1,J$3,'125-599'!28:28)</f>
        <v>0</v>
      </c>
      <c r="K29" s="231">
        <f>SUMIF('125-599'!$1:$1,K$3,'125-599'!28:28)</f>
        <v>-443151.01</v>
      </c>
      <c r="L29" s="231">
        <f>SUMIF('125-599'!$1:$1,L$3,'125-599'!28:28)</f>
        <v>0</v>
      </c>
      <c r="M29" s="231">
        <f>SUMIF('125-599'!$1:$1,M$3,'125-599'!28:28)</f>
        <v>-15437</v>
      </c>
      <c r="N29" s="231">
        <f>SUMIF('125-599'!$1:$1,N$3,'125-599'!28:28)</f>
        <v>0</v>
      </c>
      <c r="O29" s="231">
        <f>SUMIF('125-599'!$1:$1,O$3,'125-599'!28:28)</f>
        <v>-18180</v>
      </c>
      <c r="P29" s="231">
        <f>SUMIF('125-599'!$1:$1,P$3,'125-599'!28:28)</f>
        <v>-33307.81</v>
      </c>
      <c r="Q29" s="231">
        <f>SUMIF('125-599'!$1:$1,Q$3,'125-599'!28:28)</f>
        <v>-1250</v>
      </c>
      <c r="R29" s="231">
        <f>SUMIF('125-599'!$1:$1,R$3,'125-599'!28:28)</f>
        <v>0</v>
      </c>
      <c r="S29" s="231">
        <f>SUMIF('125-599'!$1:$1,S$3,'125-599'!28:28)</f>
        <v>-27098.3</v>
      </c>
      <c r="T29" s="231">
        <f>SUMIF('125-599'!$1:$1,T$3,'125-599'!28:28)</f>
        <v>0</v>
      </c>
      <c r="U29" s="231">
        <f>SUMIF('125-599'!$1:$1,U$3,'125-599'!28:28)</f>
        <v>0</v>
      </c>
      <c r="V29" s="231">
        <f>SUMIF('125-599'!$1:$1,V$3,'125-599'!28:28)</f>
        <v>-343</v>
      </c>
      <c r="W29" s="231">
        <f>SUMIF('125-599'!$1:$1,W$3,'125-599'!28:28)</f>
        <v>-5603.4199999999992</v>
      </c>
      <c r="X29" s="231">
        <f>SUMIF('125-599'!$1:$1,X$3,'125-599'!28:28)</f>
        <v>-692.5</v>
      </c>
      <c r="Y29" s="277">
        <f>SUMIF('125-599'!$1:$1,Y$3,'125-599'!28:28)</f>
        <v>0</v>
      </c>
      <c r="Z29" s="231">
        <f>SUMIF('125-599'!$1:$1,Z$3,'125-599'!28:28)</f>
        <v>0</v>
      </c>
      <c r="AA29" s="231">
        <f>SUMIF('125-599'!$1:$1,AA$3,'125-599'!28:28)</f>
        <v>0</v>
      </c>
      <c r="AB29" s="231">
        <f>SUMIF('125-599'!$1:$1,AB$3,'125-599'!28:28)</f>
        <v>0</v>
      </c>
      <c r="AC29" s="312">
        <f>SUMIF('125-599'!$1:$1,AC$3,'125-599'!28:28)</f>
        <v>0</v>
      </c>
      <c r="AD29" s="312">
        <f>SUMIF('125-599'!$1:$1,AD$3,'125-599'!28:28)</f>
        <v>0</v>
      </c>
      <c r="AE29" s="312">
        <f>SUMIF('125-599'!$1:$1,AE$3,'125-599'!28:28)</f>
        <v>0</v>
      </c>
      <c r="AF29" s="312">
        <f>SUMIF('125-599'!$1:$1,AF$3,'125-599'!28:28)</f>
        <v>0</v>
      </c>
      <c r="AG29" s="231">
        <f>SUMIF('125-599'!$1:$1,AG$3,'125-599'!28:28)</f>
        <v>221663.03999999998</v>
      </c>
      <c r="AH29" s="231">
        <f>SUMIF('125-599'!$1:$1,AH$3,'125-599'!28:28)</f>
        <v>8581.2900000000027</v>
      </c>
      <c r="AI29" s="231">
        <f>SUMIF('125-599'!$1:$1,AI$3,'125-599'!28:28)</f>
        <v>70016.180000000008</v>
      </c>
      <c r="AJ29" s="231">
        <f>SUMIF('125-599'!$1:$1,AJ$3,'125-599'!28:28)</f>
        <v>0</v>
      </c>
      <c r="AK29" s="231">
        <f>SUMIF('125-599'!$1:$1,AK$3,'125-599'!28:28)</f>
        <v>35411.770000000004</v>
      </c>
      <c r="AL29" s="231">
        <f>SUMIF('125-599'!$1:$1,AL$3,'125-599'!28:28)</f>
        <v>0</v>
      </c>
      <c r="AM29" s="231">
        <f>SUMIF('125-599'!$1:$1,AM$3,'125-599'!28:28)</f>
        <v>10221.83</v>
      </c>
      <c r="AN29" s="231">
        <f>SUMIF('125-599'!$1:$1,AN$3,'125-599'!28:28)</f>
        <v>1771</v>
      </c>
      <c r="AO29" s="231">
        <f>SUMIF('125-599'!$1:$1,AO$3,'125-599'!28:28)</f>
        <v>1613</v>
      </c>
      <c r="AP29" s="231">
        <f>SUMIF('125-599'!$1:$1,AP$3,'125-599'!28:28)</f>
        <v>2565.71</v>
      </c>
      <c r="AQ29" s="231">
        <f>SUMIF('125-599'!$1:$1,AQ$3,'125-599'!28:28)</f>
        <v>607.11</v>
      </c>
      <c r="AR29" s="231">
        <f>SUMIF('125-599'!$1:$1,AR$3,'125-599'!28:28)</f>
        <v>8184.6</v>
      </c>
      <c r="AS29" s="231">
        <f>SUMIF('125-599'!$1:$1,AS$3,'125-599'!28:28)</f>
        <v>2852</v>
      </c>
      <c r="AT29" s="231">
        <f>SUMIF('125-599'!$1:$1,AT$3,'125-599'!28:28)</f>
        <v>15503.989999999996</v>
      </c>
      <c r="AU29" s="231">
        <f>SUMIF('125-599'!$1:$1,AU$3,'125-599'!28:28)</f>
        <v>929.86999999999989</v>
      </c>
      <c r="AV29" s="231">
        <f>SUMIF('125-599'!$1:$1,AV$3,'125-599'!28:28)</f>
        <v>9014.7199999999993</v>
      </c>
      <c r="AW29" s="231">
        <f>SUMIF('125-599'!$1:$1,AW$3,'125-599'!28:28)</f>
        <v>3923.05</v>
      </c>
      <c r="AX29" s="231">
        <f>SUMIF('125-599'!$1:$1,AX$3,'125-599'!28:28)</f>
        <v>10427.16</v>
      </c>
      <c r="AY29" s="231">
        <f>SUMIF('125-599'!$1:$1,AY$3,'125-599'!28:28)</f>
        <v>19418.63</v>
      </c>
      <c r="AZ29" s="312">
        <f>SUMIF('125-599'!$1:$1,AZ$3,'125-599'!28:28)</f>
        <v>0</v>
      </c>
      <c r="BA29" s="231">
        <f>SUMIF('125-599'!$1:$1,BA$3,'125-599'!28:28)</f>
        <v>5702.9</v>
      </c>
      <c r="BB29" s="231">
        <f>SUMIF('125-599'!$1:$1,BB$3,'125-599'!28:28)</f>
        <v>0</v>
      </c>
      <c r="BC29" s="231">
        <f>SUMIF('125-599'!$1:$1,BC$3,'125-599'!28:28)</f>
        <v>0</v>
      </c>
      <c r="BD29" s="231">
        <f>SUMIF('125-599'!$1:$1,BD$3,'125-599'!28:28)</f>
        <v>326.76</v>
      </c>
      <c r="BE29" s="231">
        <f>SUMIF('125-599'!$1:$1,BE$3,'125-599'!28:28)</f>
        <v>0</v>
      </c>
      <c r="BF29" s="231">
        <f>SUMIF('125-599'!$1:$1,BF$3,'125-599'!28:28)</f>
        <v>0</v>
      </c>
      <c r="BG29" s="231">
        <f>SUMIF('125-599'!$1:$1,BG$3,'125-599'!28:28)</f>
        <v>3523</v>
      </c>
      <c r="BH29" s="231">
        <f>SUMIF('125-599'!$1:$1,BH$3,'125-599'!28:28)</f>
        <v>0</v>
      </c>
      <c r="BI29" s="231">
        <f>SUMIF('125-599'!$1:$1,BI$3,'125-599'!28:28)</f>
        <v>3056.9500000000003</v>
      </c>
      <c r="BJ29" s="231">
        <f>SUMIF('125-599'!$1:$1,BJ$3,'125-599'!28:28)</f>
        <v>2429.1</v>
      </c>
      <c r="BK29" s="231">
        <f>SUMIF('125-599'!$1:$1,BK$3,'125-599'!28:28)</f>
        <v>0</v>
      </c>
      <c r="BL29" s="231">
        <f>SUMIF('125-599'!$1:$1,BL$3,'125-599'!28:28)</f>
        <v>13071.9</v>
      </c>
      <c r="BM29" s="231">
        <f>SUMIF('125-599'!$1:$1,BM$3,'125-599'!28:28)</f>
        <v>9667</v>
      </c>
      <c r="BN29" s="231">
        <f>SUMIF('125-599'!$1:$1,BN$3,'125-599'!28:28)</f>
        <v>16023</v>
      </c>
      <c r="BO29" s="231">
        <f>SUMIF('125-599'!$1:$1,BO$3,'125-599'!28:28)</f>
        <v>11372.25</v>
      </c>
      <c r="BP29" s="231">
        <f>SUMIF('125-599'!$1:$1,BP$3,'125-599'!28:28)</f>
        <v>0</v>
      </c>
      <c r="BQ29" s="231">
        <f>SUMIF('125-599'!$1:$1,BQ$3,'125-599'!28:28)</f>
        <v>0</v>
      </c>
      <c r="BR29" s="231">
        <f>SUMIF('125-599'!$1:$1,BR$3,'125-599'!28:28)</f>
        <v>0</v>
      </c>
      <c r="BS29" s="231">
        <f>SUMIF('125-599'!$1:$1,BS$3,'125-599'!28:28)</f>
        <v>0</v>
      </c>
      <c r="BT29" s="231">
        <f>SUMIF('125-599'!$1:$1,BT$3,'125-599'!28:28)</f>
        <v>651.41</v>
      </c>
      <c r="BU29" s="231">
        <f>SUMIF('125-599'!$1:$1,BU$3,'125-599'!28:28)</f>
        <v>-4551.25</v>
      </c>
      <c r="BV29" s="231">
        <f>SUMIF('125-599'!$1:$1,BV$3,'125-599'!28:28)</f>
        <v>0</v>
      </c>
      <c r="BW29" s="231">
        <f>SUMIF('125-599'!$1:$1,BW$3,'125-599'!28:28)</f>
        <v>0</v>
      </c>
      <c r="BX29" s="231">
        <f>SUMIF('125-599'!$1:$1,BX$3,'125-599'!28:28)</f>
        <v>0</v>
      </c>
      <c r="BY29" s="231">
        <f>SUMIF('125-599'!$1:$1,BY$3,'125-599'!28:28)</f>
        <v>0</v>
      </c>
      <c r="BZ29" s="231">
        <f>SUMIF('125-599'!$1:$1,BZ$3,'125-599'!28:28)</f>
        <v>0</v>
      </c>
      <c r="CA29" s="316">
        <f>SUMIF('125-599'!$1:$1,CA$3,'125-599'!28:28)</f>
        <v>0</v>
      </c>
      <c r="CB29" s="249">
        <f>SUMIF('125-599'!$1:$1,CB$3,'125-599'!28:28)</f>
        <v>0</v>
      </c>
      <c r="CC29" s="249">
        <f>SUMIF('125-599'!$1:$1,CC$3,'125-599'!28:28)</f>
        <v>0</v>
      </c>
      <c r="CD29" s="249">
        <f>SUMIF('125-599'!$1:$1,CD$3,'125-599'!28:28)</f>
        <v>0</v>
      </c>
      <c r="CE29" s="249">
        <f>SUMIF('125-599'!$1:$1,CE$3,'125-599'!28:28)</f>
        <v>0</v>
      </c>
      <c r="CF29" s="249">
        <f>SUMIF('125-599'!$1:$1,CF$3,'125-599'!28:28)</f>
        <v>179</v>
      </c>
      <c r="CG29" s="262">
        <f t="shared" si="1"/>
        <v>-403033.74000000022</v>
      </c>
      <c r="CJ29" s="122"/>
      <c r="CK29" s="169">
        <f>INDEX(SAP!C:C,MATCH('Actuals mapped to CFR'!A29,SAP!H:H,FALSE),1)</f>
        <v>-403033.74</v>
      </c>
      <c r="CL29" s="59">
        <f t="shared" si="16"/>
        <v>0</v>
      </c>
      <c r="CN29" s="81">
        <f t="shared" si="2"/>
        <v>545063.04</v>
      </c>
      <c r="CO29" s="81">
        <f t="shared" si="3"/>
        <v>488529.22</v>
      </c>
      <c r="CP29" s="166">
        <f>VLOOKUP(B29,'2526 GBP Data input'!$A$4:$CA$230,38,FALSE)</f>
        <v>502808</v>
      </c>
      <c r="CQ29" s="166">
        <f>VLOOKUP(B29,'2526 GBP Data input'!$A$4:$CA$230,73,FALSE)</f>
        <v>12545</v>
      </c>
      <c r="CR29" s="89">
        <f t="shared" ref="CR29" si="17">CN29-CP29</f>
        <v>42255.040000000037</v>
      </c>
      <c r="CS29" s="83">
        <f t="shared" ref="CS29" si="18">CO29/CQ29</f>
        <v>38.942145874850539</v>
      </c>
      <c r="CT29" s="82">
        <f t="shared" si="5"/>
        <v>374087.89000000013</v>
      </c>
      <c r="CU29" s="82">
        <f t="shared" si="6"/>
        <v>9971.08</v>
      </c>
      <c r="CV29" s="86">
        <f t="shared" ref="CV29" si="19">SUM(CT29:CU29)</f>
        <v>384058.97000000015</v>
      </c>
    </row>
    <row r="30" spans="1:100" ht="12.75" customHeight="1">
      <c r="A30" s="252">
        <v>107603</v>
      </c>
      <c r="B30" s="253">
        <v>603</v>
      </c>
      <c r="C30" s="253" t="s">
        <v>204</v>
      </c>
      <c r="D30" s="254">
        <f>SUMIF('603-699'!$1:$1,D$3,'603-699'!3:3)</f>
        <v>-276000.90999999997</v>
      </c>
      <c r="E30" s="254">
        <f>SUMIF('603-699'!$1:$1,E$3,'603-699'!3:3)</f>
        <v>-3401</v>
      </c>
      <c r="F30" s="254">
        <f>SUMIF('603-699'!$1:$1,F$3,'603-699'!3:3)</f>
        <v>0</v>
      </c>
      <c r="G30" s="254">
        <f>SUMIF('603-699'!$1:$1,G$3,'603-699'!3:3)</f>
        <v>0</v>
      </c>
      <c r="H30" s="254">
        <f>SUMIF('603-699'!$1:$1,H$3,'603-699'!3:3)</f>
        <v>0</v>
      </c>
      <c r="I30" s="254">
        <f>SUMIF('603-699'!$1:$1,I$3,'603-699'!3:3)</f>
        <v>0</v>
      </c>
      <c r="J30" s="254">
        <f>SUMIF('603-699'!$1:$1,J$3,'603-699'!3:3)</f>
        <v>-15595</v>
      </c>
      <c r="K30" s="254">
        <f>SUMIF('603-699'!$1:$1,K$3,'603-699'!3:3)</f>
        <v>-1764749.31</v>
      </c>
      <c r="L30" s="254">
        <f>SUMIF('603-699'!$1:$1,L$3,'603-699'!3:3)</f>
        <v>0</v>
      </c>
      <c r="M30" s="254">
        <f>SUMIF('603-699'!$1:$1,M$3,'603-699'!3:3)</f>
        <v>-103352</v>
      </c>
      <c r="N30" s="254">
        <f>SUMIF('603-699'!$1:$1,N$3,'603-699'!3:3)</f>
        <v>0</v>
      </c>
      <c r="O30" s="254">
        <f>SUMIF('603-699'!$1:$1,O$3,'603-699'!3:3)</f>
        <v>-170745</v>
      </c>
      <c r="P30" s="254">
        <f>SUMIF('603-699'!$1:$1,P$3,'603-699'!3:3)</f>
        <v>-43988.93</v>
      </c>
      <c r="Q30" s="254">
        <f>SUMIF('603-699'!$1:$1,Q$3,'603-699'!3:3)</f>
        <v>-825</v>
      </c>
      <c r="R30" s="254">
        <f>SUMIF('603-699'!$1:$1,R$3,'603-699'!3:3)</f>
        <v>-15072</v>
      </c>
      <c r="S30" s="254">
        <f>SUMIF('603-699'!$1:$1,S$3,'603-699'!3:3)</f>
        <v>-23814.530000000006</v>
      </c>
      <c r="T30" s="254">
        <f>SUMIF('603-699'!$1:$1,T$3,'603-699'!3:3)</f>
        <v>-2444.5700000000002</v>
      </c>
      <c r="U30" s="254">
        <f>SUMIF('603-699'!$1:$1,U$3,'603-699'!3:3)</f>
        <v>0</v>
      </c>
      <c r="V30" s="254">
        <f>SUMIF('603-699'!$1:$1,V$3,'603-699'!3:3)</f>
        <v>-17764.05</v>
      </c>
      <c r="W30" s="254">
        <f>SUMIF('603-699'!$1:$1,W$3,'603-699'!3:3)</f>
        <v>-18449.659999999996</v>
      </c>
      <c r="X30" s="254">
        <f>SUMIF('603-699'!$1:$1,X$3,'603-699'!3:3)</f>
        <v>-10290.379999999999</v>
      </c>
      <c r="Y30" s="255">
        <f>SUMIF('603-699'!$1:$1,Y$3,'603-699'!3:3)</f>
        <v>0</v>
      </c>
      <c r="Z30" s="254">
        <f>SUMIF('603-699'!$1:$1,Z$3,'603-699'!3:3)</f>
        <v>0</v>
      </c>
      <c r="AA30" s="254">
        <f>SUMIF('603-699'!$1:$1,AA$3,'603-699'!3:3)</f>
        <v>-191905.68</v>
      </c>
      <c r="AB30" s="254">
        <f>SUMIF('603-699'!$1:$1,AB$3,'603-699'!3:3)</f>
        <v>-24957.920000000006</v>
      </c>
      <c r="AC30" s="313">
        <f>SUMIF('603-699'!$1:$1,AC$3,'603-699'!3:3)</f>
        <v>0</v>
      </c>
      <c r="AD30" s="313">
        <f>SUMIF('603-699'!$1:$1,AD$3,'603-699'!3:3)</f>
        <v>0</v>
      </c>
      <c r="AE30" s="313">
        <f>SUMIF('603-699'!$1:$1,AE$3,'603-699'!3:3)</f>
        <v>0</v>
      </c>
      <c r="AF30" s="313">
        <f>SUMIF('603-699'!$1:$1,AF$3,'603-699'!3:3)</f>
        <v>0</v>
      </c>
      <c r="AG30" s="254">
        <f>SUMIF('603-699'!$1:$1,AG$3,'603-699'!3:3)</f>
        <v>1069151.32</v>
      </c>
      <c r="AH30" s="254">
        <f>SUMIF('603-699'!$1:$1,AH$3,'603-699'!3:3)</f>
        <v>32520.720000000001</v>
      </c>
      <c r="AI30" s="254">
        <f>SUMIF('603-699'!$1:$1,AI$3,'603-699'!3:3)</f>
        <v>418595.45999999996</v>
      </c>
      <c r="AJ30" s="254">
        <f>SUMIF('603-699'!$1:$1,AJ$3,'603-699'!3:3)</f>
        <v>5804.8899999999994</v>
      </c>
      <c r="AK30" s="254">
        <f>SUMIF('603-699'!$1:$1,AK$3,'603-699'!3:3)</f>
        <v>114939.27999999997</v>
      </c>
      <c r="AL30" s="254">
        <f>SUMIF('603-699'!$1:$1,AL$3,'603-699'!3:3)</f>
        <v>0</v>
      </c>
      <c r="AM30" s="254">
        <f>SUMIF('603-699'!$1:$1,AM$3,'603-699'!3:3)</f>
        <v>55010.810000000005</v>
      </c>
      <c r="AN30" s="254">
        <f>SUMIF('603-699'!$1:$1,AN$3,'603-699'!3:3)</f>
        <v>6176.16</v>
      </c>
      <c r="AO30" s="254">
        <f>SUMIF('603-699'!$1:$1,AO$3,'603-699'!3:3)</f>
        <v>6546.48</v>
      </c>
      <c r="AP30" s="254">
        <f>SUMIF('603-699'!$1:$1,AP$3,'603-699'!3:3)</f>
        <v>951.6</v>
      </c>
      <c r="AQ30" s="254">
        <f>SUMIF('603-699'!$1:$1,AQ$3,'603-699'!3:3)</f>
        <v>16736.469999999998</v>
      </c>
      <c r="AR30" s="254">
        <f>SUMIF('603-699'!$1:$1,AR$3,'603-699'!3:3)</f>
        <v>7932.9500000000007</v>
      </c>
      <c r="AS30" s="254">
        <f>SUMIF('603-699'!$1:$1,AS$3,'603-699'!3:3)</f>
        <v>4356.4700000000012</v>
      </c>
      <c r="AT30" s="254">
        <f>SUMIF('603-699'!$1:$1,AT$3,'603-699'!3:3)</f>
        <v>2906.21</v>
      </c>
      <c r="AU30" s="254">
        <f>SUMIF('603-699'!$1:$1,AU$3,'603-699'!3:3)</f>
        <v>6513.2599999999993</v>
      </c>
      <c r="AV30" s="254">
        <f>SUMIF('603-699'!$1:$1,AV$3,'603-699'!3:3)</f>
        <v>31187.52</v>
      </c>
      <c r="AW30" s="254">
        <f>SUMIF('603-699'!$1:$1,AW$3,'603-699'!3:3)</f>
        <v>36855</v>
      </c>
      <c r="AX30" s="254">
        <f>SUMIF('603-699'!$1:$1,AX$3,'603-699'!3:3)</f>
        <v>9629.19</v>
      </c>
      <c r="AY30" s="254">
        <f>SUMIF('603-699'!$1:$1,AY$3,'603-699'!3:3)</f>
        <v>69157.45</v>
      </c>
      <c r="AZ30" s="313">
        <f>SUMIF('603-699'!$1:$1,AZ$3,'603-699'!3:3)</f>
        <v>0</v>
      </c>
      <c r="BA30" s="254">
        <f>SUMIF('603-699'!$1:$1,BA$3,'603-699'!3:3)</f>
        <v>2274.91</v>
      </c>
      <c r="BB30" s="254">
        <f>SUMIF('603-699'!$1:$1,BB$3,'603-699'!3:3)</f>
        <v>0</v>
      </c>
      <c r="BC30" s="254">
        <f>SUMIF('603-699'!$1:$1,BC$3,'603-699'!3:3)</f>
        <v>4775.12</v>
      </c>
      <c r="BD30" s="254">
        <f>SUMIF('603-699'!$1:$1,BD$3,'603-699'!3:3)</f>
        <v>1286.75</v>
      </c>
      <c r="BE30" s="254">
        <f>SUMIF('603-699'!$1:$1,BE$3,'603-699'!3:3)</f>
        <v>54.96</v>
      </c>
      <c r="BF30" s="254">
        <f>SUMIF('603-699'!$1:$1,BF$3,'603-699'!3:3)</f>
        <v>1209.5300000000002</v>
      </c>
      <c r="BG30" s="254">
        <f>SUMIF('603-699'!$1:$1,BG$3,'603-699'!3:3)</f>
        <v>8310.5</v>
      </c>
      <c r="BH30" s="254">
        <f>SUMIF('603-699'!$1:$1,BH$3,'603-699'!3:3)</f>
        <v>0</v>
      </c>
      <c r="BI30" s="254">
        <f>SUMIF('603-699'!$1:$1,BI$3,'603-699'!3:3)</f>
        <v>4748</v>
      </c>
      <c r="BJ30" s="254">
        <f>SUMIF('603-699'!$1:$1,BJ$3,'603-699'!3:3)</f>
        <v>16841.760000000002</v>
      </c>
      <c r="BK30" s="254">
        <f>SUMIF('603-699'!$1:$1,BK$3,'603-699'!3:3)</f>
        <v>0</v>
      </c>
      <c r="BL30" s="254">
        <f>SUMIF('603-699'!$1:$1,BL$3,'603-699'!3:3)</f>
        <v>77060.789999999994</v>
      </c>
      <c r="BM30" s="254">
        <f>SUMIF('603-699'!$1:$1,BM$3,'603-699'!3:3)</f>
        <v>53531.459999999977</v>
      </c>
      <c r="BN30" s="254">
        <f>SUMIF('603-699'!$1:$1,BN$3,'603-699'!3:3)</f>
        <v>32074.7</v>
      </c>
      <c r="BO30" s="254">
        <f>SUMIF('603-699'!$1:$1,BO$3,'603-699'!3:3)</f>
        <v>120008.75</v>
      </c>
      <c r="BP30" s="254">
        <f>SUMIF('603-699'!$1:$1,BP$3,'603-699'!3:3)</f>
        <v>0</v>
      </c>
      <c r="BQ30" s="254">
        <f>SUMIF('603-699'!$1:$1,BQ$3,'603-699'!3:3)</f>
        <v>0</v>
      </c>
      <c r="BR30" s="254">
        <f>SUMIF('603-699'!$1:$1,BR$3,'603-699'!3:3)</f>
        <v>0</v>
      </c>
      <c r="BS30" s="254">
        <f>SUMIF('603-699'!$1:$1,BS$3,'603-699'!3:3)</f>
        <v>105453.74</v>
      </c>
      <c r="BT30" s="254">
        <f>SUMIF('603-699'!$1:$1,BT$3,'603-699'!3:3)</f>
        <v>5277.28</v>
      </c>
      <c r="BU30" s="254">
        <f>SUMIF('603-699'!$1:$1,BU$3,'603-699'!3:3)</f>
        <v>-7667.5</v>
      </c>
      <c r="BV30" s="254">
        <f>SUMIF('603-699'!$1:$1,BV$3,'603-699'!3:3)</f>
        <v>0</v>
      </c>
      <c r="BW30" s="254">
        <f>SUMIF('603-699'!$1:$1,BW$3,'603-699'!3:3)</f>
        <v>0</v>
      </c>
      <c r="BX30" s="254">
        <f>SUMIF('603-699'!$1:$1,BX$3,'603-699'!3:3)</f>
        <v>0</v>
      </c>
      <c r="BY30" s="254">
        <f>SUMIF('603-699'!$1:$1,BY$3,'603-699'!3:3)</f>
        <v>7656.27</v>
      </c>
      <c r="BZ30" s="254">
        <f>SUMIF('603-699'!$1:$1,BZ$3,'603-699'!3:3)</f>
        <v>0</v>
      </c>
      <c r="CA30" s="317">
        <f>SUMIF('603-699'!$1:$1,CA$3,'603-699'!3:3)</f>
        <v>0</v>
      </c>
      <c r="CB30" s="260">
        <f>SUMIF('603-699'!$1:$1,CB$3,'603-699'!3:3)</f>
        <v>0</v>
      </c>
      <c r="CC30" s="260">
        <f>SUMIF('603-699'!$1:$1,CC$3,'603-699'!3:3)</f>
        <v>0</v>
      </c>
      <c r="CD30" s="260">
        <f>SUMIF('603-699'!$1:$1,CD$3,'603-699'!3:3)</f>
        <v>0</v>
      </c>
      <c r="CE30" s="260">
        <f>SUMIF('603-699'!$1:$1,CE$3,'603-699'!3:3)</f>
        <v>0</v>
      </c>
      <c r="CF30" s="260">
        <f>SUMIF('603-699'!$1:$1,CF$3,'603-699'!3:3)</f>
        <v>0</v>
      </c>
      <c r="CG30" s="261">
        <f t="shared" si="1"/>
        <v>-355487.6799999997</v>
      </c>
      <c r="CJ30" s="122"/>
      <c r="CK30" s="169">
        <f>INDEX(SAP!C:C,MATCH('Actuals mapped to CFR'!A30,SAP!H:H,FALSE),1)</f>
        <v>-355487.68</v>
      </c>
      <c r="CL30" s="59">
        <f t="shared" si="16"/>
        <v>0</v>
      </c>
      <c r="CN30" s="81">
        <f t="shared" si="2"/>
        <v>2388359.0299999998</v>
      </c>
      <c r="CO30" s="81">
        <f t="shared" si="3"/>
        <v>2327879.4899999998</v>
      </c>
      <c r="CP30" s="166">
        <f>VLOOKUP(B30,'2526 GBP Data input'!$A$4:$CA$230,38,FALSE)</f>
        <v>2308274</v>
      </c>
      <c r="CQ30" s="166">
        <f>VLOOKUP(B30,'2526 GBP Data input'!$A$4:$CA$230,73,FALSE)</f>
        <v>88122</v>
      </c>
      <c r="CR30" s="89">
        <f t="shared" si="8"/>
        <v>80085.029999999795</v>
      </c>
      <c r="CS30" s="83">
        <f t="shared" si="9"/>
        <v>26.416553074147203</v>
      </c>
      <c r="CT30" s="82">
        <f t="shared" si="5"/>
        <v>336480.45000000019</v>
      </c>
      <c r="CU30" s="82">
        <f t="shared" si="6"/>
        <v>11.229999999999563</v>
      </c>
      <c r="CV30" s="86">
        <f t="shared" si="10"/>
        <v>336491.68000000017</v>
      </c>
    </row>
    <row r="31" spans="1:100" ht="12.75" customHeight="1">
      <c r="A31" s="238">
        <v>107605</v>
      </c>
      <c r="B31" s="60">
        <v>605</v>
      </c>
      <c r="C31" s="60" t="s">
        <v>252</v>
      </c>
      <c r="D31" s="128">
        <f>SUMIF('603-699'!$1:$1,D$3,'603-699'!4:4)</f>
        <v>-26866.28</v>
      </c>
      <c r="E31" s="128">
        <f>SUMIF('603-699'!$1:$1,E$3,'603-699'!4:4)</f>
        <v>-6353.25</v>
      </c>
      <c r="F31" s="128">
        <f>SUMIF('603-699'!$1:$1,F$3,'603-699'!4:4)</f>
        <v>0</v>
      </c>
      <c r="G31" s="128">
        <f>SUMIF('603-699'!$1:$1,G$3,'603-699'!4:4)</f>
        <v>-3479.05</v>
      </c>
      <c r="H31" s="128">
        <f>SUMIF('603-699'!$1:$1,H$3,'603-699'!4:4)</f>
        <v>0</v>
      </c>
      <c r="I31" s="128">
        <f>SUMIF('603-699'!$1:$1,I$3,'603-699'!4:4)</f>
        <v>0</v>
      </c>
      <c r="J31" s="128">
        <f>SUMIF('603-699'!$1:$1,J$3,'603-699'!4:4)</f>
        <v>0</v>
      </c>
      <c r="K31" s="128">
        <f>SUMIF('603-699'!$1:$1,K$3,'603-699'!4:4)</f>
        <v>-387013.03</v>
      </c>
      <c r="L31" s="128">
        <f>SUMIF('603-699'!$1:$1,L$3,'603-699'!4:4)</f>
        <v>0</v>
      </c>
      <c r="M31" s="128">
        <f>SUMIF('603-699'!$1:$1,M$3,'603-699'!4:4)</f>
        <v>-19261</v>
      </c>
      <c r="N31" s="128">
        <f>SUMIF('603-699'!$1:$1,N$3,'603-699'!4:4)</f>
        <v>0</v>
      </c>
      <c r="O31" s="128">
        <f>SUMIF('603-699'!$1:$1,O$3,'603-699'!4:4)</f>
        <v>-21525</v>
      </c>
      <c r="P31" s="128">
        <f>SUMIF('603-699'!$1:$1,P$3,'603-699'!4:4)</f>
        <v>-21948</v>
      </c>
      <c r="Q31" s="128">
        <f>SUMIF('603-699'!$1:$1,Q$3,'603-699'!4:4)</f>
        <v>0</v>
      </c>
      <c r="R31" s="128">
        <f>SUMIF('603-699'!$1:$1,R$3,'603-699'!4:4)</f>
        <v>0</v>
      </c>
      <c r="S31" s="128">
        <f>SUMIF('603-699'!$1:$1,S$3,'603-699'!4:4)</f>
        <v>-8795.0500000000011</v>
      </c>
      <c r="T31" s="128">
        <f>SUMIF('603-699'!$1:$1,T$3,'603-699'!4:4)</f>
        <v>0</v>
      </c>
      <c r="U31" s="128">
        <f>SUMIF('603-699'!$1:$1,U$3,'603-699'!4:4)</f>
        <v>0</v>
      </c>
      <c r="V31" s="128">
        <f>SUMIF('603-699'!$1:$1,V$3,'603-699'!4:4)</f>
        <v>-4752</v>
      </c>
      <c r="W31" s="128">
        <f>SUMIF('603-699'!$1:$1,W$3,'603-699'!4:4)</f>
        <v>-938.17</v>
      </c>
      <c r="X31" s="128">
        <f>SUMIF('603-699'!$1:$1,X$3,'603-699'!4:4)</f>
        <v>-1223.5800000000002</v>
      </c>
      <c r="Y31" s="164">
        <f>SUMIF('603-699'!$1:$1,Y$3,'603-699'!4:4)</f>
        <v>0</v>
      </c>
      <c r="Z31" s="128">
        <f>SUMIF('603-699'!$1:$1,Z$3,'603-699'!4:4)</f>
        <v>0</v>
      </c>
      <c r="AA31" s="128">
        <f>SUMIF('603-699'!$1:$1,AA$3,'603-699'!4:4)</f>
        <v>0</v>
      </c>
      <c r="AB31" s="128">
        <f>SUMIF('603-699'!$1:$1,AB$3,'603-699'!4:4)</f>
        <v>0</v>
      </c>
      <c r="AC31" s="314">
        <f>SUMIF('603-699'!$1:$1,AC$3,'603-699'!4:4)</f>
        <v>0</v>
      </c>
      <c r="AD31" s="314">
        <f>SUMIF('603-699'!$1:$1,AD$3,'603-699'!4:4)</f>
        <v>0</v>
      </c>
      <c r="AE31" s="314">
        <f>SUMIF('603-699'!$1:$1,AE$3,'603-699'!4:4)</f>
        <v>0</v>
      </c>
      <c r="AF31" s="314">
        <f>SUMIF('603-699'!$1:$1,AF$3,'603-699'!4:4)</f>
        <v>0</v>
      </c>
      <c r="AG31" s="128">
        <f>SUMIF('603-699'!$1:$1,AG$3,'603-699'!4:4)</f>
        <v>243345.33</v>
      </c>
      <c r="AH31" s="128">
        <f>SUMIF('603-699'!$1:$1,AH$3,'603-699'!4:4)</f>
        <v>1828.6399999999999</v>
      </c>
      <c r="AI31" s="128">
        <f>SUMIF('603-699'!$1:$1,AI$3,'603-699'!4:4)</f>
        <v>86356.64</v>
      </c>
      <c r="AJ31" s="128">
        <f>SUMIF('603-699'!$1:$1,AJ$3,'603-699'!4:4)</f>
        <v>13287.609999999999</v>
      </c>
      <c r="AK31" s="128">
        <f>SUMIF('603-699'!$1:$1,AK$3,'603-699'!4:4)</f>
        <v>42331.55000000001</v>
      </c>
      <c r="AL31" s="128">
        <f>SUMIF('603-699'!$1:$1,AL$3,'603-699'!4:4)</f>
        <v>0</v>
      </c>
      <c r="AM31" s="128">
        <f>SUMIF('603-699'!$1:$1,AM$3,'603-699'!4:4)</f>
        <v>15801.549999999997</v>
      </c>
      <c r="AN31" s="128">
        <f>SUMIF('603-699'!$1:$1,AN$3,'603-699'!4:4)</f>
        <v>1447</v>
      </c>
      <c r="AO31" s="128">
        <f>SUMIF('603-699'!$1:$1,AO$3,'603-699'!4:4)</f>
        <v>1202.75</v>
      </c>
      <c r="AP31" s="128">
        <f>SUMIF('603-699'!$1:$1,AP$3,'603-699'!4:4)</f>
        <v>1767.15</v>
      </c>
      <c r="AQ31" s="128">
        <f>SUMIF('603-699'!$1:$1,AQ$3,'603-699'!4:4)</f>
        <v>0</v>
      </c>
      <c r="AR31" s="128">
        <f>SUMIF('603-699'!$1:$1,AR$3,'603-699'!4:4)</f>
        <v>8783.75</v>
      </c>
      <c r="AS31" s="128">
        <f>SUMIF('603-699'!$1:$1,AS$3,'603-699'!4:4)</f>
        <v>0</v>
      </c>
      <c r="AT31" s="128">
        <f>SUMIF('603-699'!$1:$1,AT$3,'603-699'!4:4)</f>
        <v>1004.36</v>
      </c>
      <c r="AU31" s="128">
        <f>SUMIF('603-699'!$1:$1,AU$3,'603-699'!4:4)</f>
        <v>1712.21</v>
      </c>
      <c r="AV31" s="128">
        <f>SUMIF('603-699'!$1:$1,AV$3,'603-699'!4:4)</f>
        <v>9184.19</v>
      </c>
      <c r="AW31" s="128">
        <f>SUMIF('603-699'!$1:$1,AW$3,'603-699'!4:4)</f>
        <v>5114.75</v>
      </c>
      <c r="AX31" s="128">
        <f>SUMIF('603-699'!$1:$1,AX$3,'603-699'!4:4)</f>
        <v>5817.55</v>
      </c>
      <c r="AY31" s="128">
        <f>SUMIF('603-699'!$1:$1,AY$3,'603-699'!4:4)</f>
        <v>7440.6399999999994</v>
      </c>
      <c r="AZ31" s="314">
        <f>SUMIF('603-699'!$1:$1,AZ$3,'603-699'!4:4)</f>
        <v>0</v>
      </c>
      <c r="BA31" s="128">
        <f>SUMIF('603-699'!$1:$1,BA$3,'603-699'!4:4)</f>
        <v>160</v>
      </c>
      <c r="BB31" s="128">
        <f>SUMIF('603-699'!$1:$1,BB$3,'603-699'!4:4)</f>
        <v>0</v>
      </c>
      <c r="BC31" s="128">
        <f>SUMIF('603-699'!$1:$1,BC$3,'603-699'!4:4)</f>
        <v>2009.9299999999998</v>
      </c>
      <c r="BD31" s="128">
        <f>SUMIF('603-699'!$1:$1,BD$3,'603-699'!4:4)</f>
        <v>6615.6799999999994</v>
      </c>
      <c r="BE31" s="128">
        <f>SUMIF('603-699'!$1:$1,BE$3,'603-699'!4:4)</f>
        <v>0</v>
      </c>
      <c r="BF31" s="128">
        <f>SUMIF('603-699'!$1:$1,BF$3,'603-699'!4:4)</f>
        <v>0</v>
      </c>
      <c r="BG31" s="128">
        <f>SUMIF('603-699'!$1:$1,BG$3,'603-699'!4:4)</f>
        <v>2290</v>
      </c>
      <c r="BH31" s="128">
        <f>SUMIF('603-699'!$1:$1,BH$3,'603-699'!4:4)</f>
        <v>0</v>
      </c>
      <c r="BI31" s="128">
        <f>SUMIF('603-699'!$1:$1,BI$3,'603-699'!4:4)</f>
        <v>1182.3899999999999</v>
      </c>
      <c r="BJ31" s="128">
        <f>SUMIF('603-699'!$1:$1,BJ$3,'603-699'!4:4)</f>
        <v>2321.14</v>
      </c>
      <c r="BK31" s="128">
        <f>SUMIF('603-699'!$1:$1,BK$3,'603-699'!4:4)</f>
        <v>0</v>
      </c>
      <c r="BL31" s="128">
        <f>SUMIF('603-699'!$1:$1,BL$3,'603-699'!4:4)</f>
        <v>12173.119999999999</v>
      </c>
      <c r="BM31" s="128">
        <f>SUMIF('603-699'!$1:$1,BM$3,'603-699'!4:4)</f>
        <v>8528</v>
      </c>
      <c r="BN31" s="128">
        <f>SUMIF('603-699'!$1:$1,BN$3,'603-699'!4:4)</f>
        <v>16360.7</v>
      </c>
      <c r="BO31" s="128">
        <f>SUMIF('603-699'!$1:$1,BO$3,'603-699'!4:4)</f>
        <v>16074.68</v>
      </c>
      <c r="BP31" s="128">
        <f>SUMIF('603-699'!$1:$1,BP$3,'603-699'!4:4)</f>
        <v>0</v>
      </c>
      <c r="BQ31" s="128">
        <f>SUMIF('603-699'!$1:$1,BQ$3,'603-699'!4:4)</f>
        <v>0</v>
      </c>
      <c r="BR31" s="128">
        <f>SUMIF('603-699'!$1:$1,BR$3,'603-699'!4:4)</f>
        <v>0</v>
      </c>
      <c r="BS31" s="128">
        <f>SUMIF('603-699'!$1:$1,BS$3,'603-699'!4:4)</f>
        <v>0</v>
      </c>
      <c r="BT31" s="128">
        <f>SUMIF('603-699'!$1:$1,BT$3,'603-699'!4:4)</f>
        <v>0</v>
      </c>
      <c r="BU31" s="128">
        <f>SUMIF('603-699'!$1:$1,BU$3,'603-699'!4:4)</f>
        <v>-4517.5</v>
      </c>
      <c r="BV31" s="128">
        <f>SUMIF('603-699'!$1:$1,BV$3,'603-699'!4:4)</f>
        <v>0</v>
      </c>
      <c r="BW31" s="128">
        <f>SUMIF('603-699'!$1:$1,BW$3,'603-699'!4:4)</f>
        <v>0</v>
      </c>
      <c r="BX31" s="128">
        <f>SUMIF('603-699'!$1:$1,BX$3,'603-699'!4:4)</f>
        <v>0</v>
      </c>
      <c r="BY31" s="128">
        <f>SUMIF('603-699'!$1:$1,BY$3,'603-699'!4:4)</f>
        <v>7528.75</v>
      </c>
      <c r="BZ31" s="128">
        <f>SUMIF('603-699'!$1:$1,BZ$3,'603-699'!4:4)</f>
        <v>0</v>
      </c>
      <c r="CA31" s="318">
        <f>SUMIF('603-699'!$1:$1,CA$3,'603-699'!4:4)</f>
        <v>0</v>
      </c>
      <c r="CB31" s="250">
        <f>SUMIF('603-699'!$1:$1,CB$3,'603-699'!4:4)</f>
        <v>0</v>
      </c>
      <c r="CC31" s="250">
        <f>SUMIF('603-699'!$1:$1,CC$3,'603-699'!4:4)</f>
        <v>0</v>
      </c>
      <c r="CD31" s="250">
        <f>SUMIF('603-699'!$1:$1,CD$3,'603-699'!4:4)</f>
        <v>0</v>
      </c>
      <c r="CE31" s="250">
        <f>SUMIF('603-699'!$1:$1,CE$3,'603-699'!4:4)</f>
        <v>0</v>
      </c>
      <c r="CF31" s="250">
        <f>SUMIF('603-699'!$1:$1,CF$3,'603-699'!4:4)</f>
        <v>0</v>
      </c>
      <c r="CG31" s="262">
        <f t="shared" si="1"/>
        <v>14998.149999999965</v>
      </c>
      <c r="CJ31" s="122"/>
      <c r="CK31" s="169">
        <f>INDEX(SAP!C:C,MATCH('Actuals mapped to CFR'!A31,SAP!H:H,FALSE),1)</f>
        <v>14998.15</v>
      </c>
      <c r="CL31" s="59">
        <f t="shared" si="16"/>
        <v>0</v>
      </c>
      <c r="CN31" s="81">
        <f t="shared" si="2"/>
        <v>465455.83</v>
      </c>
      <c r="CO31" s="81">
        <f t="shared" si="3"/>
        <v>514141.31</v>
      </c>
      <c r="CP31" s="166">
        <f>VLOOKUP(B31,'2526 GBP Data input'!$A$4:$CA$230,38,FALSE)</f>
        <v>450257</v>
      </c>
      <c r="CQ31" s="166">
        <f>VLOOKUP(B31,'2526 GBP Data input'!$A$4:$CA$230,73,FALSE)</f>
        <v>12501</v>
      </c>
      <c r="CR31" s="89">
        <f t="shared" si="8"/>
        <v>15198.830000000016</v>
      </c>
      <c r="CS31" s="83">
        <f t="shared" si="9"/>
        <v>41.128014558835289</v>
      </c>
      <c r="CT31" s="82">
        <f t="shared" si="5"/>
        <v>-21819.200000000012</v>
      </c>
      <c r="CU31" s="82">
        <f t="shared" si="6"/>
        <v>467.80000000000018</v>
      </c>
      <c r="CV31" s="86">
        <f t="shared" si="10"/>
        <v>-21351.400000000012</v>
      </c>
    </row>
    <row r="32" spans="1:100" ht="12.75" customHeight="1">
      <c r="A32" s="238">
        <v>107609</v>
      </c>
      <c r="B32" s="60">
        <v>609</v>
      </c>
      <c r="C32" s="60" t="s">
        <v>265</v>
      </c>
      <c r="D32" s="128">
        <f>SUMIF('603-699'!$1:$1,D$3,'603-699'!5:5)</f>
        <v>-83478.649999999994</v>
      </c>
      <c r="E32" s="128">
        <f>SUMIF('603-699'!$1:$1,E$3,'603-699'!5:5)</f>
        <v>-5216.08</v>
      </c>
      <c r="F32" s="128">
        <f>SUMIF('603-699'!$1:$1,F$3,'603-699'!5:5)</f>
        <v>0</v>
      </c>
      <c r="G32" s="128">
        <f>SUMIF('603-699'!$1:$1,G$3,'603-699'!5:5)</f>
        <v>0</v>
      </c>
      <c r="H32" s="128">
        <f>SUMIF('603-699'!$1:$1,H$3,'603-699'!5:5)</f>
        <v>0</v>
      </c>
      <c r="I32" s="128">
        <f>SUMIF('603-699'!$1:$1,I$3,'603-699'!5:5)</f>
        <v>0</v>
      </c>
      <c r="J32" s="128">
        <f>SUMIF('603-699'!$1:$1,J$3,'603-699'!5:5)</f>
        <v>0</v>
      </c>
      <c r="K32" s="128">
        <f>SUMIF('603-699'!$1:$1,K$3,'603-699'!5:5)</f>
        <v>-523677.39</v>
      </c>
      <c r="L32" s="128">
        <f>SUMIF('603-699'!$1:$1,L$3,'603-699'!5:5)</f>
        <v>0</v>
      </c>
      <c r="M32" s="128">
        <f>SUMIF('603-699'!$1:$1,M$3,'603-699'!5:5)</f>
        <v>0</v>
      </c>
      <c r="N32" s="128">
        <f>SUMIF('603-699'!$1:$1,N$3,'603-699'!5:5)</f>
        <v>0</v>
      </c>
      <c r="O32" s="128">
        <f>SUMIF('603-699'!$1:$1,O$3,'603-699'!5:5)</f>
        <v>-3030</v>
      </c>
      <c r="P32" s="128">
        <f>SUMIF('603-699'!$1:$1,P$3,'603-699'!5:5)</f>
        <v>-27943</v>
      </c>
      <c r="Q32" s="128">
        <f>SUMIF('603-699'!$1:$1,Q$3,'603-699'!5:5)</f>
        <v>-10000</v>
      </c>
      <c r="R32" s="128">
        <f>SUMIF('603-699'!$1:$1,R$3,'603-699'!5:5)</f>
        <v>0</v>
      </c>
      <c r="S32" s="128">
        <f>SUMIF('603-699'!$1:$1,S$3,'603-699'!5:5)</f>
        <v>-18427.330000000002</v>
      </c>
      <c r="T32" s="128">
        <f>SUMIF('603-699'!$1:$1,T$3,'603-699'!5:5)</f>
        <v>1233.17</v>
      </c>
      <c r="U32" s="128">
        <f>SUMIF('603-699'!$1:$1,U$3,'603-699'!5:5)</f>
        <v>0</v>
      </c>
      <c r="V32" s="128">
        <f>SUMIF('603-699'!$1:$1,V$3,'603-699'!5:5)</f>
        <v>0</v>
      </c>
      <c r="W32" s="128">
        <f>SUMIF('603-699'!$1:$1,W$3,'603-699'!5:5)</f>
        <v>-15817.059999999998</v>
      </c>
      <c r="X32" s="128">
        <f>SUMIF('603-699'!$1:$1,X$3,'603-699'!5:5)</f>
        <v>-298.88000000000005</v>
      </c>
      <c r="Y32" s="164">
        <f>SUMIF('603-699'!$1:$1,Y$3,'603-699'!5:5)</f>
        <v>0</v>
      </c>
      <c r="Z32" s="128">
        <f>SUMIF('603-699'!$1:$1,Z$3,'603-699'!5:5)</f>
        <v>0</v>
      </c>
      <c r="AA32" s="128">
        <f>SUMIF('603-699'!$1:$1,AA$3,'603-699'!5:5)</f>
        <v>0</v>
      </c>
      <c r="AB32" s="128">
        <f>SUMIF('603-699'!$1:$1,AB$3,'603-699'!5:5)</f>
        <v>0</v>
      </c>
      <c r="AC32" s="314">
        <f>SUMIF('603-699'!$1:$1,AC$3,'603-699'!5:5)</f>
        <v>0</v>
      </c>
      <c r="AD32" s="314">
        <f>SUMIF('603-699'!$1:$1,AD$3,'603-699'!5:5)</f>
        <v>0</v>
      </c>
      <c r="AE32" s="314">
        <f>SUMIF('603-699'!$1:$1,AE$3,'603-699'!5:5)</f>
        <v>0</v>
      </c>
      <c r="AF32" s="314">
        <f>SUMIF('603-699'!$1:$1,AF$3,'603-699'!5:5)</f>
        <v>0</v>
      </c>
      <c r="AG32" s="128">
        <f>SUMIF('603-699'!$1:$1,AG$3,'603-699'!5:5)</f>
        <v>301319.34999999998</v>
      </c>
      <c r="AH32" s="128">
        <f>SUMIF('603-699'!$1:$1,AH$3,'603-699'!5:5)</f>
        <v>1755.23</v>
      </c>
      <c r="AI32" s="128">
        <f>SUMIF('603-699'!$1:$1,AI$3,'603-699'!5:5)</f>
        <v>104878.78</v>
      </c>
      <c r="AJ32" s="128">
        <f>SUMIF('603-699'!$1:$1,AJ$3,'603-699'!5:5)</f>
        <v>0</v>
      </c>
      <c r="AK32" s="128">
        <f>SUMIF('603-699'!$1:$1,AK$3,'603-699'!5:5)</f>
        <v>53438.55</v>
      </c>
      <c r="AL32" s="128">
        <f>SUMIF('603-699'!$1:$1,AL$3,'603-699'!5:5)</f>
        <v>0</v>
      </c>
      <c r="AM32" s="128">
        <f>SUMIF('603-699'!$1:$1,AM$3,'603-699'!5:5)</f>
        <v>3608.28</v>
      </c>
      <c r="AN32" s="128">
        <f>SUMIF('603-699'!$1:$1,AN$3,'603-699'!5:5)</f>
        <v>1666.97</v>
      </c>
      <c r="AO32" s="128">
        <f>SUMIF('603-699'!$1:$1,AO$3,'603-699'!5:5)</f>
        <v>4153.46</v>
      </c>
      <c r="AP32" s="128">
        <f>SUMIF('603-699'!$1:$1,AP$3,'603-699'!5:5)</f>
        <v>210.45</v>
      </c>
      <c r="AQ32" s="128">
        <f>SUMIF('603-699'!$1:$1,AQ$3,'603-699'!5:5)</f>
        <v>0</v>
      </c>
      <c r="AR32" s="128">
        <f>SUMIF('603-699'!$1:$1,AR$3,'603-699'!5:5)</f>
        <v>3784.8200000000006</v>
      </c>
      <c r="AS32" s="128">
        <f>SUMIF('603-699'!$1:$1,AS$3,'603-699'!5:5)</f>
        <v>4315.84</v>
      </c>
      <c r="AT32" s="128">
        <f>SUMIF('603-699'!$1:$1,AT$3,'603-699'!5:5)</f>
        <v>20147.810000000001</v>
      </c>
      <c r="AU32" s="128">
        <f>SUMIF('603-699'!$1:$1,AU$3,'603-699'!5:5)</f>
        <v>1152.5800000000002</v>
      </c>
      <c r="AV32" s="128">
        <f>SUMIF('603-699'!$1:$1,AV$3,'603-699'!5:5)</f>
        <v>15401.65</v>
      </c>
      <c r="AW32" s="128">
        <f>SUMIF('603-699'!$1:$1,AW$3,'603-699'!5:5)</f>
        <v>4990</v>
      </c>
      <c r="AX32" s="128">
        <f>SUMIF('603-699'!$1:$1,AX$3,'603-699'!5:5)</f>
        <v>12560.92</v>
      </c>
      <c r="AY32" s="128">
        <f>SUMIF('603-699'!$1:$1,AY$3,'603-699'!5:5)</f>
        <v>50781.979999999996</v>
      </c>
      <c r="AZ32" s="314">
        <f>SUMIF('603-699'!$1:$1,AZ$3,'603-699'!5:5)</f>
        <v>0</v>
      </c>
      <c r="BA32" s="128">
        <f>SUMIF('603-699'!$1:$1,BA$3,'603-699'!5:5)</f>
        <v>2078.5</v>
      </c>
      <c r="BB32" s="128">
        <f>SUMIF('603-699'!$1:$1,BB$3,'603-699'!5:5)</f>
        <v>0</v>
      </c>
      <c r="BC32" s="128">
        <f>SUMIF('603-699'!$1:$1,BC$3,'603-699'!5:5)</f>
        <v>0</v>
      </c>
      <c r="BD32" s="128">
        <f>SUMIF('603-699'!$1:$1,BD$3,'603-699'!5:5)</f>
        <v>1124.4000000000001</v>
      </c>
      <c r="BE32" s="128">
        <f>SUMIF('603-699'!$1:$1,BE$3,'603-699'!5:5)</f>
        <v>0</v>
      </c>
      <c r="BF32" s="128">
        <f>SUMIF('603-699'!$1:$1,BF$3,'603-699'!5:5)</f>
        <v>877.80000000000007</v>
      </c>
      <c r="BG32" s="128">
        <f>SUMIF('603-699'!$1:$1,BG$3,'603-699'!5:5)</f>
        <v>4790</v>
      </c>
      <c r="BH32" s="128">
        <f>SUMIF('603-699'!$1:$1,BH$3,'603-699'!5:5)</f>
        <v>0</v>
      </c>
      <c r="BI32" s="128">
        <f>SUMIF('603-699'!$1:$1,BI$3,'603-699'!5:5)</f>
        <v>1731.1299999999999</v>
      </c>
      <c r="BJ32" s="128">
        <f>SUMIF('603-699'!$1:$1,BJ$3,'603-699'!5:5)</f>
        <v>3724.62</v>
      </c>
      <c r="BK32" s="128">
        <f>SUMIF('603-699'!$1:$1,BK$3,'603-699'!5:5)</f>
        <v>0</v>
      </c>
      <c r="BL32" s="128">
        <f>SUMIF('603-699'!$1:$1,BL$3,'603-699'!5:5)</f>
        <v>11948.88</v>
      </c>
      <c r="BM32" s="128">
        <f>SUMIF('603-699'!$1:$1,BM$3,'603-699'!5:5)</f>
        <v>0</v>
      </c>
      <c r="BN32" s="128">
        <f>SUMIF('603-699'!$1:$1,BN$3,'603-699'!5:5)</f>
        <v>31140.5</v>
      </c>
      <c r="BO32" s="128">
        <f>SUMIF('603-699'!$1:$1,BO$3,'603-699'!5:5)</f>
        <v>16045.150000000005</v>
      </c>
      <c r="BP32" s="128">
        <f>SUMIF('603-699'!$1:$1,BP$3,'603-699'!5:5)</f>
        <v>0</v>
      </c>
      <c r="BQ32" s="128">
        <f>SUMIF('603-699'!$1:$1,BQ$3,'603-699'!5:5)</f>
        <v>0</v>
      </c>
      <c r="BR32" s="128">
        <f>SUMIF('603-699'!$1:$1,BR$3,'603-699'!5:5)</f>
        <v>0</v>
      </c>
      <c r="BS32" s="128">
        <f>SUMIF('603-699'!$1:$1,BS$3,'603-699'!5:5)</f>
        <v>0</v>
      </c>
      <c r="BT32" s="128">
        <f>SUMIF('603-699'!$1:$1,BT$3,'603-699'!5:5)</f>
        <v>0</v>
      </c>
      <c r="BU32" s="128">
        <f>SUMIF('603-699'!$1:$1,BU$3,'603-699'!5:5)</f>
        <v>-4798.75</v>
      </c>
      <c r="BV32" s="128">
        <f>SUMIF('603-699'!$1:$1,BV$3,'603-699'!5:5)</f>
        <v>0</v>
      </c>
      <c r="BW32" s="128">
        <f>SUMIF('603-699'!$1:$1,BW$3,'603-699'!5:5)</f>
        <v>0</v>
      </c>
      <c r="BX32" s="128">
        <f>SUMIF('603-699'!$1:$1,BX$3,'603-699'!5:5)</f>
        <v>0</v>
      </c>
      <c r="BY32" s="128">
        <f>SUMIF('603-699'!$1:$1,BY$3,'603-699'!5:5)</f>
        <v>2328.75</v>
      </c>
      <c r="BZ32" s="128">
        <f>SUMIF('603-699'!$1:$1,BZ$3,'603-699'!5:5)</f>
        <v>0</v>
      </c>
      <c r="CA32" s="314">
        <f>SUMIF('603-699'!$1:$1,CA$3,'603-699'!5:5)</f>
        <v>0</v>
      </c>
      <c r="CB32" s="128">
        <f>SUMIF('603-699'!$1:$1,CB$3,'603-699'!5:5)</f>
        <v>0</v>
      </c>
      <c r="CC32" s="128">
        <f>SUMIF('603-699'!$1:$1,CC$3,'603-699'!5:5)</f>
        <v>0</v>
      </c>
      <c r="CD32" s="128">
        <f>SUMIF('603-699'!$1:$1,CD$3,'603-699'!5:5)</f>
        <v>0</v>
      </c>
      <c r="CE32" s="128">
        <f>SUMIF('603-699'!$1:$1,CE$3,'603-699'!5:5)</f>
        <v>0</v>
      </c>
      <c r="CF32" s="128">
        <f>SUMIF('603-699'!$1:$1,CF$3,'603-699'!5:5)</f>
        <v>0</v>
      </c>
      <c r="CG32" s="257">
        <f t="shared" si="1"/>
        <v>-31497.569999999876</v>
      </c>
      <c r="CJ32" s="122"/>
      <c r="CK32" s="169">
        <f>INDEX(SAP!C:C,MATCH('Actuals mapped to CFR'!A32,SAP!H:H,FALSE),1)</f>
        <v>-31497.57</v>
      </c>
      <c r="CL32" s="59">
        <f t="shared" si="16"/>
        <v>0</v>
      </c>
      <c r="CN32" s="81">
        <f t="shared" si="2"/>
        <v>597960.48999999987</v>
      </c>
      <c r="CO32" s="81">
        <f t="shared" si="3"/>
        <v>657627.65000000014</v>
      </c>
      <c r="CP32" s="166">
        <f>VLOOKUP(B32,'2526 GBP Data input'!$A$4:$CA$230,38,FALSE)</f>
        <v>565637</v>
      </c>
      <c r="CQ32" s="166">
        <f>VLOOKUP(B32,'2526 GBP Data input'!$A$4:$CA$230,73,FALSE)</f>
        <v>19418</v>
      </c>
      <c r="CR32" s="89">
        <f t="shared" si="8"/>
        <v>32323.489999999874</v>
      </c>
      <c r="CS32" s="83">
        <f t="shared" si="9"/>
        <v>33.866909568441656</v>
      </c>
      <c r="CT32" s="82">
        <f t="shared" si="5"/>
        <v>23811.489999999758</v>
      </c>
      <c r="CU32" s="82">
        <f t="shared" si="6"/>
        <v>2470</v>
      </c>
      <c r="CV32" s="86">
        <f t="shared" si="10"/>
        <v>26281.489999999758</v>
      </c>
    </row>
    <row r="33" spans="1:100" ht="12.75" customHeight="1">
      <c r="A33" s="238">
        <v>107610</v>
      </c>
      <c r="B33" s="60">
        <v>610</v>
      </c>
      <c r="C33" s="60" t="s">
        <v>262</v>
      </c>
      <c r="D33" s="128">
        <f>SUMIF('603-699'!$1:$1,D$3,'603-699'!6:6)</f>
        <v>0</v>
      </c>
      <c r="E33" s="128">
        <f>SUMIF('603-699'!$1:$1,E$3,'603-699'!6:6)</f>
        <v>0</v>
      </c>
      <c r="F33" s="128">
        <f>SUMIF('603-699'!$1:$1,F$3,'603-699'!6:6)</f>
        <v>171680.98</v>
      </c>
      <c r="G33" s="128">
        <f>SUMIF('603-699'!$1:$1,G$3,'603-699'!6:6)</f>
        <v>-2329.9699999999998</v>
      </c>
      <c r="H33" s="128">
        <f>SUMIF('603-699'!$1:$1,H$3,'603-699'!6:6)</f>
        <v>0</v>
      </c>
      <c r="I33" s="128">
        <f>SUMIF('603-699'!$1:$1,I$3,'603-699'!6:6)</f>
        <v>0</v>
      </c>
      <c r="J33" s="128">
        <f>SUMIF('603-699'!$1:$1,J$3,'603-699'!6:6)</f>
        <v>24303.18</v>
      </c>
      <c r="K33" s="128">
        <f>SUMIF('603-699'!$1:$1,K$3,'603-699'!6:6)</f>
        <v>-2185994.6</v>
      </c>
      <c r="L33" s="128">
        <f>SUMIF('603-699'!$1:$1,L$3,'603-699'!6:6)</f>
        <v>0</v>
      </c>
      <c r="M33" s="128">
        <f>SUMIF('603-699'!$1:$1,M$3,'603-699'!6:6)</f>
        <v>-419519.75</v>
      </c>
      <c r="N33" s="128">
        <f>SUMIF('603-699'!$1:$1,N$3,'603-699'!6:6)</f>
        <v>0</v>
      </c>
      <c r="O33" s="128">
        <f>SUMIF('603-699'!$1:$1,O$3,'603-699'!6:6)</f>
        <v>-141920</v>
      </c>
      <c r="P33" s="128">
        <f>SUMIF('603-699'!$1:$1,P$3,'603-699'!6:6)</f>
        <v>-106073.86</v>
      </c>
      <c r="Q33" s="128">
        <f>SUMIF('603-699'!$1:$1,Q$3,'603-699'!6:6)</f>
        <v>-54239</v>
      </c>
      <c r="R33" s="128">
        <f>SUMIF('603-699'!$1:$1,R$3,'603-699'!6:6)</f>
        <v>0</v>
      </c>
      <c r="S33" s="128">
        <f>SUMIF('603-699'!$1:$1,S$3,'603-699'!6:6)</f>
        <v>-73676.13</v>
      </c>
      <c r="T33" s="128">
        <f>SUMIF('603-699'!$1:$1,T$3,'603-699'!6:6)</f>
        <v>-25365</v>
      </c>
      <c r="U33" s="128">
        <f>SUMIF('603-699'!$1:$1,U$3,'603-699'!6:6)</f>
        <v>0</v>
      </c>
      <c r="V33" s="128">
        <f>SUMIF('603-699'!$1:$1,V$3,'603-699'!6:6)</f>
        <v>0</v>
      </c>
      <c r="W33" s="128">
        <f>SUMIF('603-699'!$1:$1,W$3,'603-699'!6:6)</f>
        <v>-20524.690000000002</v>
      </c>
      <c r="X33" s="128">
        <f>SUMIF('603-699'!$1:$1,X$3,'603-699'!6:6)</f>
        <v>-22615.73</v>
      </c>
      <c r="Y33" s="164">
        <f>SUMIF('603-699'!$1:$1,Y$3,'603-699'!6:6)</f>
        <v>0</v>
      </c>
      <c r="Z33" s="128">
        <f>SUMIF('603-699'!$1:$1,Z$3,'603-699'!6:6)</f>
        <v>0</v>
      </c>
      <c r="AA33" s="128">
        <f>SUMIF('603-699'!$1:$1,AA$3,'603-699'!6:6)</f>
        <v>-123255.76999999999</v>
      </c>
      <c r="AB33" s="128">
        <f>SUMIF('603-699'!$1:$1,AB$3,'603-699'!6:6)</f>
        <v>-17432.039999999997</v>
      </c>
      <c r="AC33" s="314">
        <f>SUMIF('603-699'!$1:$1,AC$3,'603-699'!6:6)</f>
        <v>0</v>
      </c>
      <c r="AD33" s="314">
        <f>SUMIF('603-699'!$1:$1,AD$3,'603-699'!6:6)</f>
        <v>0</v>
      </c>
      <c r="AE33" s="314">
        <f>SUMIF('603-699'!$1:$1,AE$3,'603-699'!6:6)</f>
        <v>0</v>
      </c>
      <c r="AF33" s="314">
        <f>SUMIF('603-699'!$1:$1,AF$3,'603-699'!6:6)</f>
        <v>0</v>
      </c>
      <c r="AG33" s="128">
        <f>SUMIF('603-699'!$1:$1,AG$3,'603-699'!6:6)</f>
        <v>1244744.3500000001</v>
      </c>
      <c r="AH33" s="128">
        <f>SUMIF('603-699'!$1:$1,AH$3,'603-699'!6:6)</f>
        <v>16626.510000000002</v>
      </c>
      <c r="AI33" s="128">
        <f>SUMIF('603-699'!$1:$1,AI$3,'603-699'!6:6)</f>
        <v>760109.05</v>
      </c>
      <c r="AJ33" s="128">
        <f>SUMIF('603-699'!$1:$1,AJ$3,'603-699'!6:6)</f>
        <v>50666.669999999991</v>
      </c>
      <c r="AK33" s="128">
        <f>SUMIF('603-699'!$1:$1,AK$3,'603-699'!6:6)</f>
        <v>170222.71000000002</v>
      </c>
      <c r="AL33" s="128">
        <f>SUMIF('603-699'!$1:$1,AL$3,'603-699'!6:6)</f>
        <v>0</v>
      </c>
      <c r="AM33" s="128">
        <f>SUMIF('603-699'!$1:$1,AM$3,'603-699'!6:6)</f>
        <v>111091.94999999998</v>
      </c>
      <c r="AN33" s="128">
        <f>SUMIF('603-699'!$1:$1,AN$3,'603-699'!6:6)</f>
        <v>10110.119999999999</v>
      </c>
      <c r="AO33" s="128">
        <f>SUMIF('603-699'!$1:$1,AO$3,'603-699'!6:6)</f>
        <v>5265.29</v>
      </c>
      <c r="AP33" s="128">
        <f>SUMIF('603-699'!$1:$1,AP$3,'603-699'!6:6)</f>
        <v>1201.7</v>
      </c>
      <c r="AQ33" s="128">
        <f>SUMIF('603-699'!$1:$1,AQ$3,'603-699'!6:6)</f>
        <v>0</v>
      </c>
      <c r="AR33" s="128">
        <f>SUMIF('603-699'!$1:$1,AR$3,'603-699'!6:6)</f>
        <v>15064.279999999999</v>
      </c>
      <c r="AS33" s="128">
        <f>SUMIF('603-699'!$1:$1,AS$3,'603-699'!6:6)</f>
        <v>12593.420000000002</v>
      </c>
      <c r="AT33" s="128">
        <f>SUMIF('603-699'!$1:$1,AT$3,'603-699'!6:6)</f>
        <v>73549.279999999999</v>
      </c>
      <c r="AU33" s="128">
        <f>SUMIF('603-699'!$1:$1,AU$3,'603-699'!6:6)</f>
        <v>9236.2999999999993</v>
      </c>
      <c r="AV33" s="128">
        <f>SUMIF('603-699'!$1:$1,AV$3,'603-699'!6:6)</f>
        <v>39006.55000000001</v>
      </c>
      <c r="AW33" s="128">
        <f>SUMIF('603-699'!$1:$1,AW$3,'603-699'!6:6)</f>
        <v>20318</v>
      </c>
      <c r="AX33" s="128">
        <f>SUMIF('603-699'!$1:$1,AX$3,'603-699'!6:6)</f>
        <v>7541.3200000000015</v>
      </c>
      <c r="AY33" s="128">
        <f>SUMIF('603-699'!$1:$1,AY$3,'603-699'!6:6)</f>
        <v>81770.87999999999</v>
      </c>
      <c r="AZ33" s="314">
        <f>SUMIF('603-699'!$1:$1,AZ$3,'603-699'!6:6)</f>
        <v>0</v>
      </c>
      <c r="BA33" s="128">
        <f>SUMIF('603-699'!$1:$1,BA$3,'603-699'!6:6)</f>
        <v>6146.04</v>
      </c>
      <c r="BB33" s="128">
        <f>SUMIF('603-699'!$1:$1,BB$3,'603-699'!6:6)</f>
        <v>0</v>
      </c>
      <c r="BC33" s="128">
        <f>SUMIF('603-699'!$1:$1,BC$3,'603-699'!6:6)</f>
        <v>0</v>
      </c>
      <c r="BD33" s="128">
        <f>SUMIF('603-699'!$1:$1,BD$3,'603-699'!6:6)</f>
        <v>17.62</v>
      </c>
      <c r="BE33" s="128">
        <f>SUMIF('603-699'!$1:$1,BE$3,'603-699'!6:6)</f>
        <v>0</v>
      </c>
      <c r="BF33" s="128">
        <f>SUMIF('603-699'!$1:$1,BF$3,'603-699'!6:6)</f>
        <v>0</v>
      </c>
      <c r="BG33" s="128">
        <f>SUMIF('603-699'!$1:$1,BG$3,'603-699'!6:6)</f>
        <v>9514.86</v>
      </c>
      <c r="BH33" s="128">
        <f>SUMIF('603-699'!$1:$1,BH$3,'603-699'!6:6)</f>
        <v>0</v>
      </c>
      <c r="BI33" s="128">
        <f>SUMIF('603-699'!$1:$1,BI$3,'603-699'!6:6)</f>
        <v>27411.86</v>
      </c>
      <c r="BJ33" s="128">
        <f>SUMIF('603-699'!$1:$1,BJ$3,'603-699'!6:6)</f>
        <v>21268.12</v>
      </c>
      <c r="BK33" s="128">
        <f>SUMIF('603-699'!$1:$1,BK$3,'603-699'!6:6)</f>
        <v>0</v>
      </c>
      <c r="BL33" s="128">
        <f>SUMIF('603-699'!$1:$1,BL$3,'603-699'!6:6)</f>
        <v>89539.71</v>
      </c>
      <c r="BM33" s="128">
        <f>SUMIF('603-699'!$1:$1,BM$3,'603-699'!6:6)</f>
        <v>55742</v>
      </c>
      <c r="BN33" s="128">
        <f>SUMIF('603-699'!$1:$1,BN$3,'603-699'!6:6)</f>
        <v>104238.9</v>
      </c>
      <c r="BO33" s="128">
        <f>SUMIF('603-699'!$1:$1,BO$3,'603-699'!6:6)</f>
        <v>35975.040000000008</v>
      </c>
      <c r="BP33" s="128">
        <f>SUMIF('603-699'!$1:$1,BP$3,'603-699'!6:6)</f>
        <v>0</v>
      </c>
      <c r="BQ33" s="128">
        <f>SUMIF('603-699'!$1:$1,BQ$3,'603-699'!6:6)</f>
        <v>0</v>
      </c>
      <c r="BR33" s="128">
        <f>SUMIF('603-699'!$1:$1,BR$3,'603-699'!6:6)</f>
        <v>0</v>
      </c>
      <c r="BS33" s="128">
        <f>SUMIF('603-699'!$1:$1,BS$3,'603-699'!6:6)</f>
        <v>107004.94</v>
      </c>
      <c r="BT33" s="128">
        <f>SUMIF('603-699'!$1:$1,BT$3,'603-699'!6:6)</f>
        <v>13271.2</v>
      </c>
      <c r="BU33" s="128">
        <f>SUMIF('603-699'!$1:$1,BU$3,'603-699'!6:6)</f>
        <v>-12348.130000000001</v>
      </c>
      <c r="BV33" s="128">
        <f>SUMIF('603-699'!$1:$1,BV$3,'603-699'!6:6)</f>
        <v>0</v>
      </c>
      <c r="BW33" s="128">
        <f>SUMIF('603-699'!$1:$1,BW$3,'603-699'!6:6)</f>
        <v>0</v>
      </c>
      <c r="BX33" s="128">
        <f>SUMIF('603-699'!$1:$1,BX$3,'603-699'!6:6)</f>
        <v>0</v>
      </c>
      <c r="BY33" s="128">
        <f>SUMIF('603-699'!$1:$1,BY$3,'603-699'!6:6)</f>
        <v>3964.75</v>
      </c>
      <c r="BZ33" s="128">
        <f>SUMIF('603-699'!$1:$1,BZ$3,'603-699'!6:6)</f>
        <v>0</v>
      </c>
      <c r="CA33" s="314">
        <f>SUMIF('603-699'!$1:$1,CA$3,'603-699'!6:6)</f>
        <v>0</v>
      </c>
      <c r="CB33" s="128">
        <f>SUMIF('603-699'!$1:$1,CB$3,'603-699'!6:6)</f>
        <v>0</v>
      </c>
      <c r="CC33" s="128">
        <f>SUMIF('603-699'!$1:$1,CC$3,'603-699'!6:6)</f>
        <v>0</v>
      </c>
      <c r="CD33" s="128">
        <f>SUMIF('603-699'!$1:$1,CD$3,'603-699'!6:6)</f>
        <v>4097.7</v>
      </c>
      <c r="CE33" s="128">
        <f>SUMIF('603-699'!$1:$1,CE$3,'603-699'!6:6)</f>
        <v>0</v>
      </c>
      <c r="CF33" s="128">
        <f>SUMIF('603-699'!$1:$1,CF$3,'603-699'!6:6)</f>
        <v>0</v>
      </c>
      <c r="CG33" s="257">
        <f t="shared" ref="CG33:CG63" si="20">SUM(D33:CF33)</f>
        <v>98000.610000000364</v>
      </c>
      <c r="CJ33" s="122"/>
      <c r="CK33" s="169">
        <f>INDEX(SAP!C:C,MATCH('Actuals mapped to CFR'!A33,SAP!H:H,FALSE),1)</f>
        <v>98000.61</v>
      </c>
      <c r="CL33" s="59">
        <f t="shared" si="16"/>
        <v>0</v>
      </c>
      <c r="CN33" s="81">
        <f t="shared" ref="CN33:CN62" si="21">SUM(K33:AF33)*-1</f>
        <v>3190616.57</v>
      </c>
      <c r="CO33" s="81">
        <f t="shared" ref="CO33:CO62" si="22">SUM(AG33:BT33)</f>
        <v>3099248.6699999995</v>
      </c>
      <c r="CP33" s="166">
        <f>VLOOKUP(B33,'2526 GBP Data input'!$A$4:$CA$230,38,FALSE)</f>
        <v>2875955</v>
      </c>
      <c r="CQ33" s="166">
        <f>VLOOKUP(B33,'2526 GBP Data input'!$A$4:$CA$230,73,FALSE)</f>
        <v>30699</v>
      </c>
      <c r="CR33" s="89">
        <f t="shared" si="8"/>
        <v>314661.56999999983</v>
      </c>
      <c r="CS33" s="83">
        <f t="shared" si="9"/>
        <v>100.9560138766735</v>
      </c>
      <c r="CT33" s="82">
        <f t="shared" ref="CT33:CT62" si="23">SUM(D33+F33)*-1+CN33-CO33</f>
        <v>-80313.079999999609</v>
      </c>
      <c r="CU33" s="82">
        <f t="shared" ref="CU33:CU62" si="24">SUM(G33+H33+I33+BU33+BV33+BW33)*-1-BX33-BY33-BZ33-CF33</f>
        <v>10713.35</v>
      </c>
      <c r="CV33" s="86">
        <f t="shared" si="10"/>
        <v>-69599.729999999603</v>
      </c>
    </row>
    <row r="34" spans="1:100" ht="12.75" customHeight="1">
      <c r="A34" s="238">
        <v>107616</v>
      </c>
      <c r="B34" s="60">
        <v>616</v>
      </c>
      <c r="C34" s="60" t="s">
        <v>257</v>
      </c>
      <c r="D34" s="128">
        <f>SUMIF('603-699'!$1:$1,D$3,'603-699'!7:7)</f>
        <v>-80744.259999999995</v>
      </c>
      <c r="E34" s="128">
        <f>SUMIF('603-699'!$1:$1,E$3,'603-699'!7:7)</f>
        <v>-32122.12</v>
      </c>
      <c r="F34" s="128">
        <f>SUMIF('603-699'!$1:$1,F$3,'603-699'!7:7)</f>
        <v>0</v>
      </c>
      <c r="G34" s="128">
        <f>SUMIF('603-699'!$1:$1,G$3,'603-699'!7:7)</f>
        <v>0</v>
      </c>
      <c r="H34" s="128">
        <f>SUMIF('603-699'!$1:$1,H$3,'603-699'!7:7)</f>
        <v>0</v>
      </c>
      <c r="I34" s="128">
        <f>SUMIF('603-699'!$1:$1,I$3,'603-699'!7:7)</f>
        <v>-2286.14</v>
      </c>
      <c r="J34" s="128">
        <f>SUMIF('603-699'!$1:$1,J$3,'603-699'!7:7)</f>
        <v>0</v>
      </c>
      <c r="K34" s="128">
        <f>SUMIF('603-699'!$1:$1,K$3,'603-699'!7:7)</f>
        <v>-435102.51</v>
      </c>
      <c r="L34" s="128">
        <f>SUMIF('603-699'!$1:$1,L$3,'603-699'!7:7)</f>
        <v>0</v>
      </c>
      <c r="M34" s="128">
        <f>SUMIF('603-699'!$1:$1,M$3,'603-699'!7:7)</f>
        <v>-33993</v>
      </c>
      <c r="N34" s="128">
        <f>SUMIF('603-699'!$1:$1,N$3,'603-699'!7:7)</f>
        <v>0</v>
      </c>
      <c r="O34" s="128">
        <f>SUMIF('603-699'!$1:$1,O$3,'603-699'!7:7)</f>
        <v>-5245</v>
      </c>
      <c r="P34" s="128">
        <f>SUMIF('603-699'!$1:$1,P$3,'603-699'!7:7)</f>
        <v>-25831.31</v>
      </c>
      <c r="Q34" s="128">
        <f>SUMIF('603-699'!$1:$1,Q$3,'603-699'!7:7)</f>
        <v>-400</v>
      </c>
      <c r="R34" s="128">
        <f>SUMIF('603-699'!$1:$1,R$3,'603-699'!7:7)</f>
        <v>0</v>
      </c>
      <c r="S34" s="128">
        <f>SUMIF('603-699'!$1:$1,S$3,'603-699'!7:7)</f>
        <v>-16255.529999999997</v>
      </c>
      <c r="T34" s="128">
        <f>SUMIF('603-699'!$1:$1,T$3,'603-699'!7:7)</f>
        <v>-6579.18</v>
      </c>
      <c r="U34" s="128">
        <f>SUMIF('603-699'!$1:$1,U$3,'603-699'!7:7)</f>
        <v>0</v>
      </c>
      <c r="V34" s="128">
        <f>SUMIF('603-699'!$1:$1,V$3,'603-699'!7:7)</f>
        <v>0</v>
      </c>
      <c r="W34" s="128">
        <f>SUMIF('603-699'!$1:$1,W$3,'603-699'!7:7)</f>
        <v>-6861.4499999999971</v>
      </c>
      <c r="X34" s="128">
        <f>SUMIF('603-699'!$1:$1,X$3,'603-699'!7:7)</f>
        <v>-9779.4700000000012</v>
      </c>
      <c r="Y34" s="164">
        <f>SUMIF('603-699'!$1:$1,Y$3,'603-699'!7:7)</f>
        <v>0</v>
      </c>
      <c r="Z34" s="128">
        <f>SUMIF('603-699'!$1:$1,Z$3,'603-699'!7:7)</f>
        <v>0</v>
      </c>
      <c r="AA34" s="128">
        <f>SUMIF('603-699'!$1:$1,AA$3,'603-699'!7:7)</f>
        <v>0</v>
      </c>
      <c r="AB34" s="128">
        <f>SUMIF('603-699'!$1:$1,AB$3,'603-699'!7:7)</f>
        <v>0</v>
      </c>
      <c r="AC34" s="314">
        <f>SUMIF('603-699'!$1:$1,AC$3,'603-699'!7:7)</f>
        <v>0</v>
      </c>
      <c r="AD34" s="314">
        <f>SUMIF('603-699'!$1:$1,AD$3,'603-699'!7:7)</f>
        <v>0</v>
      </c>
      <c r="AE34" s="314">
        <f>SUMIF('603-699'!$1:$1,AE$3,'603-699'!7:7)</f>
        <v>0</v>
      </c>
      <c r="AF34" s="314">
        <f>SUMIF('603-699'!$1:$1,AF$3,'603-699'!7:7)</f>
        <v>0</v>
      </c>
      <c r="AG34" s="128">
        <f>SUMIF('603-699'!$1:$1,AG$3,'603-699'!7:7)</f>
        <v>260962.89999999997</v>
      </c>
      <c r="AH34" s="128">
        <f>SUMIF('603-699'!$1:$1,AH$3,'603-699'!7:7)</f>
        <v>0</v>
      </c>
      <c r="AI34" s="128">
        <f>SUMIF('603-699'!$1:$1,AI$3,'603-699'!7:7)</f>
        <v>114257.76000000001</v>
      </c>
      <c r="AJ34" s="128">
        <f>SUMIF('603-699'!$1:$1,AJ$3,'603-699'!7:7)</f>
        <v>0</v>
      </c>
      <c r="AK34" s="128">
        <f>SUMIF('603-699'!$1:$1,AK$3,'603-699'!7:7)</f>
        <v>33517.22</v>
      </c>
      <c r="AL34" s="128">
        <f>SUMIF('603-699'!$1:$1,AL$3,'603-699'!7:7)</f>
        <v>0</v>
      </c>
      <c r="AM34" s="128">
        <f>SUMIF('603-699'!$1:$1,AM$3,'603-699'!7:7)</f>
        <v>40684.859999999993</v>
      </c>
      <c r="AN34" s="128">
        <f>SUMIF('603-699'!$1:$1,AN$3,'603-699'!7:7)</f>
        <v>0</v>
      </c>
      <c r="AO34" s="128">
        <f>SUMIF('603-699'!$1:$1,AO$3,'603-699'!7:7)</f>
        <v>1135.25</v>
      </c>
      <c r="AP34" s="128">
        <f>SUMIF('603-699'!$1:$1,AP$3,'603-699'!7:7)</f>
        <v>2104.81</v>
      </c>
      <c r="AQ34" s="128">
        <f>SUMIF('603-699'!$1:$1,AQ$3,'603-699'!7:7)</f>
        <v>0</v>
      </c>
      <c r="AR34" s="128">
        <f>SUMIF('603-699'!$1:$1,AR$3,'603-699'!7:7)</f>
        <v>6173.7999999999993</v>
      </c>
      <c r="AS34" s="128">
        <f>SUMIF('603-699'!$1:$1,AS$3,'603-699'!7:7)</f>
        <v>20.09</v>
      </c>
      <c r="AT34" s="128">
        <f>SUMIF('603-699'!$1:$1,AT$3,'603-699'!7:7)</f>
        <v>12579.130000000003</v>
      </c>
      <c r="AU34" s="128">
        <f>SUMIF('603-699'!$1:$1,AU$3,'603-699'!7:7)</f>
        <v>1473.6200000000001</v>
      </c>
      <c r="AV34" s="128">
        <f>SUMIF('603-699'!$1:$1,AV$3,'603-699'!7:7)</f>
        <v>6168.5299999999988</v>
      </c>
      <c r="AW34" s="128">
        <f>SUMIF('603-699'!$1:$1,AW$3,'603-699'!7:7)</f>
        <v>928.14</v>
      </c>
      <c r="AX34" s="128">
        <f>SUMIF('603-699'!$1:$1,AX$3,'603-699'!7:7)</f>
        <v>948.95000000000016</v>
      </c>
      <c r="AY34" s="128">
        <f>SUMIF('603-699'!$1:$1,AY$3,'603-699'!7:7)</f>
        <v>26770.129999999997</v>
      </c>
      <c r="AZ34" s="314">
        <f>SUMIF('603-699'!$1:$1,AZ$3,'603-699'!7:7)</f>
        <v>0</v>
      </c>
      <c r="BA34" s="128">
        <f>SUMIF('603-699'!$1:$1,BA$3,'603-699'!7:7)</f>
        <v>2199</v>
      </c>
      <c r="BB34" s="128">
        <f>SUMIF('603-699'!$1:$1,BB$3,'603-699'!7:7)</f>
        <v>0</v>
      </c>
      <c r="BC34" s="128">
        <f>SUMIF('603-699'!$1:$1,BC$3,'603-699'!7:7)</f>
        <v>0</v>
      </c>
      <c r="BD34" s="128">
        <f>SUMIF('603-699'!$1:$1,BD$3,'603-699'!7:7)</f>
        <v>1358.8000000000002</v>
      </c>
      <c r="BE34" s="128">
        <f>SUMIF('603-699'!$1:$1,BE$3,'603-699'!7:7)</f>
        <v>1150</v>
      </c>
      <c r="BF34" s="128">
        <f>SUMIF('603-699'!$1:$1,BF$3,'603-699'!7:7)</f>
        <v>90</v>
      </c>
      <c r="BG34" s="128">
        <f>SUMIF('603-699'!$1:$1,BG$3,'603-699'!7:7)</f>
        <v>4202</v>
      </c>
      <c r="BH34" s="128">
        <f>SUMIF('603-699'!$1:$1,BH$3,'603-699'!7:7)</f>
        <v>0</v>
      </c>
      <c r="BI34" s="128">
        <f>SUMIF('603-699'!$1:$1,BI$3,'603-699'!7:7)</f>
        <v>2633.9</v>
      </c>
      <c r="BJ34" s="128">
        <f>SUMIF('603-699'!$1:$1,BJ$3,'603-699'!7:7)</f>
        <v>2752.98</v>
      </c>
      <c r="BK34" s="128">
        <f>SUMIF('603-699'!$1:$1,BK$3,'603-699'!7:7)</f>
        <v>0</v>
      </c>
      <c r="BL34" s="128">
        <f>SUMIF('603-699'!$1:$1,BL$3,'603-699'!7:7)</f>
        <v>17121.620000000003</v>
      </c>
      <c r="BM34" s="128">
        <f>SUMIF('603-699'!$1:$1,BM$3,'603-699'!7:7)</f>
        <v>216.7</v>
      </c>
      <c r="BN34" s="128">
        <f>SUMIF('603-699'!$1:$1,BN$3,'603-699'!7:7)</f>
        <v>4069.1</v>
      </c>
      <c r="BO34" s="128">
        <f>SUMIF('603-699'!$1:$1,BO$3,'603-699'!7:7)</f>
        <v>15261.78</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2286</v>
      </c>
      <c r="BZ34" s="128">
        <f>SUMIF('603-699'!$1:$1,BZ$3,'603-699'!7:7)</f>
        <v>0</v>
      </c>
      <c r="CA34" s="314">
        <f>SUMIF('603-699'!$1:$1,CA$3,'603-699'!7:7)</f>
        <v>0</v>
      </c>
      <c r="CB34" s="128">
        <f>SUMIF('603-699'!$1:$1,CB$3,'603-699'!7:7)</f>
        <v>0</v>
      </c>
      <c r="CC34" s="128">
        <f>SUMIF('603-699'!$1:$1,CC$3,'603-699'!7:7)</f>
        <v>0</v>
      </c>
      <c r="CD34" s="128">
        <f>SUMIF('603-699'!$1:$1,CD$3,'603-699'!7:7)</f>
        <v>0</v>
      </c>
      <c r="CE34" s="128">
        <f>SUMIF('603-699'!$1:$1,CE$3,'603-699'!7:7)</f>
        <v>0</v>
      </c>
      <c r="CF34" s="128">
        <f>SUMIF('603-699'!$1:$1,CF$3,'603-699'!7:7)</f>
        <v>0</v>
      </c>
      <c r="CG34" s="257">
        <f t="shared" si="20"/>
        <v>-94132.900000000125</v>
      </c>
      <c r="CJ34" s="122"/>
      <c r="CK34" s="169">
        <f>INDEX(SAP!C:C,MATCH('Actuals mapped to CFR'!A34,SAP!H:H,FALSE),1)</f>
        <v>-94132.9</v>
      </c>
      <c r="CL34" s="59">
        <f t="shared" si="16"/>
        <v>0</v>
      </c>
      <c r="CN34" s="81">
        <f t="shared" si="21"/>
        <v>540047.44999999995</v>
      </c>
      <c r="CO34" s="81">
        <f t="shared" si="22"/>
        <v>558781.06999999995</v>
      </c>
      <c r="CP34" s="166">
        <f>VLOOKUP(B34,'2526 GBP Data input'!$A$4:$CA$230,38,FALSE)</f>
        <v>502323</v>
      </c>
      <c r="CQ34" s="166">
        <f>VLOOKUP(B34,'2526 GBP Data input'!$A$4:$CA$230,73,FALSE)</f>
        <v>8529</v>
      </c>
      <c r="CR34" s="89">
        <f t="shared" si="8"/>
        <v>37724.449999999953</v>
      </c>
      <c r="CS34" s="83">
        <f t="shared" si="9"/>
        <v>65.515426192988627</v>
      </c>
      <c r="CT34" s="82">
        <f t="shared" si="23"/>
        <v>62010.640000000014</v>
      </c>
      <c r="CU34" s="82">
        <f t="shared" si="24"/>
        <v>0.13999999999987267</v>
      </c>
      <c r="CV34" s="86">
        <f t="shared" si="10"/>
        <v>62010.780000000013</v>
      </c>
    </row>
    <row r="35" spans="1:100" ht="12.75" customHeight="1">
      <c r="A35" s="238">
        <v>107619</v>
      </c>
      <c r="B35" s="60">
        <v>619</v>
      </c>
      <c r="C35" s="60" t="s">
        <v>239</v>
      </c>
      <c r="D35" s="128">
        <f>SUMIF('603-699'!$1:$1,D$3,'603-699'!8:8)</f>
        <v>-86162.68</v>
      </c>
      <c r="E35" s="128">
        <f>SUMIF('603-699'!$1:$1,E$3,'603-699'!8:8)</f>
        <v>-12591.3</v>
      </c>
      <c r="F35" s="128">
        <f>SUMIF('603-699'!$1:$1,F$3,'603-699'!8:8)</f>
        <v>0</v>
      </c>
      <c r="G35" s="128">
        <f>SUMIF('603-699'!$1:$1,G$3,'603-699'!8:8)</f>
        <v>-13388.78</v>
      </c>
      <c r="H35" s="128">
        <f>SUMIF('603-699'!$1:$1,H$3,'603-699'!8:8)</f>
        <v>0</v>
      </c>
      <c r="I35" s="128">
        <f>SUMIF('603-699'!$1:$1,I$3,'603-699'!8:8)</f>
        <v>0</v>
      </c>
      <c r="J35" s="128">
        <f>SUMIF('603-699'!$1:$1,J$3,'603-699'!8:8)</f>
        <v>-21818.03</v>
      </c>
      <c r="K35" s="128">
        <f>SUMIF('603-699'!$1:$1,K$3,'603-699'!8:8)</f>
        <v>-564860.66</v>
      </c>
      <c r="L35" s="128">
        <f>SUMIF('603-699'!$1:$1,L$3,'603-699'!8:8)</f>
        <v>0</v>
      </c>
      <c r="M35" s="128">
        <f>SUMIF('603-699'!$1:$1,M$3,'603-699'!8:8)</f>
        <v>-22969</v>
      </c>
      <c r="N35" s="128">
        <f>SUMIF('603-699'!$1:$1,N$3,'603-699'!8:8)</f>
        <v>0</v>
      </c>
      <c r="O35" s="128">
        <f>SUMIF('603-699'!$1:$1,O$3,'603-699'!8:8)</f>
        <v>-10605</v>
      </c>
      <c r="P35" s="128">
        <f>SUMIF('603-699'!$1:$1,P$3,'603-699'!8:8)</f>
        <v>-28782.2</v>
      </c>
      <c r="Q35" s="128">
        <f>SUMIF('603-699'!$1:$1,Q$3,'603-699'!8:8)</f>
        <v>0</v>
      </c>
      <c r="R35" s="128">
        <f>SUMIF('603-699'!$1:$1,R$3,'603-699'!8:8)</f>
        <v>0</v>
      </c>
      <c r="S35" s="128">
        <f>SUMIF('603-699'!$1:$1,S$3,'603-699'!8:8)</f>
        <v>-13911.35</v>
      </c>
      <c r="T35" s="128">
        <f>SUMIF('603-699'!$1:$1,T$3,'603-699'!8:8)</f>
        <v>-7395.1500000000005</v>
      </c>
      <c r="U35" s="128">
        <f>SUMIF('603-699'!$1:$1,U$3,'603-699'!8:8)</f>
        <v>0</v>
      </c>
      <c r="V35" s="128">
        <f>SUMIF('603-699'!$1:$1,V$3,'603-699'!8:8)</f>
        <v>0</v>
      </c>
      <c r="W35" s="128">
        <f>SUMIF('603-699'!$1:$1,W$3,'603-699'!8:8)</f>
        <v>-4943.4099999999989</v>
      </c>
      <c r="X35" s="128">
        <f>SUMIF('603-699'!$1:$1,X$3,'603-699'!8:8)</f>
        <v>-11363.63</v>
      </c>
      <c r="Y35" s="164">
        <f>SUMIF('603-699'!$1:$1,Y$3,'603-699'!8:8)</f>
        <v>0</v>
      </c>
      <c r="Z35" s="128">
        <f>SUMIF('603-699'!$1:$1,Z$3,'603-699'!8:8)</f>
        <v>0</v>
      </c>
      <c r="AA35" s="128">
        <f>SUMIF('603-699'!$1:$1,AA$3,'603-699'!8:8)</f>
        <v>-39264.310000000005</v>
      </c>
      <c r="AB35" s="128">
        <f>SUMIF('603-699'!$1:$1,AB$3,'603-699'!8:8)</f>
        <v>-4012.3400000000015</v>
      </c>
      <c r="AC35" s="314">
        <f>SUMIF('603-699'!$1:$1,AC$3,'603-699'!8:8)</f>
        <v>0</v>
      </c>
      <c r="AD35" s="314">
        <f>SUMIF('603-699'!$1:$1,AD$3,'603-699'!8:8)</f>
        <v>0</v>
      </c>
      <c r="AE35" s="314">
        <f>SUMIF('603-699'!$1:$1,AE$3,'603-699'!8:8)</f>
        <v>0</v>
      </c>
      <c r="AF35" s="314">
        <f>SUMIF('603-699'!$1:$1,AF$3,'603-699'!8:8)</f>
        <v>0</v>
      </c>
      <c r="AG35" s="128">
        <f>SUMIF('603-699'!$1:$1,AG$3,'603-699'!8:8)</f>
        <v>390059.45</v>
      </c>
      <c r="AH35" s="128">
        <f>SUMIF('603-699'!$1:$1,AH$3,'603-699'!8:8)</f>
        <v>0</v>
      </c>
      <c r="AI35" s="128">
        <f>SUMIF('603-699'!$1:$1,AI$3,'603-699'!8:8)</f>
        <v>65887.100000000006</v>
      </c>
      <c r="AJ35" s="128">
        <f>SUMIF('603-699'!$1:$1,AJ$3,'603-699'!8:8)</f>
        <v>0</v>
      </c>
      <c r="AK35" s="128">
        <f>SUMIF('603-699'!$1:$1,AK$3,'603-699'!8:8)</f>
        <v>29061.69</v>
      </c>
      <c r="AL35" s="128">
        <f>SUMIF('603-699'!$1:$1,AL$3,'603-699'!8:8)</f>
        <v>0</v>
      </c>
      <c r="AM35" s="128">
        <f>SUMIF('603-699'!$1:$1,AM$3,'603-699'!8:8)</f>
        <v>15758.289999999999</v>
      </c>
      <c r="AN35" s="128">
        <f>SUMIF('603-699'!$1:$1,AN$3,'603-699'!8:8)</f>
        <v>1904</v>
      </c>
      <c r="AO35" s="128">
        <f>SUMIF('603-699'!$1:$1,AO$3,'603-699'!8:8)</f>
        <v>1364</v>
      </c>
      <c r="AP35" s="128">
        <f>SUMIF('603-699'!$1:$1,AP$3,'603-699'!8:8)</f>
        <v>1003</v>
      </c>
      <c r="AQ35" s="128">
        <f>SUMIF('603-699'!$1:$1,AQ$3,'603-699'!8:8)</f>
        <v>0</v>
      </c>
      <c r="AR35" s="128">
        <f>SUMIF('603-699'!$1:$1,AR$3,'603-699'!8:8)</f>
        <v>11494.509999999998</v>
      </c>
      <c r="AS35" s="128">
        <f>SUMIF('603-699'!$1:$1,AS$3,'603-699'!8:8)</f>
        <v>4016.3800000000006</v>
      </c>
      <c r="AT35" s="128">
        <f>SUMIF('603-699'!$1:$1,AT$3,'603-699'!8:8)</f>
        <v>17774.149999999998</v>
      </c>
      <c r="AU35" s="128">
        <f>SUMIF('603-699'!$1:$1,AU$3,'603-699'!8:8)</f>
        <v>1477.4099999999999</v>
      </c>
      <c r="AV35" s="128">
        <f>SUMIF('603-699'!$1:$1,AV$3,'603-699'!8:8)</f>
        <v>9043.77</v>
      </c>
      <c r="AW35" s="128">
        <f>SUMIF('603-699'!$1:$1,AW$3,'603-699'!8:8)</f>
        <v>6736.5</v>
      </c>
      <c r="AX35" s="128">
        <f>SUMIF('603-699'!$1:$1,AX$3,'603-699'!8:8)</f>
        <v>1940.26</v>
      </c>
      <c r="AY35" s="128">
        <f>SUMIF('603-699'!$1:$1,AY$3,'603-699'!8:8)</f>
        <v>26398.089999999997</v>
      </c>
      <c r="AZ35" s="314">
        <f>SUMIF('603-699'!$1:$1,AZ$3,'603-699'!8:8)</f>
        <v>2900.4</v>
      </c>
      <c r="BA35" s="128">
        <f>SUMIF('603-699'!$1:$1,BA$3,'603-699'!8:8)</f>
        <v>0</v>
      </c>
      <c r="BB35" s="128">
        <f>SUMIF('603-699'!$1:$1,BB$3,'603-699'!8:8)</f>
        <v>0</v>
      </c>
      <c r="BC35" s="128">
        <f>SUMIF('603-699'!$1:$1,BC$3,'603-699'!8:8)</f>
        <v>0</v>
      </c>
      <c r="BD35" s="128">
        <f>SUMIF('603-699'!$1:$1,BD$3,'603-699'!8:8)</f>
        <v>0</v>
      </c>
      <c r="BE35" s="128">
        <f>SUMIF('603-699'!$1:$1,BE$3,'603-699'!8:8)</f>
        <v>2949.44</v>
      </c>
      <c r="BF35" s="128">
        <f>SUMIF('603-699'!$1:$1,BF$3,'603-699'!8:8)</f>
        <v>0</v>
      </c>
      <c r="BG35" s="128">
        <f>SUMIF('603-699'!$1:$1,BG$3,'603-699'!8:8)</f>
        <v>2580</v>
      </c>
      <c r="BH35" s="128">
        <f>SUMIF('603-699'!$1:$1,BH$3,'603-699'!8:8)</f>
        <v>0</v>
      </c>
      <c r="BI35" s="128">
        <f>SUMIF('603-699'!$1:$1,BI$3,'603-699'!8:8)</f>
        <v>774.66000000000008</v>
      </c>
      <c r="BJ35" s="128">
        <f>SUMIF('603-699'!$1:$1,BJ$3,'603-699'!8:8)</f>
        <v>4318.3999999999996</v>
      </c>
      <c r="BK35" s="128">
        <f>SUMIF('603-699'!$1:$1,BK$3,'603-699'!8:8)</f>
        <v>0</v>
      </c>
      <c r="BL35" s="128">
        <f>SUMIF('603-699'!$1:$1,BL$3,'603-699'!8:8)</f>
        <v>24531.630000000012</v>
      </c>
      <c r="BM35" s="128">
        <f>SUMIF('603-699'!$1:$1,BM$3,'603-699'!8:8)</f>
        <v>0</v>
      </c>
      <c r="BN35" s="128">
        <f>SUMIF('603-699'!$1:$1,BN$3,'603-699'!8:8)</f>
        <v>16613.5</v>
      </c>
      <c r="BO35" s="128">
        <f>SUMIF('603-699'!$1:$1,BO$3,'603-699'!8:8)</f>
        <v>20515.3</v>
      </c>
      <c r="BP35" s="128">
        <f>SUMIF('603-699'!$1:$1,BP$3,'603-699'!8:8)</f>
        <v>0</v>
      </c>
      <c r="BQ35" s="128">
        <f>SUMIF('603-699'!$1:$1,BQ$3,'603-699'!8:8)</f>
        <v>0</v>
      </c>
      <c r="BR35" s="128">
        <f>SUMIF('603-699'!$1:$1,BR$3,'603-699'!8:8)</f>
        <v>0</v>
      </c>
      <c r="BS35" s="128">
        <f>SUMIF('603-699'!$1:$1,BS$3,'603-699'!8:8)</f>
        <v>33109.259999999995</v>
      </c>
      <c r="BT35" s="128">
        <f>SUMIF('603-699'!$1:$1,BT$3,'603-699'!8:8)</f>
        <v>15440.38</v>
      </c>
      <c r="BU35" s="128">
        <f>SUMIF('603-699'!$1:$1,BU$3,'603-699'!8:8)</f>
        <v>-4866.25</v>
      </c>
      <c r="BV35" s="128">
        <f>SUMIF('603-699'!$1:$1,BV$3,'603-699'!8:8)</f>
        <v>0</v>
      </c>
      <c r="BW35" s="128">
        <f>SUMIF('603-699'!$1:$1,BW$3,'603-699'!8:8)</f>
        <v>0</v>
      </c>
      <c r="BX35" s="128">
        <f>SUMIF('603-699'!$1:$1,BX$3,'603-699'!8:8)</f>
        <v>0</v>
      </c>
      <c r="BY35" s="128">
        <f>SUMIF('603-699'!$1:$1,BY$3,'603-699'!8:8)</f>
        <v>14931.12</v>
      </c>
      <c r="BZ35" s="128">
        <f>SUMIF('603-699'!$1:$1,BZ$3,'603-699'!8:8)</f>
        <v>0</v>
      </c>
      <c r="CA35" s="314">
        <f>SUMIF('603-699'!$1:$1,CA$3,'603-699'!8:8)</f>
        <v>0</v>
      </c>
      <c r="CB35" s="128">
        <f>SUMIF('603-699'!$1:$1,CB$3,'603-699'!8:8)</f>
        <v>0</v>
      </c>
      <c r="CC35" s="128">
        <f>SUMIF('603-699'!$1:$1,CC$3,'603-699'!8:8)</f>
        <v>0</v>
      </c>
      <c r="CD35" s="128">
        <f>SUMIF('603-699'!$1:$1,CD$3,'603-699'!8:8)</f>
        <v>0</v>
      </c>
      <c r="CE35" s="128">
        <f>SUMIF('603-699'!$1:$1,CE$3,'603-699'!8:8)</f>
        <v>3269.3</v>
      </c>
      <c r="CF35" s="128">
        <f>SUMIF('603-699'!$1:$1,CF$3,'603-699'!8:8)</f>
        <v>0</v>
      </c>
      <c r="CG35" s="257">
        <f t="shared" si="20"/>
        <v>-121082.0999999999</v>
      </c>
      <c r="CJ35" s="122"/>
      <c r="CK35" s="169">
        <f>INDEX(SAP!C:C,MATCH('Actuals mapped to CFR'!A35,SAP!H:H,FALSE),1)</f>
        <v>-121082.1</v>
      </c>
      <c r="CL35" s="59">
        <f t="shared" si="16"/>
        <v>0</v>
      </c>
      <c r="CN35" s="81">
        <f t="shared" si="21"/>
        <v>708107.05</v>
      </c>
      <c r="CO35" s="81">
        <f t="shared" si="22"/>
        <v>707651.57000000018</v>
      </c>
      <c r="CP35" s="166">
        <f>VLOOKUP(B35,'2526 GBP Data input'!$A$4:$CA$230,38,FALSE)</f>
        <v>669463</v>
      </c>
      <c r="CQ35" s="166">
        <f>VLOOKUP(B35,'2526 GBP Data input'!$A$4:$CA$230,73,FALSE)</f>
        <v>16940</v>
      </c>
      <c r="CR35" s="89">
        <f t="shared" si="8"/>
        <v>38644.050000000047</v>
      </c>
      <c r="CS35" s="83">
        <f t="shared" si="9"/>
        <v>41.774000590318785</v>
      </c>
      <c r="CT35" s="82">
        <f t="shared" si="23"/>
        <v>86618.1599999998</v>
      </c>
      <c r="CU35" s="82">
        <f t="shared" si="24"/>
        <v>3323.909999999998</v>
      </c>
      <c r="CV35" s="86">
        <f t="shared" si="10"/>
        <v>89942.069999999803</v>
      </c>
    </row>
    <row r="36" spans="1:100" ht="12.75" customHeight="1">
      <c r="A36" s="238">
        <v>107620</v>
      </c>
      <c r="B36" s="60">
        <v>620</v>
      </c>
      <c r="C36" s="60" t="s">
        <v>249</v>
      </c>
      <c r="D36" s="128">
        <f>SUMIF('603-699'!$1:$1,D$3,'603-699'!9:9)</f>
        <v>0</v>
      </c>
      <c r="E36" s="128">
        <f>SUMIF('603-699'!$1:$1,E$3,'603-699'!9:9)</f>
        <v>-12267.4</v>
      </c>
      <c r="F36" s="128">
        <f>SUMIF('603-699'!$1:$1,F$3,'603-699'!9:9)</f>
        <v>18991.82</v>
      </c>
      <c r="G36" s="128">
        <f>SUMIF('603-699'!$1:$1,G$3,'603-699'!9:9)</f>
        <v>-14922.26</v>
      </c>
      <c r="H36" s="128">
        <f>SUMIF('603-699'!$1:$1,H$3,'603-699'!9:9)</f>
        <v>0</v>
      </c>
      <c r="I36" s="128">
        <f>SUMIF('603-699'!$1:$1,I$3,'603-699'!9:9)</f>
        <v>0</v>
      </c>
      <c r="J36" s="128">
        <f>SUMIF('603-699'!$1:$1,J$3,'603-699'!9:9)</f>
        <v>0</v>
      </c>
      <c r="K36" s="128">
        <f>SUMIF('603-699'!$1:$1,K$3,'603-699'!9:9)</f>
        <v>-665164.94999999995</v>
      </c>
      <c r="L36" s="128">
        <f>SUMIF('603-699'!$1:$1,L$3,'603-699'!9:9)</f>
        <v>0</v>
      </c>
      <c r="M36" s="128">
        <f>SUMIF('603-699'!$1:$1,M$3,'603-699'!9:9)</f>
        <v>-111878</v>
      </c>
      <c r="N36" s="128">
        <f>SUMIF('603-699'!$1:$1,N$3,'603-699'!9:9)</f>
        <v>0</v>
      </c>
      <c r="O36" s="128">
        <f>SUMIF('603-699'!$1:$1,O$3,'603-699'!9:9)</f>
        <v>-25471.989999999998</v>
      </c>
      <c r="P36" s="128">
        <f>SUMIF('603-699'!$1:$1,P$3,'603-699'!9:9)</f>
        <v>-55537</v>
      </c>
      <c r="Q36" s="128">
        <f>SUMIF('603-699'!$1:$1,Q$3,'603-699'!9:9)</f>
        <v>-1956.35</v>
      </c>
      <c r="R36" s="128">
        <f>SUMIF('603-699'!$1:$1,R$3,'603-699'!9:9)</f>
        <v>0</v>
      </c>
      <c r="S36" s="128">
        <f>SUMIF('603-699'!$1:$1,S$3,'603-699'!9:9)</f>
        <v>-6856.07</v>
      </c>
      <c r="T36" s="128">
        <f>SUMIF('603-699'!$1:$1,T$3,'603-699'!9:9)</f>
        <v>0</v>
      </c>
      <c r="U36" s="128">
        <f>SUMIF('603-699'!$1:$1,U$3,'603-699'!9:9)</f>
        <v>0</v>
      </c>
      <c r="V36" s="128">
        <f>SUMIF('603-699'!$1:$1,V$3,'603-699'!9:9)</f>
        <v>-3261.3</v>
      </c>
      <c r="W36" s="128">
        <f>SUMIF('603-699'!$1:$1,W$3,'603-699'!9:9)</f>
        <v>-1637.46</v>
      </c>
      <c r="X36" s="128">
        <f>SUMIF('603-699'!$1:$1,X$3,'603-699'!9:9)</f>
        <v>0</v>
      </c>
      <c r="Y36" s="164">
        <f>SUMIF('603-699'!$1:$1,Y$3,'603-699'!9:9)</f>
        <v>0</v>
      </c>
      <c r="Z36" s="128">
        <f>SUMIF('603-699'!$1:$1,Z$3,'603-699'!9:9)</f>
        <v>0</v>
      </c>
      <c r="AA36" s="128">
        <f>SUMIF('603-699'!$1:$1,AA$3,'603-699'!9:9)</f>
        <v>0</v>
      </c>
      <c r="AB36" s="128">
        <f>SUMIF('603-699'!$1:$1,AB$3,'603-699'!9:9)</f>
        <v>0</v>
      </c>
      <c r="AC36" s="314">
        <f>SUMIF('603-699'!$1:$1,AC$3,'603-699'!9:9)</f>
        <v>0</v>
      </c>
      <c r="AD36" s="314">
        <f>SUMIF('603-699'!$1:$1,AD$3,'603-699'!9:9)</f>
        <v>0</v>
      </c>
      <c r="AE36" s="314">
        <f>SUMIF('603-699'!$1:$1,AE$3,'603-699'!9:9)</f>
        <v>0</v>
      </c>
      <c r="AF36" s="314">
        <f>SUMIF('603-699'!$1:$1,AF$3,'603-699'!9:9)</f>
        <v>0</v>
      </c>
      <c r="AG36" s="128">
        <f>SUMIF('603-699'!$1:$1,AG$3,'603-699'!9:9)</f>
        <v>566432.43000000005</v>
      </c>
      <c r="AH36" s="128">
        <f>SUMIF('603-699'!$1:$1,AH$3,'603-699'!9:9)</f>
        <v>36927.199999999997</v>
      </c>
      <c r="AI36" s="128">
        <f>SUMIF('603-699'!$1:$1,AI$3,'603-699'!9:9)</f>
        <v>231178.19000000003</v>
      </c>
      <c r="AJ36" s="128">
        <f>SUMIF('603-699'!$1:$1,AJ$3,'603-699'!9:9)</f>
        <v>1925.7499999999998</v>
      </c>
      <c r="AK36" s="128">
        <f>SUMIF('603-699'!$1:$1,AK$3,'603-699'!9:9)</f>
        <v>46670.450000000012</v>
      </c>
      <c r="AL36" s="128">
        <f>SUMIF('603-699'!$1:$1,AL$3,'603-699'!9:9)</f>
        <v>0</v>
      </c>
      <c r="AM36" s="128">
        <f>SUMIF('603-699'!$1:$1,AM$3,'603-699'!9:9)</f>
        <v>16724.149999999998</v>
      </c>
      <c r="AN36" s="128">
        <f>SUMIF('603-699'!$1:$1,AN$3,'603-699'!9:9)</f>
        <v>2744.56</v>
      </c>
      <c r="AO36" s="128">
        <f>SUMIF('603-699'!$1:$1,AO$3,'603-699'!9:9)</f>
        <v>4534</v>
      </c>
      <c r="AP36" s="128">
        <f>SUMIF('603-699'!$1:$1,AP$3,'603-699'!9:9)</f>
        <v>8634.3700000000008</v>
      </c>
      <c r="AQ36" s="128">
        <f>SUMIF('603-699'!$1:$1,AQ$3,'603-699'!9:9)</f>
        <v>0</v>
      </c>
      <c r="AR36" s="128">
        <f>SUMIF('603-699'!$1:$1,AR$3,'603-699'!9:9)</f>
        <v>8022.7199999999993</v>
      </c>
      <c r="AS36" s="128">
        <f>SUMIF('603-699'!$1:$1,AS$3,'603-699'!9:9)</f>
        <v>5452.15</v>
      </c>
      <c r="AT36" s="128">
        <f>SUMIF('603-699'!$1:$1,AT$3,'603-699'!9:9)</f>
        <v>27043.05</v>
      </c>
      <c r="AU36" s="128">
        <f>SUMIF('603-699'!$1:$1,AU$3,'603-699'!9:9)</f>
        <v>6845.9999999999973</v>
      </c>
      <c r="AV36" s="128">
        <f>SUMIF('603-699'!$1:$1,AV$3,'603-699'!9:9)</f>
        <v>13058.37</v>
      </c>
      <c r="AW36" s="128">
        <f>SUMIF('603-699'!$1:$1,AW$3,'603-699'!9:9)</f>
        <v>21332.25</v>
      </c>
      <c r="AX36" s="128">
        <f>SUMIF('603-699'!$1:$1,AX$3,'603-699'!9:9)</f>
        <v>2286.6</v>
      </c>
      <c r="AY36" s="128">
        <f>SUMIF('603-699'!$1:$1,AY$3,'603-699'!9:9)</f>
        <v>-279523.78999999998</v>
      </c>
      <c r="AZ36" s="314">
        <f>SUMIF('603-699'!$1:$1,AZ$3,'603-699'!9:9)</f>
        <v>0</v>
      </c>
      <c r="BA36" s="128">
        <f>SUMIF('603-699'!$1:$1,BA$3,'603-699'!9:9)</f>
        <v>3408.8499999999995</v>
      </c>
      <c r="BB36" s="128">
        <f>SUMIF('603-699'!$1:$1,BB$3,'603-699'!9:9)</f>
        <v>0</v>
      </c>
      <c r="BC36" s="128">
        <f>SUMIF('603-699'!$1:$1,BC$3,'603-699'!9:9)</f>
        <v>3170.5</v>
      </c>
      <c r="BD36" s="128">
        <f>SUMIF('603-699'!$1:$1,BD$3,'603-699'!9:9)</f>
        <v>7775.3899999999994</v>
      </c>
      <c r="BE36" s="128">
        <f>SUMIF('603-699'!$1:$1,BE$3,'603-699'!9:9)</f>
        <v>455</v>
      </c>
      <c r="BF36" s="128">
        <f>SUMIF('603-699'!$1:$1,BF$3,'603-699'!9:9)</f>
        <v>314.04000000000002</v>
      </c>
      <c r="BG36" s="128">
        <f>SUMIF('603-699'!$1:$1,BG$3,'603-699'!9:9)</f>
        <v>4531</v>
      </c>
      <c r="BH36" s="128">
        <f>SUMIF('603-699'!$1:$1,BH$3,'603-699'!9:9)</f>
        <v>0</v>
      </c>
      <c r="BI36" s="128">
        <f>SUMIF('603-699'!$1:$1,BI$3,'603-699'!9:9)</f>
        <v>4104.7500000000009</v>
      </c>
      <c r="BJ36" s="128">
        <f>SUMIF('603-699'!$1:$1,BJ$3,'603-699'!9:9)</f>
        <v>5344.02</v>
      </c>
      <c r="BK36" s="128">
        <f>SUMIF('603-699'!$1:$1,BK$3,'603-699'!9:9)</f>
        <v>0</v>
      </c>
      <c r="BL36" s="128">
        <f>SUMIF('603-699'!$1:$1,BL$3,'603-699'!9:9)</f>
        <v>49823.05</v>
      </c>
      <c r="BM36" s="128">
        <f>SUMIF('603-699'!$1:$1,BM$3,'603-699'!9:9)</f>
        <v>29661.870000000003</v>
      </c>
      <c r="BN36" s="128">
        <f>SUMIF('603-699'!$1:$1,BN$3,'603-699'!9:9)</f>
        <v>17610.060000000001</v>
      </c>
      <c r="BO36" s="128">
        <f>SUMIF('603-699'!$1:$1,BO$3,'603-699'!9:9)</f>
        <v>18756.48</v>
      </c>
      <c r="BP36" s="128">
        <f>SUMIF('603-699'!$1:$1,BP$3,'603-699'!9:9)</f>
        <v>0</v>
      </c>
      <c r="BQ36" s="128">
        <f>SUMIF('603-699'!$1:$1,BQ$3,'603-699'!9:9)</f>
        <v>0</v>
      </c>
      <c r="BR36" s="128">
        <f>SUMIF('603-699'!$1:$1,BR$3,'603-699'!9:9)</f>
        <v>0</v>
      </c>
      <c r="BS36" s="128">
        <f>SUMIF('603-699'!$1:$1,BS$3,'603-699'!9:9)</f>
        <v>0</v>
      </c>
      <c r="BT36" s="128">
        <f>SUMIF('603-699'!$1:$1,BT$3,'603-699'!9:9)</f>
        <v>0</v>
      </c>
      <c r="BU36" s="128">
        <f>SUMIF('603-699'!$1:$1,BU$3,'603-699'!9:9)</f>
        <v>-22531.180000000004</v>
      </c>
      <c r="BV36" s="128">
        <f>SUMIF('603-699'!$1:$1,BV$3,'603-699'!9:9)</f>
        <v>0</v>
      </c>
      <c r="BW36" s="128">
        <f>SUMIF('603-699'!$1:$1,BW$3,'603-699'!9:9)</f>
        <v>0</v>
      </c>
      <c r="BX36" s="128">
        <f>SUMIF('603-699'!$1:$1,BX$3,'603-699'!9:9)</f>
        <v>0</v>
      </c>
      <c r="BY36" s="128">
        <f>SUMIF('603-699'!$1:$1,BY$3,'603-699'!9:9)</f>
        <v>20000</v>
      </c>
      <c r="BZ36" s="128">
        <f>SUMIF('603-699'!$1:$1,BZ$3,'603-699'!9:9)</f>
        <v>0</v>
      </c>
      <c r="CA36" s="314">
        <f>SUMIF('603-699'!$1:$1,CA$3,'603-699'!9:9)</f>
        <v>0</v>
      </c>
      <c r="CB36" s="128">
        <f>SUMIF('603-699'!$1:$1,CB$3,'603-699'!9:9)</f>
        <v>17658.2</v>
      </c>
      <c r="CC36" s="128">
        <f>SUMIF('603-699'!$1:$1,CC$3,'603-699'!9:9)</f>
        <v>0</v>
      </c>
      <c r="CD36" s="128">
        <f>SUMIF('603-699'!$1:$1,CD$3,'603-699'!9:9)</f>
        <v>0</v>
      </c>
      <c r="CE36" s="128">
        <f>SUMIF('603-699'!$1:$1,CE$3,'603-699'!9:9)</f>
        <v>0</v>
      </c>
      <c r="CF36" s="128">
        <f>SUMIF('603-699'!$1:$1,CF$3,'603-699'!9:9)</f>
        <v>0</v>
      </c>
      <c r="CG36" s="257">
        <f t="shared" si="20"/>
        <v>409.52000000029147</v>
      </c>
      <c r="CJ36" s="122"/>
      <c r="CK36" s="169">
        <f>INDEX(SAP!C:C,MATCH('Actuals mapped to CFR'!A36,SAP!H:H,FALSE),1)</f>
        <v>409.52</v>
      </c>
      <c r="CL36" s="59">
        <f t="shared" si="16"/>
        <v>0</v>
      </c>
      <c r="CN36" s="81">
        <f t="shared" si="21"/>
        <v>871763.11999999988</v>
      </c>
      <c r="CO36" s="81">
        <f t="shared" si="22"/>
        <v>865243.46000000031</v>
      </c>
      <c r="CP36" s="166">
        <f>VLOOKUP(B36,'2526 GBP Data input'!$A$4:$CA$230,38,FALSE)</f>
        <v>814199</v>
      </c>
      <c r="CQ36" s="166">
        <f>VLOOKUP(B36,'2526 GBP Data input'!$A$4:$CA$230,73,FALSE)</f>
        <v>14982</v>
      </c>
      <c r="CR36" s="89">
        <f t="shared" si="8"/>
        <v>57564.119999999879</v>
      </c>
      <c r="CS36" s="83">
        <f t="shared" si="9"/>
        <v>57.752199973301316</v>
      </c>
      <c r="CT36" s="82">
        <f t="shared" si="23"/>
        <v>-12472.160000000382</v>
      </c>
      <c r="CU36" s="82">
        <f t="shared" si="24"/>
        <v>17453.440000000002</v>
      </c>
      <c r="CV36" s="86">
        <f t="shared" si="10"/>
        <v>4981.2799999996205</v>
      </c>
    </row>
    <row r="37" spans="1:100" ht="12.75" customHeight="1">
      <c r="A37" s="238">
        <v>107633</v>
      </c>
      <c r="B37" s="60">
        <v>633</v>
      </c>
      <c r="C37" s="60" t="s">
        <v>191</v>
      </c>
      <c r="D37" s="128">
        <f>SUMIF('603-699'!$1:$1,D$3,'603-699'!10:10)</f>
        <v>-122424.21</v>
      </c>
      <c r="E37" s="128">
        <f>SUMIF('603-699'!$1:$1,E$3,'603-699'!10:10)</f>
        <v>-38953.86</v>
      </c>
      <c r="F37" s="128">
        <f>SUMIF('603-699'!$1:$1,F$3,'603-699'!10:10)</f>
        <v>0</v>
      </c>
      <c r="G37" s="128">
        <f>SUMIF('603-699'!$1:$1,G$3,'603-699'!10:10)</f>
        <v>-16965.71</v>
      </c>
      <c r="H37" s="128">
        <f>SUMIF('603-699'!$1:$1,H$3,'603-699'!10:10)</f>
        <v>0</v>
      </c>
      <c r="I37" s="128">
        <f>SUMIF('603-699'!$1:$1,I$3,'603-699'!10:10)</f>
        <v>0</v>
      </c>
      <c r="J37" s="128">
        <f>SUMIF('603-699'!$1:$1,J$3,'603-699'!10:10)</f>
        <v>0</v>
      </c>
      <c r="K37" s="128">
        <f>SUMIF('603-699'!$1:$1,K$3,'603-699'!10:10)</f>
        <v>-410237.55</v>
      </c>
      <c r="L37" s="128">
        <f>SUMIF('603-699'!$1:$1,L$3,'603-699'!10:10)</f>
        <v>0</v>
      </c>
      <c r="M37" s="128">
        <f>SUMIF('603-699'!$1:$1,M$3,'603-699'!10:10)</f>
        <v>-28061</v>
      </c>
      <c r="N37" s="128">
        <f>SUMIF('603-699'!$1:$1,N$3,'603-699'!10:10)</f>
        <v>0</v>
      </c>
      <c r="O37" s="128">
        <f>SUMIF('603-699'!$1:$1,O$3,'603-699'!10:10)</f>
        <v>-10605</v>
      </c>
      <c r="P37" s="128">
        <f>SUMIF('603-699'!$1:$1,P$3,'603-699'!10:10)</f>
        <v>-21416</v>
      </c>
      <c r="Q37" s="128">
        <f>SUMIF('603-699'!$1:$1,Q$3,'603-699'!10:10)</f>
        <v>0</v>
      </c>
      <c r="R37" s="128">
        <f>SUMIF('603-699'!$1:$1,R$3,'603-699'!10:10)</f>
        <v>0</v>
      </c>
      <c r="S37" s="128">
        <f>SUMIF('603-699'!$1:$1,S$3,'603-699'!10:10)</f>
        <v>-14620.489999999998</v>
      </c>
      <c r="T37" s="128">
        <f>SUMIF('603-699'!$1:$1,T$3,'603-699'!10:10)</f>
        <v>-1194.3899999999999</v>
      </c>
      <c r="U37" s="128">
        <f>SUMIF('603-699'!$1:$1,U$3,'603-699'!10:10)</f>
        <v>0</v>
      </c>
      <c r="V37" s="128">
        <f>SUMIF('603-699'!$1:$1,V$3,'603-699'!10:10)</f>
        <v>0</v>
      </c>
      <c r="W37" s="128">
        <f>SUMIF('603-699'!$1:$1,W$3,'603-699'!10:10)</f>
        <v>-5746.42</v>
      </c>
      <c r="X37" s="128">
        <f>SUMIF('603-699'!$1:$1,X$3,'603-699'!10:10)</f>
        <v>-11473.92</v>
      </c>
      <c r="Y37" s="164">
        <f>SUMIF('603-699'!$1:$1,Y$3,'603-699'!10:10)</f>
        <v>0</v>
      </c>
      <c r="Z37" s="128">
        <f>SUMIF('603-699'!$1:$1,Z$3,'603-699'!10:10)</f>
        <v>0</v>
      </c>
      <c r="AA37" s="128">
        <f>SUMIF('603-699'!$1:$1,AA$3,'603-699'!10:10)</f>
        <v>0</v>
      </c>
      <c r="AB37" s="128">
        <f>SUMIF('603-699'!$1:$1,AB$3,'603-699'!10:10)</f>
        <v>0</v>
      </c>
      <c r="AC37" s="314">
        <f>SUMIF('603-699'!$1:$1,AC$3,'603-699'!10:10)</f>
        <v>0</v>
      </c>
      <c r="AD37" s="314">
        <f>SUMIF('603-699'!$1:$1,AD$3,'603-699'!10:10)</f>
        <v>0</v>
      </c>
      <c r="AE37" s="314">
        <f>SUMIF('603-699'!$1:$1,AE$3,'603-699'!10:10)</f>
        <v>0</v>
      </c>
      <c r="AF37" s="314">
        <f>SUMIF('603-699'!$1:$1,AF$3,'603-699'!10:10)</f>
        <v>0</v>
      </c>
      <c r="AG37" s="128">
        <f>SUMIF('603-699'!$1:$1,AG$3,'603-699'!10:10)</f>
        <v>288319.02999999997</v>
      </c>
      <c r="AH37" s="128">
        <f>SUMIF('603-699'!$1:$1,AH$3,'603-699'!10:10)</f>
        <v>4201.13</v>
      </c>
      <c r="AI37" s="128">
        <f>SUMIF('603-699'!$1:$1,AI$3,'603-699'!10:10)</f>
        <v>85660.06</v>
      </c>
      <c r="AJ37" s="128">
        <f>SUMIF('603-699'!$1:$1,AJ$3,'603-699'!10:10)</f>
        <v>0</v>
      </c>
      <c r="AK37" s="128">
        <f>SUMIF('603-699'!$1:$1,AK$3,'603-699'!10:10)</f>
        <v>31228.87</v>
      </c>
      <c r="AL37" s="128">
        <f>SUMIF('603-699'!$1:$1,AL$3,'603-699'!10:10)</f>
        <v>0</v>
      </c>
      <c r="AM37" s="128">
        <f>SUMIF('603-699'!$1:$1,AM$3,'603-699'!10:10)</f>
        <v>27304.980000000007</v>
      </c>
      <c r="AN37" s="128">
        <f>SUMIF('603-699'!$1:$1,AN$3,'603-699'!10:10)</f>
        <v>1540</v>
      </c>
      <c r="AO37" s="128">
        <f>SUMIF('603-699'!$1:$1,AO$3,'603-699'!10:10)</f>
        <v>1773.5</v>
      </c>
      <c r="AP37" s="128">
        <f>SUMIF('603-699'!$1:$1,AP$3,'603-699'!10:10)</f>
        <v>1949.1999999999998</v>
      </c>
      <c r="AQ37" s="128">
        <f>SUMIF('603-699'!$1:$1,AQ$3,'603-699'!10:10)</f>
        <v>0</v>
      </c>
      <c r="AR37" s="128">
        <f>SUMIF('603-699'!$1:$1,AR$3,'603-699'!10:10)</f>
        <v>4938.6100000000006</v>
      </c>
      <c r="AS37" s="128">
        <f>SUMIF('603-699'!$1:$1,AS$3,'603-699'!10:10)</f>
        <v>0</v>
      </c>
      <c r="AT37" s="128">
        <f>SUMIF('603-699'!$1:$1,AT$3,'603-699'!10:10)</f>
        <v>8140.7799999999988</v>
      </c>
      <c r="AU37" s="128">
        <f>SUMIF('603-699'!$1:$1,AU$3,'603-699'!10:10)</f>
        <v>982.2399999999999</v>
      </c>
      <c r="AV37" s="128">
        <f>SUMIF('603-699'!$1:$1,AV$3,'603-699'!10:10)</f>
        <v>5455.0499999999993</v>
      </c>
      <c r="AW37" s="128">
        <f>SUMIF('603-699'!$1:$1,AW$3,'603-699'!10:10)</f>
        <v>4191.6000000000004</v>
      </c>
      <c r="AX37" s="128">
        <f>SUMIF('603-699'!$1:$1,AX$3,'603-699'!10:10)</f>
        <v>2024.4999999999998</v>
      </c>
      <c r="AY37" s="128">
        <f>SUMIF('603-699'!$1:$1,AY$3,'603-699'!10:10)</f>
        <v>24189.83</v>
      </c>
      <c r="AZ37" s="314">
        <f>SUMIF('603-699'!$1:$1,AZ$3,'603-699'!10:10)</f>
        <v>0</v>
      </c>
      <c r="BA37" s="128">
        <f>SUMIF('603-699'!$1:$1,BA$3,'603-699'!10:10)</f>
        <v>1669</v>
      </c>
      <c r="BB37" s="128">
        <f>SUMIF('603-699'!$1:$1,BB$3,'603-699'!10:10)</f>
        <v>0</v>
      </c>
      <c r="BC37" s="128">
        <f>SUMIF('603-699'!$1:$1,BC$3,'603-699'!10:10)</f>
        <v>0</v>
      </c>
      <c r="BD37" s="128">
        <f>SUMIF('603-699'!$1:$1,BD$3,'603-699'!10:10)</f>
        <v>0</v>
      </c>
      <c r="BE37" s="128">
        <f>SUMIF('603-699'!$1:$1,BE$3,'603-699'!10:10)</f>
        <v>20</v>
      </c>
      <c r="BF37" s="128">
        <f>SUMIF('603-699'!$1:$1,BF$3,'603-699'!10:10)</f>
        <v>139.52000000000001</v>
      </c>
      <c r="BG37" s="128">
        <f>SUMIF('603-699'!$1:$1,BG$3,'603-699'!10:10)</f>
        <v>790</v>
      </c>
      <c r="BH37" s="128">
        <f>SUMIF('603-699'!$1:$1,BH$3,'603-699'!10:10)</f>
        <v>0</v>
      </c>
      <c r="BI37" s="128">
        <f>SUMIF('603-699'!$1:$1,BI$3,'603-699'!10:10)</f>
        <v>1135.3799999999999</v>
      </c>
      <c r="BJ37" s="128">
        <f>SUMIF('603-699'!$1:$1,BJ$3,'603-699'!10:10)</f>
        <v>2806.96</v>
      </c>
      <c r="BK37" s="128">
        <f>SUMIF('603-699'!$1:$1,BK$3,'603-699'!10:10)</f>
        <v>0</v>
      </c>
      <c r="BL37" s="128">
        <f>SUMIF('603-699'!$1:$1,BL$3,'603-699'!10:10)</f>
        <v>8700.9600000000009</v>
      </c>
      <c r="BM37" s="128">
        <f>SUMIF('603-699'!$1:$1,BM$3,'603-699'!10:10)</f>
        <v>0</v>
      </c>
      <c r="BN37" s="128">
        <f>SUMIF('603-699'!$1:$1,BN$3,'603-699'!10:10)</f>
        <v>8765.01</v>
      </c>
      <c r="BO37" s="128">
        <f>SUMIF('603-699'!$1:$1,BO$3,'603-699'!10:10)</f>
        <v>11027.830000000002</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-4551.25</v>
      </c>
      <c r="BV37" s="128">
        <f>SUMIF('603-699'!$1:$1,BV$3,'603-699'!10:10)</f>
        <v>0</v>
      </c>
      <c r="BW37" s="128">
        <f>SUMIF('603-699'!$1:$1,BW$3,'603-699'!10:10)</f>
        <v>0</v>
      </c>
      <c r="BX37" s="128">
        <f>SUMIF('603-699'!$1:$1,BX$3,'603-699'!10:10)</f>
        <v>0</v>
      </c>
      <c r="BY37" s="128">
        <f>SUMIF('603-699'!$1:$1,BY$3,'603-699'!10:10)</f>
        <v>-2482.5</v>
      </c>
      <c r="BZ37" s="128">
        <f>SUMIF('603-699'!$1:$1,BZ$3,'603-699'!10:10)</f>
        <v>0</v>
      </c>
      <c r="CA37" s="314">
        <f>SUMIF('603-699'!$1:$1,CA$3,'603-699'!10:10)</f>
        <v>0</v>
      </c>
      <c r="CB37" s="128">
        <f>SUMIF('603-699'!$1:$1,CB$3,'603-699'!10:10)</f>
        <v>0</v>
      </c>
      <c r="CC37" s="128">
        <f>SUMIF('603-699'!$1:$1,CC$3,'603-699'!10:10)</f>
        <v>0</v>
      </c>
      <c r="CD37" s="128">
        <f>SUMIF('603-699'!$1:$1,CD$3,'603-699'!10:10)</f>
        <v>0</v>
      </c>
      <c r="CE37" s="128">
        <f>SUMIF('603-699'!$1:$1,CE$3,'603-699'!10:10)</f>
        <v>5224.7</v>
      </c>
      <c r="CF37" s="128">
        <f>SUMIF('603-699'!$1:$1,CF$3,'603-699'!10:10)</f>
        <v>0</v>
      </c>
      <c r="CG37" s="257">
        <f t="shared" si="20"/>
        <v>-156553.56000000006</v>
      </c>
      <c r="CJ37" s="122"/>
      <c r="CK37" s="169">
        <f>INDEX(SAP!C:C,MATCH('Actuals mapped to CFR'!A37,SAP!H:H,FALSE),1)</f>
        <v>-156553.56</v>
      </c>
      <c r="CL37" s="59">
        <f t="shared" si="16"/>
        <v>0</v>
      </c>
      <c r="CN37" s="81">
        <f t="shared" si="21"/>
        <v>503354.76999999996</v>
      </c>
      <c r="CO37" s="81">
        <f t="shared" si="22"/>
        <v>526954.03999999992</v>
      </c>
      <c r="CP37" s="166">
        <f>VLOOKUP(B37,'2526 GBP Data input'!$A$4:$CA$230,38,FALSE)</f>
        <v>457158</v>
      </c>
      <c r="CQ37" s="166">
        <f>VLOOKUP(B37,'2526 GBP Data input'!$A$4:$CA$230,73,FALSE)</f>
        <v>10210</v>
      </c>
      <c r="CR37" s="89">
        <f t="shared" si="8"/>
        <v>46196.76999999996</v>
      </c>
      <c r="CS37" s="83">
        <f t="shared" si="9"/>
        <v>51.611561214495588</v>
      </c>
      <c r="CT37" s="82">
        <f t="shared" si="23"/>
        <v>98824.940000000061</v>
      </c>
      <c r="CU37" s="82">
        <f t="shared" si="24"/>
        <v>23999.46</v>
      </c>
      <c r="CV37" s="86">
        <f t="shared" si="10"/>
        <v>122824.40000000005</v>
      </c>
    </row>
    <row r="38" spans="1:100" ht="12.75" customHeight="1">
      <c r="A38" s="238">
        <v>107635</v>
      </c>
      <c r="B38" s="60">
        <v>635</v>
      </c>
      <c r="C38" s="60" t="s">
        <v>218</v>
      </c>
      <c r="D38" s="128">
        <f>SUMIF('603-699'!$1:$1,D$3,'603-699'!11:11)</f>
        <v>-83793.53</v>
      </c>
      <c r="E38" s="128">
        <f>SUMIF('603-699'!$1:$1,E$3,'603-699'!11:11)</f>
        <v>-4264.6499999999996</v>
      </c>
      <c r="F38" s="128">
        <f>SUMIF('603-699'!$1:$1,F$3,'603-699'!11:11)</f>
        <v>0</v>
      </c>
      <c r="G38" s="128">
        <f>SUMIF('603-699'!$1:$1,G$3,'603-699'!11:11)</f>
        <v>-3613.19</v>
      </c>
      <c r="H38" s="128">
        <f>SUMIF('603-699'!$1:$1,H$3,'603-699'!11:11)</f>
        <v>0</v>
      </c>
      <c r="I38" s="128">
        <f>SUMIF('603-699'!$1:$1,I$3,'603-699'!11:11)</f>
        <v>0</v>
      </c>
      <c r="J38" s="128">
        <f>SUMIF('603-699'!$1:$1,J$3,'603-699'!11:11)</f>
        <v>0</v>
      </c>
      <c r="K38" s="128">
        <f>SUMIF('603-699'!$1:$1,K$3,'603-699'!11:11)</f>
        <v>-787651.97</v>
      </c>
      <c r="L38" s="128">
        <f>SUMIF('603-699'!$1:$1,L$3,'603-699'!11:11)</f>
        <v>0</v>
      </c>
      <c r="M38" s="128">
        <f>SUMIF('603-699'!$1:$1,M$3,'603-699'!11:11)</f>
        <v>-33433</v>
      </c>
      <c r="N38" s="128">
        <f>SUMIF('603-699'!$1:$1,N$3,'603-699'!11:11)</f>
        <v>0</v>
      </c>
      <c r="O38" s="128">
        <f>SUMIF('603-699'!$1:$1,O$3,'603-699'!11:11)</f>
        <v>-10955</v>
      </c>
      <c r="P38" s="128">
        <f>SUMIF('603-699'!$1:$1,P$3,'603-699'!11:11)</f>
        <v>-38489</v>
      </c>
      <c r="Q38" s="128">
        <f>SUMIF('603-699'!$1:$1,Q$3,'603-699'!11:11)</f>
        <v>0</v>
      </c>
      <c r="R38" s="128">
        <f>SUMIF('603-699'!$1:$1,R$3,'603-699'!11:11)</f>
        <v>0</v>
      </c>
      <c r="S38" s="128">
        <f>SUMIF('603-699'!$1:$1,S$3,'603-699'!11:11)</f>
        <v>-4005.3</v>
      </c>
      <c r="T38" s="128">
        <f>SUMIF('603-699'!$1:$1,T$3,'603-699'!11:11)</f>
        <v>106.17999999999999</v>
      </c>
      <c r="U38" s="128">
        <f>SUMIF('603-699'!$1:$1,U$3,'603-699'!11:11)</f>
        <v>0</v>
      </c>
      <c r="V38" s="128">
        <f>SUMIF('603-699'!$1:$1,V$3,'603-699'!11:11)</f>
        <v>-3015.5</v>
      </c>
      <c r="W38" s="128">
        <f>SUMIF('603-699'!$1:$1,W$3,'603-699'!11:11)</f>
        <v>-8515.8300000000017</v>
      </c>
      <c r="X38" s="128">
        <f>SUMIF('603-699'!$1:$1,X$3,'603-699'!11:11)</f>
        <v>-4178.03</v>
      </c>
      <c r="Y38" s="164">
        <f>SUMIF('603-699'!$1:$1,Y$3,'603-699'!11:11)</f>
        <v>0</v>
      </c>
      <c r="Z38" s="128">
        <f>SUMIF('603-699'!$1:$1,Z$3,'603-699'!11:11)</f>
        <v>0</v>
      </c>
      <c r="AA38" s="128">
        <f>SUMIF('603-699'!$1:$1,AA$3,'603-699'!11:11)</f>
        <v>0</v>
      </c>
      <c r="AB38" s="128">
        <f>SUMIF('603-699'!$1:$1,AB$3,'603-699'!11:11)</f>
        <v>0</v>
      </c>
      <c r="AC38" s="314">
        <f>SUMIF('603-699'!$1:$1,AC$3,'603-699'!11:11)</f>
        <v>0</v>
      </c>
      <c r="AD38" s="314">
        <f>SUMIF('603-699'!$1:$1,AD$3,'603-699'!11:11)</f>
        <v>0</v>
      </c>
      <c r="AE38" s="314">
        <f>SUMIF('603-699'!$1:$1,AE$3,'603-699'!11:11)</f>
        <v>0</v>
      </c>
      <c r="AF38" s="314">
        <f>SUMIF('603-699'!$1:$1,AF$3,'603-699'!11:11)</f>
        <v>0</v>
      </c>
      <c r="AG38" s="128">
        <f>SUMIF('603-699'!$1:$1,AG$3,'603-699'!11:11)</f>
        <v>483189.31</v>
      </c>
      <c r="AH38" s="128">
        <f>SUMIF('603-699'!$1:$1,AH$3,'603-699'!11:11)</f>
        <v>14812.01</v>
      </c>
      <c r="AI38" s="128">
        <f>SUMIF('603-699'!$1:$1,AI$3,'603-699'!11:11)</f>
        <v>130496.11999999998</v>
      </c>
      <c r="AJ38" s="128">
        <f>SUMIF('603-699'!$1:$1,AJ$3,'603-699'!11:11)</f>
        <v>17882.200000000004</v>
      </c>
      <c r="AK38" s="128">
        <f>SUMIF('603-699'!$1:$1,AK$3,'603-699'!11:11)</f>
        <v>47076.24</v>
      </c>
      <c r="AL38" s="128">
        <f>SUMIF('603-699'!$1:$1,AL$3,'603-699'!11:11)</f>
        <v>0</v>
      </c>
      <c r="AM38" s="128">
        <f>SUMIF('603-699'!$1:$1,AM$3,'603-699'!11:11)</f>
        <v>15371.460000000001</v>
      </c>
      <c r="AN38" s="128">
        <f>SUMIF('603-699'!$1:$1,AN$3,'603-699'!11:11)</f>
        <v>2524</v>
      </c>
      <c r="AO38" s="128">
        <f>SUMIF('603-699'!$1:$1,AO$3,'603-699'!11:11)</f>
        <v>4843.59</v>
      </c>
      <c r="AP38" s="128">
        <f>SUMIF('603-699'!$1:$1,AP$3,'603-699'!11:11)</f>
        <v>22561.9</v>
      </c>
      <c r="AQ38" s="128">
        <f>SUMIF('603-699'!$1:$1,AQ$3,'603-699'!11:11)</f>
        <v>204.9</v>
      </c>
      <c r="AR38" s="128">
        <f>SUMIF('603-699'!$1:$1,AR$3,'603-699'!11:11)</f>
        <v>16044.22</v>
      </c>
      <c r="AS38" s="128">
        <f>SUMIF('603-699'!$1:$1,AS$3,'603-699'!11:11)</f>
        <v>1451.3500000000001</v>
      </c>
      <c r="AT38" s="128">
        <f>SUMIF('603-699'!$1:$1,AT$3,'603-699'!11:11)</f>
        <v>1439.4499999999998</v>
      </c>
      <c r="AU38" s="128">
        <f>SUMIF('603-699'!$1:$1,AU$3,'603-699'!11:11)</f>
        <v>1175.9199999999998</v>
      </c>
      <c r="AV38" s="128">
        <f>SUMIF('603-699'!$1:$1,AV$3,'603-699'!11:11)</f>
        <v>13136.96</v>
      </c>
      <c r="AW38" s="128">
        <f>SUMIF('603-699'!$1:$1,AW$3,'603-699'!11:11)</f>
        <v>14190.31</v>
      </c>
      <c r="AX38" s="128">
        <f>SUMIF('603-699'!$1:$1,AX$3,'603-699'!11:11)</f>
        <v>20412.420000000002</v>
      </c>
      <c r="AY38" s="128">
        <f>SUMIF('603-699'!$1:$1,AY$3,'603-699'!11:11)</f>
        <v>46066.95</v>
      </c>
      <c r="AZ38" s="314">
        <f>SUMIF('603-699'!$1:$1,AZ$3,'603-699'!11:11)</f>
        <v>0</v>
      </c>
      <c r="BA38" s="128">
        <f>SUMIF('603-699'!$1:$1,BA$3,'603-699'!11:11)</f>
        <v>990.4000000000002</v>
      </c>
      <c r="BB38" s="128">
        <f>SUMIF('603-699'!$1:$1,BB$3,'603-699'!11:11)</f>
        <v>0</v>
      </c>
      <c r="BC38" s="128">
        <f>SUMIF('603-699'!$1:$1,BC$3,'603-699'!11:11)</f>
        <v>513.28</v>
      </c>
      <c r="BD38" s="128">
        <f>SUMIF('603-699'!$1:$1,BD$3,'603-699'!11:11)</f>
        <v>4872.57</v>
      </c>
      <c r="BE38" s="128">
        <f>SUMIF('603-699'!$1:$1,BE$3,'603-699'!11:11)</f>
        <v>790</v>
      </c>
      <c r="BF38" s="128">
        <f>SUMIF('603-699'!$1:$1,BF$3,'603-699'!11:11)</f>
        <v>133.62</v>
      </c>
      <c r="BG38" s="128">
        <f>SUMIF('603-699'!$1:$1,BG$3,'603-699'!11:11)</f>
        <v>9214.5</v>
      </c>
      <c r="BH38" s="128">
        <f>SUMIF('603-699'!$1:$1,BH$3,'603-699'!11:11)</f>
        <v>0</v>
      </c>
      <c r="BI38" s="128">
        <f>SUMIF('603-699'!$1:$1,BI$3,'603-699'!11:11)</f>
        <v>3500.9999999999995</v>
      </c>
      <c r="BJ38" s="128">
        <f>SUMIF('603-699'!$1:$1,BJ$3,'603-699'!11:11)</f>
        <v>7449.24</v>
      </c>
      <c r="BK38" s="128">
        <f>SUMIF('603-699'!$1:$1,BK$3,'603-699'!11:11)</f>
        <v>0</v>
      </c>
      <c r="BL38" s="128">
        <f>SUMIF('603-699'!$1:$1,BL$3,'603-699'!11:11)</f>
        <v>27319.200000000004</v>
      </c>
      <c r="BM38" s="128">
        <f>SUMIF('603-699'!$1:$1,BM$3,'603-699'!11:11)</f>
        <v>1632.78</v>
      </c>
      <c r="BN38" s="128">
        <f>SUMIF('603-699'!$1:$1,BN$3,'603-699'!11:11)</f>
        <v>25137.41</v>
      </c>
      <c r="BO38" s="128">
        <f>SUMIF('603-699'!$1:$1,BO$3,'603-699'!11:11)</f>
        <v>20292.700000000004</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-5586.25</v>
      </c>
      <c r="BV38" s="128">
        <f>SUMIF('603-699'!$1:$1,BV$3,'603-699'!11:11)</f>
        <v>0</v>
      </c>
      <c r="BW38" s="128">
        <f>SUMIF('603-699'!$1:$1,BW$3,'603-699'!11:11)</f>
        <v>0</v>
      </c>
      <c r="BX38" s="128">
        <f>SUMIF('603-699'!$1:$1,BX$3,'603-699'!11:11)</f>
        <v>0</v>
      </c>
      <c r="BY38" s="128">
        <f>SUMIF('603-699'!$1:$1,BY$3,'603-699'!11:11)</f>
        <v>-5590.35</v>
      </c>
      <c r="BZ38" s="128">
        <f>SUMIF('603-699'!$1:$1,BZ$3,'603-699'!11:11)</f>
        <v>0</v>
      </c>
      <c r="CA38" s="314">
        <f>SUMIF('603-699'!$1:$1,CA$3,'603-699'!11:11)</f>
        <v>0</v>
      </c>
      <c r="CB38" s="128">
        <f>SUMIF('603-699'!$1:$1,CB$3,'603-699'!11:11)</f>
        <v>0</v>
      </c>
      <c r="CC38" s="128">
        <f>SUMIF('603-699'!$1:$1,CC$3,'603-699'!11:11)</f>
        <v>0</v>
      </c>
      <c r="CD38" s="128">
        <f>SUMIF('603-699'!$1:$1,CD$3,'603-699'!11:11)</f>
        <v>0</v>
      </c>
      <c r="CE38" s="128">
        <f>SUMIF('603-699'!$1:$1,CE$3,'603-699'!11:11)</f>
        <v>1066</v>
      </c>
      <c r="CF38" s="128">
        <f>SUMIF('603-699'!$1:$1,CF$3,'603-699'!11:11)</f>
        <v>0</v>
      </c>
      <c r="CG38" s="257">
        <f t="shared" si="20"/>
        <v>-37193.409999999887</v>
      </c>
      <c r="CJ38" s="122"/>
      <c r="CK38" s="169">
        <f>INDEX(SAP!C:C,MATCH('Actuals mapped to CFR'!A38,SAP!H:H,FALSE),1)</f>
        <v>-37193.410000000003</v>
      </c>
      <c r="CL38" s="59">
        <f t="shared" si="16"/>
        <v>0</v>
      </c>
      <c r="CN38" s="81">
        <f t="shared" si="21"/>
        <v>890137.45</v>
      </c>
      <c r="CO38" s="81">
        <f t="shared" si="22"/>
        <v>954726.00999999978</v>
      </c>
      <c r="CP38" s="166">
        <f>VLOOKUP(B38,'2526 GBP Data input'!$A$4:$CA$230,38,FALSE)</f>
        <v>871550</v>
      </c>
      <c r="CQ38" s="166">
        <f>VLOOKUP(B38,'2526 GBP Data input'!$A$4:$CA$230,73,FALSE)</f>
        <v>18516</v>
      </c>
      <c r="CR38" s="89">
        <f t="shared" si="8"/>
        <v>18587.449999999953</v>
      </c>
      <c r="CS38" s="83">
        <f t="shared" si="9"/>
        <v>51.562217001512195</v>
      </c>
      <c r="CT38" s="82">
        <f t="shared" si="23"/>
        <v>19204.970000000205</v>
      </c>
      <c r="CU38" s="82">
        <f t="shared" si="24"/>
        <v>14789.79</v>
      </c>
      <c r="CV38" s="86">
        <f t="shared" si="10"/>
        <v>33994.760000000206</v>
      </c>
    </row>
    <row r="39" spans="1:100" ht="12.75" customHeight="1">
      <c r="A39" s="238">
        <v>107640</v>
      </c>
      <c r="B39" s="60">
        <v>640</v>
      </c>
      <c r="C39" s="60" t="s">
        <v>187</v>
      </c>
      <c r="D39" s="128">
        <f>SUMIF('603-699'!$1:$1,D$3,'603-699'!12:12)</f>
        <v>-115357.34</v>
      </c>
      <c r="E39" s="128">
        <f>SUMIF('603-699'!$1:$1,E$3,'603-699'!12:12)</f>
        <v>-5087.55</v>
      </c>
      <c r="F39" s="128">
        <f>SUMIF('603-699'!$1:$1,F$3,'603-699'!12:12)</f>
        <v>0</v>
      </c>
      <c r="G39" s="128">
        <f>SUMIF('603-699'!$1:$1,G$3,'603-699'!12:12)</f>
        <v>-1859.25</v>
      </c>
      <c r="H39" s="128">
        <f>SUMIF('603-699'!$1:$1,H$3,'603-699'!12:12)</f>
        <v>0</v>
      </c>
      <c r="I39" s="128">
        <f>SUMIF('603-699'!$1:$1,I$3,'603-699'!12:12)</f>
        <v>0</v>
      </c>
      <c r="J39" s="128">
        <f>SUMIF('603-699'!$1:$1,J$3,'603-699'!12:12)</f>
        <v>0</v>
      </c>
      <c r="K39" s="128">
        <f>SUMIF('603-699'!$1:$1,K$3,'603-699'!12:12)</f>
        <v>-829080.08</v>
      </c>
      <c r="L39" s="128">
        <f>SUMIF('603-699'!$1:$1,L$3,'603-699'!12:12)</f>
        <v>0</v>
      </c>
      <c r="M39" s="128">
        <f>SUMIF('603-699'!$1:$1,M$3,'603-699'!12:12)</f>
        <v>-17106</v>
      </c>
      <c r="N39" s="128">
        <f>SUMIF('603-699'!$1:$1,N$3,'603-699'!12:12)</f>
        <v>0</v>
      </c>
      <c r="O39" s="128">
        <f>SUMIF('603-699'!$1:$1,O$3,'603-699'!12:12)</f>
        <v>-48795</v>
      </c>
      <c r="P39" s="128">
        <f>SUMIF('603-699'!$1:$1,P$3,'603-699'!12:12)</f>
        <v>-44086</v>
      </c>
      <c r="Q39" s="128">
        <f>SUMIF('603-699'!$1:$1,Q$3,'603-699'!12:12)</f>
        <v>0</v>
      </c>
      <c r="R39" s="128">
        <f>SUMIF('603-699'!$1:$1,R$3,'603-699'!12:12)</f>
        <v>0</v>
      </c>
      <c r="S39" s="128">
        <f>SUMIF('603-699'!$1:$1,S$3,'603-699'!12:12)</f>
        <v>-49214.810000000005</v>
      </c>
      <c r="T39" s="128">
        <f>SUMIF('603-699'!$1:$1,T$3,'603-699'!12:12)</f>
        <v>124.36999999999999</v>
      </c>
      <c r="U39" s="128">
        <f>SUMIF('603-699'!$1:$1,U$3,'603-699'!12:12)</f>
        <v>0</v>
      </c>
      <c r="V39" s="128">
        <f>SUMIF('603-699'!$1:$1,V$3,'603-699'!12:12)</f>
        <v>0</v>
      </c>
      <c r="W39" s="128">
        <f>SUMIF('603-699'!$1:$1,W$3,'603-699'!12:12)</f>
        <v>-17741.39</v>
      </c>
      <c r="X39" s="128">
        <f>SUMIF('603-699'!$1:$1,X$3,'603-699'!12:12)</f>
        <v>-1446.0900000000001</v>
      </c>
      <c r="Y39" s="164">
        <f>SUMIF('603-699'!$1:$1,Y$3,'603-699'!12:12)</f>
        <v>0</v>
      </c>
      <c r="Z39" s="128">
        <f>SUMIF('603-699'!$1:$1,Z$3,'603-699'!12:12)</f>
        <v>0</v>
      </c>
      <c r="AA39" s="128">
        <f>SUMIF('603-699'!$1:$1,AA$3,'603-699'!12:12)</f>
        <v>0</v>
      </c>
      <c r="AB39" s="128">
        <f>SUMIF('603-699'!$1:$1,AB$3,'603-699'!12:12)</f>
        <v>0</v>
      </c>
      <c r="AC39" s="314">
        <f>SUMIF('603-699'!$1:$1,AC$3,'603-699'!12:12)</f>
        <v>0</v>
      </c>
      <c r="AD39" s="314">
        <f>SUMIF('603-699'!$1:$1,AD$3,'603-699'!12:12)</f>
        <v>0</v>
      </c>
      <c r="AE39" s="314">
        <f>SUMIF('603-699'!$1:$1,AE$3,'603-699'!12:12)</f>
        <v>0</v>
      </c>
      <c r="AF39" s="314">
        <f>SUMIF('603-699'!$1:$1,AF$3,'603-699'!12:12)</f>
        <v>0</v>
      </c>
      <c r="AG39" s="128">
        <f>SUMIF('603-699'!$1:$1,AG$3,'603-699'!12:12)</f>
        <v>551058.99</v>
      </c>
      <c r="AH39" s="128">
        <f>SUMIF('603-699'!$1:$1,AH$3,'603-699'!12:12)</f>
        <v>6165.4000000000005</v>
      </c>
      <c r="AI39" s="128">
        <f>SUMIF('603-699'!$1:$1,AI$3,'603-699'!12:12)</f>
        <v>144104.44</v>
      </c>
      <c r="AJ39" s="128">
        <f>SUMIF('603-699'!$1:$1,AJ$3,'603-699'!12:12)</f>
        <v>21426.2</v>
      </c>
      <c r="AK39" s="128">
        <f>SUMIF('603-699'!$1:$1,AK$3,'603-699'!12:12)</f>
        <v>45433.26</v>
      </c>
      <c r="AL39" s="128">
        <f>SUMIF('603-699'!$1:$1,AL$3,'603-699'!12:12)</f>
        <v>0</v>
      </c>
      <c r="AM39" s="128">
        <f>SUMIF('603-699'!$1:$1,AM$3,'603-699'!12:12)</f>
        <v>19245.899999999998</v>
      </c>
      <c r="AN39" s="128">
        <f>SUMIF('603-699'!$1:$1,AN$3,'603-699'!12:12)</f>
        <v>3165.61</v>
      </c>
      <c r="AO39" s="128">
        <f>SUMIF('603-699'!$1:$1,AO$3,'603-699'!12:12)</f>
        <v>4212.7</v>
      </c>
      <c r="AP39" s="128">
        <f>SUMIF('603-699'!$1:$1,AP$3,'603-699'!12:12)</f>
        <v>423.95</v>
      </c>
      <c r="AQ39" s="128">
        <f>SUMIF('603-699'!$1:$1,AQ$3,'603-699'!12:12)</f>
        <v>0</v>
      </c>
      <c r="AR39" s="128">
        <f>SUMIF('603-699'!$1:$1,AR$3,'603-699'!12:12)</f>
        <v>14122.300000000001</v>
      </c>
      <c r="AS39" s="128">
        <f>SUMIF('603-699'!$1:$1,AS$3,'603-699'!12:12)</f>
        <v>3920.8999999999983</v>
      </c>
      <c r="AT39" s="128">
        <f>SUMIF('603-699'!$1:$1,AT$3,'603-699'!12:12)</f>
        <v>2225.85</v>
      </c>
      <c r="AU39" s="128">
        <f>SUMIF('603-699'!$1:$1,AU$3,'603-699'!12:12)</f>
        <v>1681.1200000000001</v>
      </c>
      <c r="AV39" s="128">
        <f>SUMIF('603-699'!$1:$1,AV$3,'603-699'!12:12)</f>
        <v>9112.0399999999991</v>
      </c>
      <c r="AW39" s="128">
        <f>SUMIF('603-699'!$1:$1,AW$3,'603-699'!12:12)</f>
        <v>14221.5</v>
      </c>
      <c r="AX39" s="128">
        <f>SUMIF('603-699'!$1:$1,AX$3,'603-699'!12:12)</f>
        <v>3218.1900000000005</v>
      </c>
      <c r="AY39" s="128">
        <f>SUMIF('603-699'!$1:$1,AY$3,'603-699'!12:12)</f>
        <v>53853.049999999988</v>
      </c>
      <c r="AZ39" s="314">
        <f>SUMIF('603-699'!$1:$1,AZ$3,'603-699'!12:12)</f>
        <v>0</v>
      </c>
      <c r="BA39" s="128">
        <f>SUMIF('603-699'!$1:$1,BA$3,'603-699'!12:12)</f>
        <v>3395.9199999999992</v>
      </c>
      <c r="BB39" s="128">
        <f>SUMIF('603-699'!$1:$1,BB$3,'603-699'!12:12)</f>
        <v>0</v>
      </c>
      <c r="BC39" s="128">
        <f>SUMIF('603-699'!$1:$1,BC$3,'603-699'!12:12)</f>
        <v>767.42000000000007</v>
      </c>
      <c r="BD39" s="128">
        <f>SUMIF('603-699'!$1:$1,BD$3,'603-699'!12:12)</f>
        <v>3739.6499999999996</v>
      </c>
      <c r="BE39" s="128">
        <f>SUMIF('603-699'!$1:$1,BE$3,'603-699'!12:12)</f>
        <v>2002</v>
      </c>
      <c r="BF39" s="128">
        <f>SUMIF('603-699'!$1:$1,BF$3,'603-699'!12:12)</f>
        <v>102</v>
      </c>
      <c r="BG39" s="128">
        <f>SUMIF('603-699'!$1:$1,BG$3,'603-699'!12:12)</f>
        <v>4441.5</v>
      </c>
      <c r="BH39" s="128">
        <f>SUMIF('603-699'!$1:$1,BH$3,'603-699'!12:12)</f>
        <v>0</v>
      </c>
      <c r="BI39" s="128">
        <f>SUMIF('603-699'!$1:$1,BI$3,'603-699'!12:12)</f>
        <v>5715.5</v>
      </c>
      <c r="BJ39" s="128">
        <f>SUMIF('603-699'!$1:$1,BJ$3,'603-699'!12:12)</f>
        <v>7503.22</v>
      </c>
      <c r="BK39" s="128">
        <f>SUMIF('603-699'!$1:$1,BK$3,'603-699'!12:12)</f>
        <v>0</v>
      </c>
      <c r="BL39" s="128">
        <f>SUMIF('603-699'!$1:$1,BL$3,'603-699'!12:12)</f>
        <v>43956.020000000004</v>
      </c>
      <c r="BM39" s="128">
        <f>SUMIF('603-699'!$1:$1,BM$3,'603-699'!12:12)</f>
        <v>0</v>
      </c>
      <c r="BN39" s="128">
        <f>SUMIF('603-699'!$1:$1,BN$3,'603-699'!12:12)</f>
        <v>12150</v>
      </c>
      <c r="BO39" s="128">
        <f>SUMIF('603-699'!$1:$1,BO$3,'603-699'!12:12)</f>
        <v>14368.670000000002</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-5552.5</v>
      </c>
      <c r="BV39" s="128">
        <f>SUMIF('603-699'!$1:$1,BV$3,'603-699'!12:12)</f>
        <v>0</v>
      </c>
      <c r="BW39" s="128">
        <f>SUMIF('603-699'!$1:$1,BW$3,'603-699'!12:12)</f>
        <v>0</v>
      </c>
      <c r="BX39" s="128">
        <f>SUMIF('603-699'!$1:$1,BX$3,'603-699'!12:12)</f>
        <v>0</v>
      </c>
      <c r="BY39" s="128">
        <f>SUMIF('603-699'!$1:$1,BY$3,'603-699'!12:12)</f>
        <v>267</v>
      </c>
      <c r="BZ39" s="128">
        <f>SUMIF('603-699'!$1:$1,BZ$3,'603-699'!12:12)</f>
        <v>0</v>
      </c>
      <c r="CA39" s="314">
        <f>SUMIF('603-699'!$1:$1,CA$3,'603-699'!12:12)</f>
        <v>0</v>
      </c>
      <c r="CB39" s="128">
        <f>SUMIF('603-699'!$1:$1,CB$3,'603-699'!12:12)</f>
        <v>0</v>
      </c>
      <c r="CC39" s="128">
        <f>SUMIF('603-699'!$1:$1,CC$3,'603-699'!12:12)</f>
        <v>0</v>
      </c>
      <c r="CD39" s="128">
        <f>SUMIF('603-699'!$1:$1,CD$3,'603-699'!12:12)</f>
        <v>0</v>
      </c>
      <c r="CE39" s="128">
        <f>SUMIF('603-699'!$1:$1,CE$3,'603-699'!12:12)</f>
        <v>7145</v>
      </c>
      <c r="CF39" s="128">
        <f>SUMIF('603-699'!$1:$1,CF$3,'603-699'!12:12)</f>
        <v>0</v>
      </c>
      <c r="CG39" s="257">
        <f t="shared" si="20"/>
        <v>-132056.33999999982</v>
      </c>
      <c r="CJ39" s="122"/>
      <c r="CK39" s="169">
        <f>INDEX(SAP!C:C,MATCH('Actuals mapped to CFR'!A39,SAP!H:H,FALSE),1)</f>
        <v>-132056.34</v>
      </c>
      <c r="CL39" s="59">
        <f t="shared" si="16"/>
        <v>0</v>
      </c>
      <c r="CN39" s="81">
        <f t="shared" si="21"/>
        <v>1007345</v>
      </c>
      <c r="CO39" s="81">
        <f t="shared" si="22"/>
        <v>995733.3</v>
      </c>
      <c r="CP39" s="166">
        <f>VLOOKUP(B39,'2526 GBP Data input'!$A$4:$CA$230,38,FALSE)</f>
        <v>946695</v>
      </c>
      <c r="CQ39" s="166">
        <f>VLOOKUP(B39,'2526 GBP Data input'!$A$4:$CA$230,73,FALSE)</f>
        <v>14723</v>
      </c>
      <c r="CR39" s="89">
        <f t="shared" si="8"/>
        <v>60650</v>
      </c>
      <c r="CS39" s="83">
        <f t="shared" si="9"/>
        <v>67.631141751001834</v>
      </c>
      <c r="CT39" s="82">
        <f t="shared" si="23"/>
        <v>126969.04000000004</v>
      </c>
      <c r="CU39" s="82">
        <f t="shared" si="24"/>
        <v>7144.75</v>
      </c>
      <c r="CV39" s="86">
        <f t="shared" si="10"/>
        <v>134113.79000000004</v>
      </c>
    </row>
    <row r="40" spans="1:100" ht="12.75" customHeight="1">
      <c r="A40" s="238">
        <v>107656</v>
      </c>
      <c r="B40" s="60">
        <v>656</v>
      </c>
      <c r="C40" s="60" t="s">
        <v>393</v>
      </c>
      <c r="D40" s="128">
        <f>SUMIF('603-699'!$1:$1,D$3,'603-699'!13:13)</f>
        <v>-139401.19</v>
      </c>
      <c r="E40" s="128">
        <f>SUMIF('603-699'!$1:$1,E$3,'603-699'!13:13)</f>
        <v>-12288.95</v>
      </c>
      <c r="F40" s="128">
        <f>SUMIF('603-699'!$1:$1,F$3,'603-699'!13:13)</f>
        <v>0</v>
      </c>
      <c r="G40" s="128">
        <f>SUMIF('603-699'!$1:$1,G$3,'603-699'!13:13)</f>
        <v>-6762.83</v>
      </c>
      <c r="H40" s="128">
        <f>SUMIF('603-699'!$1:$1,H$3,'603-699'!13:13)</f>
        <v>0</v>
      </c>
      <c r="I40" s="128">
        <f>SUMIF('603-699'!$1:$1,I$3,'603-699'!13:13)</f>
        <v>0</v>
      </c>
      <c r="J40" s="128">
        <f>SUMIF('603-699'!$1:$1,J$3,'603-699'!13:13)</f>
        <v>0</v>
      </c>
      <c r="K40" s="128">
        <f>SUMIF('603-699'!$1:$1,K$3,'603-699'!13:13)</f>
        <v>-2208776.81</v>
      </c>
      <c r="L40" s="128">
        <f>SUMIF('603-699'!$1:$1,L$3,'603-699'!13:13)</f>
        <v>0</v>
      </c>
      <c r="M40" s="128">
        <f>SUMIF('603-699'!$1:$1,M$3,'603-699'!13:13)</f>
        <v>-112126</v>
      </c>
      <c r="N40" s="128">
        <f>SUMIF('603-699'!$1:$1,N$3,'603-699'!13:13)</f>
        <v>0</v>
      </c>
      <c r="O40" s="128">
        <f>SUMIF('603-699'!$1:$1,O$3,'603-699'!13:13)</f>
        <v>-104655</v>
      </c>
      <c r="P40" s="128">
        <f>SUMIF('603-699'!$1:$1,P$3,'603-699'!13:13)</f>
        <v>-77150.929999999993</v>
      </c>
      <c r="Q40" s="128">
        <f>SUMIF('603-699'!$1:$1,Q$3,'603-699'!13:13)</f>
        <v>0</v>
      </c>
      <c r="R40" s="128">
        <f>SUMIF('603-699'!$1:$1,R$3,'603-699'!13:13)</f>
        <v>-9487.5</v>
      </c>
      <c r="S40" s="128">
        <f>SUMIF('603-699'!$1:$1,S$3,'603-699'!13:13)</f>
        <v>-26832.36</v>
      </c>
      <c r="T40" s="128">
        <f>SUMIF('603-699'!$1:$1,T$3,'603-699'!13:13)</f>
        <v>117.56</v>
      </c>
      <c r="U40" s="128">
        <f>SUMIF('603-699'!$1:$1,U$3,'603-699'!13:13)</f>
        <v>-9249.75</v>
      </c>
      <c r="V40" s="128">
        <f>SUMIF('603-699'!$1:$1,V$3,'603-699'!13:13)</f>
        <v>-3570</v>
      </c>
      <c r="W40" s="128">
        <f>SUMIF('603-699'!$1:$1,W$3,'603-699'!13:13)</f>
        <v>-26597.809999999994</v>
      </c>
      <c r="X40" s="128">
        <f>SUMIF('603-699'!$1:$1,X$3,'603-699'!13:13)</f>
        <v>-1327.1299999999997</v>
      </c>
      <c r="Y40" s="164">
        <f>SUMIF('603-699'!$1:$1,Y$3,'603-699'!13:13)</f>
        <v>0</v>
      </c>
      <c r="Z40" s="128">
        <f>SUMIF('603-699'!$1:$1,Z$3,'603-699'!13:13)</f>
        <v>0</v>
      </c>
      <c r="AA40" s="128">
        <f>SUMIF('603-699'!$1:$1,AA$3,'603-699'!13:13)</f>
        <v>0</v>
      </c>
      <c r="AB40" s="128">
        <f>SUMIF('603-699'!$1:$1,AB$3,'603-699'!13:13)</f>
        <v>0</v>
      </c>
      <c r="AC40" s="314">
        <f>SUMIF('603-699'!$1:$1,AC$3,'603-699'!13:13)</f>
        <v>0</v>
      </c>
      <c r="AD40" s="314">
        <f>SUMIF('603-699'!$1:$1,AD$3,'603-699'!13:13)</f>
        <v>0</v>
      </c>
      <c r="AE40" s="314">
        <f>SUMIF('603-699'!$1:$1,AE$3,'603-699'!13:13)</f>
        <v>0</v>
      </c>
      <c r="AF40" s="314">
        <f>SUMIF('603-699'!$1:$1,AF$3,'603-699'!13:13)</f>
        <v>0</v>
      </c>
      <c r="AG40" s="128">
        <f>SUMIF('603-699'!$1:$1,AG$3,'603-699'!13:13)</f>
        <v>1321574.8799999999</v>
      </c>
      <c r="AH40" s="128">
        <f>SUMIF('603-699'!$1:$1,AH$3,'603-699'!13:13)</f>
        <v>7498.7800000000007</v>
      </c>
      <c r="AI40" s="128">
        <f>SUMIF('603-699'!$1:$1,AI$3,'603-699'!13:13)</f>
        <v>503413.35</v>
      </c>
      <c r="AJ40" s="128">
        <f>SUMIF('603-699'!$1:$1,AJ$3,'603-699'!13:13)</f>
        <v>69442.97</v>
      </c>
      <c r="AK40" s="128">
        <f>SUMIF('603-699'!$1:$1,AK$3,'603-699'!13:13)</f>
        <v>88376.44</v>
      </c>
      <c r="AL40" s="128">
        <f>SUMIF('603-699'!$1:$1,AL$3,'603-699'!13:13)</f>
        <v>0</v>
      </c>
      <c r="AM40" s="128">
        <f>SUMIF('603-699'!$1:$1,AM$3,'603-699'!13:13)</f>
        <v>54625.01</v>
      </c>
      <c r="AN40" s="128">
        <f>SUMIF('603-699'!$1:$1,AN$3,'603-699'!13:13)</f>
        <v>7430.33</v>
      </c>
      <c r="AO40" s="128">
        <f>SUMIF('603-699'!$1:$1,AO$3,'603-699'!13:13)</f>
        <v>6870.63</v>
      </c>
      <c r="AP40" s="128">
        <f>SUMIF('603-699'!$1:$1,AP$3,'603-699'!13:13)</f>
        <v>29213.58</v>
      </c>
      <c r="AQ40" s="128">
        <f>SUMIF('603-699'!$1:$1,AQ$3,'603-699'!13:13)</f>
        <v>0</v>
      </c>
      <c r="AR40" s="128">
        <f>SUMIF('603-699'!$1:$1,AR$3,'603-699'!13:13)</f>
        <v>17116.86</v>
      </c>
      <c r="AS40" s="128">
        <f>SUMIF('603-699'!$1:$1,AS$3,'603-699'!13:13)</f>
        <v>10351.48</v>
      </c>
      <c r="AT40" s="128">
        <f>SUMIF('603-699'!$1:$1,AT$3,'603-699'!13:13)</f>
        <v>5337.7899999999991</v>
      </c>
      <c r="AU40" s="128">
        <f>SUMIF('603-699'!$1:$1,AU$3,'603-699'!13:13)</f>
        <v>7520.85</v>
      </c>
      <c r="AV40" s="128">
        <f>SUMIF('603-699'!$1:$1,AV$3,'603-699'!13:13)</f>
        <v>30974.92</v>
      </c>
      <c r="AW40" s="128">
        <f>SUMIF('603-699'!$1:$1,AW$3,'603-699'!13:13)</f>
        <v>68482.81</v>
      </c>
      <c r="AX40" s="128">
        <f>SUMIF('603-699'!$1:$1,AX$3,'603-699'!13:13)</f>
        <v>5771.6099999999988</v>
      </c>
      <c r="AY40" s="128">
        <f>SUMIF('603-699'!$1:$1,AY$3,'603-699'!13:13)</f>
        <v>81482.880000000019</v>
      </c>
      <c r="AZ40" s="314">
        <f>SUMIF('603-699'!$1:$1,AZ$3,'603-699'!13:13)</f>
        <v>0</v>
      </c>
      <c r="BA40" s="128">
        <f>SUMIF('603-699'!$1:$1,BA$3,'603-699'!13:13)</f>
        <v>13719.41</v>
      </c>
      <c r="BB40" s="128">
        <f>SUMIF('603-699'!$1:$1,BB$3,'603-699'!13:13)</f>
        <v>0</v>
      </c>
      <c r="BC40" s="128">
        <f>SUMIF('603-699'!$1:$1,BC$3,'603-699'!13:13)</f>
        <v>665</v>
      </c>
      <c r="BD40" s="128">
        <f>SUMIF('603-699'!$1:$1,BD$3,'603-699'!13:13)</f>
        <v>0</v>
      </c>
      <c r="BE40" s="128">
        <f>SUMIF('603-699'!$1:$1,BE$3,'603-699'!13:13)</f>
        <v>0</v>
      </c>
      <c r="BF40" s="128">
        <f>SUMIF('603-699'!$1:$1,BF$3,'603-699'!13:13)</f>
        <v>0</v>
      </c>
      <c r="BG40" s="128">
        <f>SUMIF('603-699'!$1:$1,BG$3,'603-699'!13:13)</f>
        <v>9275</v>
      </c>
      <c r="BH40" s="128">
        <f>SUMIF('603-699'!$1:$1,BH$3,'603-699'!13:13)</f>
        <v>0</v>
      </c>
      <c r="BI40" s="128">
        <f>SUMIF('603-699'!$1:$1,BI$3,'603-699'!13:13)</f>
        <v>7935.0000000000009</v>
      </c>
      <c r="BJ40" s="128">
        <f>SUMIF('603-699'!$1:$1,BJ$3,'603-699'!13:13)</f>
        <v>22671.599999999999</v>
      </c>
      <c r="BK40" s="128">
        <f>SUMIF('603-699'!$1:$1,BK$3,'603-699'!13:13)</f>
        <v>0</v>
      </c>
      <c r="BL40" s="128">
        <f>SUMIF('603-699'!$1:$1,BL$3,'603-699'!13:13)</f>
        <v>90004.06</v>
      </c>
      <c r="BM40" s="128">
        <f>SUMIF('603-699'!$1:$1,BM$3,'603-699'!13:13)</f>
        <v>25407.89</v>
      </c>
      <c r="BN40" s="128">
        <f>SUMIF('603-699'!$1:$1,BN$3,'603-699'!13:13)</f>
        <v>2941.4</v>
      </c>
      <c r="BO40" s="128">
        <f>SUMIF('603-699'!$1:$1,BO$3,'603-699'!13:13)</f>
        <v>30919.210000000003</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-8753.1299999999992</v>
      </c>
      <c r="BV40" s="128">
        <f>SUMIF('603-699'!$1:$1,BV$3,'603-699'!13:13)</f>
        <v>0</v>
      </c>
      <c r="BW40" s="128">
        <f>SUMIF('603-699'!$1:$1,BW$3,'603-699'!13:13)</f>
        <v>0</v>
      </c>
      <c r="BX40" s="128">
        <f>SUMIF('603-699'!$1:$1,BX$3,'603-699'!13:13)</f>
        <v>0</v>
      </c>
      <c r="BY40" s="128">
        <f>SUMIF('603-699'!$1:$1,BY$3,'603-699'!13:13)</f>
        <v>0</v>
      </c>
      <c r="BZ40" s="128">
        <f>SUMIF('603-699'!$1:$1,BZ$3,'603-699'!13:13)</f>
        <v>0</v>
      </c>
      <c r="CA40" s="314">
        <f>SUMIF('603-699'!$1:$1,CA$3,'603-699'!13:13)</f>
        <v>0</v>
      </c>
      <c r="CB40" s="128">
        <f>SUMIF('603-699'!$1:$1,CB$3,'603-699'!13:13)</f>
        <v>0</v>
      </c>
      <c r="CC40" s="128">
        <f>SUMIF('603-699'!$1:$1,CC$3,'603-699'!13:13)</f>
        <v>0</v>
      </c>
      <c r="CD40" s="128">
        <f>SUMIF('603-699'!$1:$1,CD$3,'603-699'!13:13)</f>
        <v>0</v>
      </c>
      <c r="CE40" s="128">
        <f>SUMIF('603-699'!$1:$1,CE$3,'603-699'!13:13)</f>
        <v>0</v>
      </c>
      <c r="CF40" s="128">
        <f>SUMIF('603-699'!$1:$1,CF$3,'603-699'!13:13)</f>
        <v>0</v>
      </c>
      <c r="CG40" s="257">
        <f t="shared" si="20"/>
        <v>-227838.09000000037</v>
      </c>
      <c r="CJ40" s="122"/>
      <c r="CK40" s="169">
        <f>INDEX(SAP!C:C,MATCH('Actuals mapped to CFR'!A40,SAP!H:H,FALSE),1)</f>
        <v>-227838.09</v>
      </c>
      <c r="CL40" s="59">
        <f t="shared" si="15"/>
        <v>0</v>
      </c>
      <c r="CN40" s="81">
        <f t="shared" si="21"/>
        <v>2579655.73</v>
      </c>
      <c r="CO40" s="81">
        <f t="shared" si="22"/>
        <v>2519023.7399999998</v>
      </c>
      <c r="CP40" s="166">
        <f>VLOOKUP(B40,'2526 GBP Data input'!$A$4:$CA$230,38,FALSE)</f>
        <v>2445693</v>
      </c>
      <c r="CQ40" s="166">
        <f>VLOOKUP(B40,'2526 GBP Data input'!$A$4:$CA$230,73,FALSE)</f>
        <v>25279</v>
      </c>
      <c r="CR40" s="89">
        <f t="shared" si="8"/>
        <v>133962.72999999998</v>
      </c>
      <c r="CS40" s="83">
        <f t="shared" si="9"/>
        <v>99.64886823054708</v>
      </c>
      <c r="CT40" s="82">
        <f t="shared" si="23"/>
        <v>200033.18000000017</v>
      </c>
      <c r="CU40" s="82">
        <f t="shared" si="24"/>
        <v>15515.96</v>
      </c>
      <c r="CV40" s="86">
        <f t="shared" si="10"/>
        <v>215549.14000000016</v>
      </c>
    </row>
    <row r="41" spans="1:100" ht="12.75" customHeight="1">
      <c r="A41" s="238">
        <v>107657</v>
      </c>
      <c r="B41" s="60">
        <v>657</v>
      </c>
      <c r="C41" s="60" t="s">
        <v>394</v>
      </c>
      <c r="D41" s="128">
        <f>SUMIF('603-699'!$1:$1,D$3,'603-699'!14:14)</f>
        <v>-109689.47</v>
      </c>
      <c r="E41" s="128">
        <f>SUMIF('603-699'!$1:$1,E$3,'603-699'!14:14)</f>
        <v>-12157.3</v>
      </c>
      <c r="F41" s="128">
        <f>SUMIF('603-699'!$1:$1,F$3,'603-699'!14:14)</f>
        <v>0</v>
      </c>
      <c r="G41" s="128">
        <f>SUMIF('603-699'!$1:$1,G$3,'603-699'!14:14)</f>
        <v>-7321.07</v>
      </c>
      <c r="H41" s="128">
        <f>SUMIF('603-699'!$1:$1,H$3,'603-699'!14:14)</f>
        <v>0</v>
      </c>
      <c r="I41" s="128">
        <f>SUMIF('603-699'!$1:$1,I$3,'603-699'!14:14)</f>
        <v>0</v>
      </c>
      <c r="J41" s="128">
        <f>SUMIF('603-699'!$1:$1,J$3,'603-699'!14:14)</f>
        <v>-18167.82</v>
      </c>
      <c r="K41" s="128">
        <f>SUMIF('603-699'!$1:$1,K$3,'603-699'!14:14)</f>
        <v>-1430408.6300000001</v>
      </c>
      <c r="L41" s="128">
        <f>SUMIF('603-699'!$1:$1,L$3,'603-699'!14:14)</f>
        <v>0</v>
      </c>
      <c r="M41" s="128">
        <f>SUMIF('603-699'!$1:$1,M$3,'603-699'!14:14)</f>
        <v>-187337</v>
      </c>
      <c r="N41" s="128">
        <f>SUMIF('603-699'!$1:$1,N$3,'603-699'!14:14)</f>
        <v>0</v>
      </c>
      <c r="O41" s="128">
        <f>SUMIF('603-699'!$1:$1,O$3,'603-699'!14:14)</f>
        <v>-53660</v>
      </c>
      <c r="P41" s="128">
        <f>SUMIF('603-699'!$1:$1,P$3,'603-699'!14:14)</f>
        <v>-60349</v>
      </c>
      <c r="Q41" s="128">
        <f>SUMIF('603-699'!$1:$1,Q$3,'603-699'!14:14)</f>
        <v>-63917.45</v>
      </c>
      <c r="R41" s="128">
        <f>SUMIF('603-699'!$1:$1,R$3,'603-699'!14:14)</f>
        <v>-3248.25</v>
      </c>
      <c r="S41" s="128">
        <f>SUMIF('603-699'!$1:$1,S$3,'603-699'!14:14)</f>
        <v>-51680.619999999974</v>
      </c>
      <c r="T41" s="128">
        <f>SUMIF('603-699'!$1:$1,T$3,'603-699'!14:14)</f>
        <v>10605.939999999999</v>
      </c>
      <c r="U41" s="128">
        <f>SUMIF('603-699'!$1:$1,U$3,'603-699'!14:14)</f>
        <v>-4250</v>
      </c>
      <c r="V41" s="128">
        <f>SUMIF('603-699'!$1:$1,V$3,'603-699'!14:14)</f>
        <v>-1672</v>
      </c>
      <c r="W41" s="128">
        <f>SUMIF('603-699'!$1:$1,W$3,'603-699'!14:14)</f>
        <v>-41153.29000000003</v>
      </c>
      <c r="X41" s="128">
        <f>SUMIF('603-699'!$1:$1,X$3,'603-699'!14:14)</f>
        <v>-15684.4</v>
      </c>
      <c r="Y41" s="164">
        <f>SUMIF('603-699'!$1:$1,Y$3,'603-699'!14:14)</f>
        <v>0</v>
      </c>
      <c r="Z41" s="128">
        <f>SUMIF('603-699'!$1:$1,Z$3,'603-699'!14:14)</f>
        <v>0</v>
      </c>
      <c r="AA41" s="128">
        <f>SUMIF('603-699'!$1:$1,AA$3,'603-699'!14:14)</f>
        <v>-106797.69</v>
      </c>
      <c r="AB41" s="128">
        <f>SUMIF('603-699'!$1:$1,AB$3,'603-699'!14:14)</f>
        <v>-4275.1900000000005</v>
      </c>
      <c r="AC41" s="314">
        <f>SUMIF('603-699'!$1:$1,AC$3,'603-699'!14:14)</f>
        <v>0</v>
      </c>
      <c r="AD41" s="314">
        <f>SUMIF('603-699'!$1:$1,AD$3,'603-699'!14:14)</f>
        <v>0</v>
      </c>
      <c r="AE41" s="314">
        <f>SUMIF('603-699'!$1:$1,AE$3,'603-699'!14:14)</f>
        <v>0</v>
      </c>
      <c r="AF41" s="314">
        <f>SUMIF('603-699'!$1:$1,AF$3,'603-699'!14:14)</f>
        <v>0</v>
      </c>
      <c r="AG41" s="128">
        <f>SUMIF('603-699'!$1:$1,AG$3,'603-699'!14:14)</f>
        <v>834118.29</v>
      </c>
      <c r="AH41" s="128">
        <f>SUMIF('603-699'!$1:$1,AH$3,'603-699'!14:14)</f>
        <v>7705.15</v>
      </c>
      <c r="AI41" s="128">
        <f>SUMIF('603-699'!$1:$1,AI$3,'603-699'!14:14)</f>
        <v>324076.47999999992</v>
      </c>
      <c r="AJ41" s="128">
        <f>SUMIF('603-699'!$1:$1,AJ$3,'603-699'!14:14)</f>
        <v>9738.7699999999986</v>
      </c>
      <c r="AK41" s="128">
        <f>SUMIF('603-699'!$1:$1,AK$3,'603-699'!14:14)</f>
        <v>96844.990000000034</v>
      </c>
      <c r="AL41" s="128">
        <f>SUMIF('603-699'!$1:$1,AL$3,'603-699'!14:14)</f>
        <v>0.13000000000002077</v>
      </c>
      <c r="AM41" s="128">
        <f>SUMIF('603-699'!$1:$1,AM$3,'603-699'!14:14)</f>
        <v>94115.03</v>
      </c>
      <c r="AN41" s="128">
        <f>SUMIF('603-699'!$1:$1,AN$3,'603-699'!14:14)</f>
        <v>5606.18</v>
      </c>
      <c r="AO41" s="128">
        <f>SUMIF('603-699'!$1:$1,AO$3,'603-699'!14:14)</f>
        <v>14263.95</v>
      </c>
      <c r="AP41" s="128">
        <f>SUMIF('603-699'!$1:$1,AP$3,'603-699'!14:14)</f>
        <v>14296.800000000001</v>
      </c>
      <c r="AQ41" s="128">
        <f>SUMIF('603-699'!$1:$1,AQ$3,'603-699'!14:14)</f>
        <v>0</v>
      </c>
      <c r="AR41" s="128">
        <f>SUMIF('603-699'!$1:$1,AR$3,'603-699'!14:14)</f>
        <v>29651.040000000001</v>
      </c>
      <c r="AS41" s="128">
        <f>SUMIF('603-699'!$1:$1,AS$3,'603-699'!14:14)</f>
        <v>7634.5299999999988</v>
      </c>
      <c r="AT41" s="128">
        <f>SUMIF('603-699'!$1:$1,AT$3,'603-699'!14:14)</f>
        <v>50562.220000000008</v>
      </c>
      <c r="AU41" s="128">
        <f>SUMIF('603-699'!$1:$1,AU$3,'603-699'!14:14)</f>
        <v>3913.8999999999996</v>
      </c>
      <c r="AV41" s="128">
        <f>SUMIF('603-699'!$1:$1,AV$3,'603-699'!14:14)</f>
        <v>21937.559999999994</v>
      </c>
      <c r="AW41" s="128">
        <f>SUMIF('603-699'!$1:$1,AW$3,'603-699'!14:14)</f>
        <v>54721.25</v>
      </c>
      <c r="AX41" s="128">
        <f>SUMIF('603-699'!$1:$1,AX$3,'603-699'!14:14)</f>
        <v>13195.669999999998</v>
      </c>
      <c r="AY41" s="128">
        <f>SUMIF('603-699'!$1:$1,AY$3,'603-699'!14:14)</f>
        <v>90412.320000000036</v>
      </c>
      <c r="AZ41" s="314">
        <f>SUMIF('603-699'!$1:$1,AZ$3,'603-699'!14:14)</f>
        <v>0</v>
      </c>
      <c r="BA41" s="128">
        <f>SUMIF('603-699'!$1:$1,BA$3,'603-699'!14:14)</f>
        <v>4241.96</v>
      </c>
      <c r="BB41" s="128">
        <f>SUMIF('603-699'!$1:$1,BB$3,'603-699'!14:14)</f>
        <v>0</v>
      </c>
      <c r="BC41" s="128">
        <f>SUMIF('603-699'!$1:$1,BC$3,'603-699'!14:14)</f>
        <v>12457.7</v>
      </c>
      <c r="BD41" s="128">
        <f>SUMIF('603-699'!$1:$1,BD$3,'603-699'!14:14)</f>
        <v>9475.8499999999985</v>
      </c>
      <c r="BE41" s="128">
        <f>SUMIF('603-699'!$1:$1,BE$3,'603-699'!14:14)</f>
        <v>564.42000000000007</v>
      </c>
      <c r="BF41" s="128">
        <f>SUMIF('603-699'!$1:$1,BF$3,'603-699'!14:14)</f>
        <v>0</v>
      </c>
      <c r="BG41" s="128">
        <f>SUMIF('603-699'!$1:$1,BG$3,'603-699'!14:14)</f>
        <v>6917</v>
      </c>
      <c r="BH41" s="128">
        <f>SUMIF('603-699'!$1:$1,BH$3,'603-699'!14:14)</f>
        <v>0</v>
      </c>
      <c r="BI41" s="128">
        <f>SUMIF('603-699'!$1:$1,BI$3,'603-699'!14:14)</f>
        <v>8518.16</v>
      </c>
      <c r="BJ41" s="128">
        <f>SUMIF('603-699'!$1:$1,BJ$3,'603-699'!14:14)</f>
        <v>14099.59</v>
      </c>
      <c r="BK41" s="128">
        <f>SUMIF('603-699'!$1:$1,BK$3,'603-699'!14:14)</f>
        <v>0</v>
      </c>
      <c r="BL41" s="128">
        <f>SUMIF('603-699'!$1:$1,BL$3,'603-699'!14:14)</f>
        <v>59134.01</v>
      </c>
      <c r="BM41" s="128">
        <f>SUMIF('603-699'!$1:$1,BM$3,'603-699'!14:14)</f>
        <v>38712.15</v>
      </c>
      <c r="BN41" s="128">
        <f>SUMIF('603-699'!$1:$1,BN$3,'603-699'!14:14)</f>
        <v>36142.339999999997</v>
      </c>
      <c r="BO41" s="128">
        <f>SUMIF('603-699'!$1:$1,BO$3,'603-699'!14:14)</f>
        <v>28708.609999999986</v>
      </c>
      <c r="BP41" s="128">
        <f>SUMIF('603-699'!$1:$1,BP$3,'603-699'!14:14)</f>
        <v>0</v>
      </c>
      <c r="BQ41" s="128">
        <f>SUMIF('603-699'!$1:$1,BQ$3,'603-699'!14:14)</f>
        <v>0</v>
      </c>
      <c r="BR41" s="128">
        <f>SUMIF('603-699'!$1:$1,BR$3,'603-699'!14:14)</f>
        <v>0</v>
      </c>
      <c r="BS41" s="128">
        <f>SUMIF('603-699'!$1:$1,BS$3,'603-699'!14:14)</f>
        <v>83119.11</v>
      </c>
      <c r="BT41" s="128">
        <f>SUMIF('603-699'!$1:$1,BT$3,'603-699'!14:14)</f>
        <v>1923.6899999999998</v>
      </c>
      <c r="BU41" s="128">
        <f>SUMIF('603-699'!$1:$1,BU$3,'603-699'!14:14)</f>
        <v>-6756.25</v>
      </c>
      <c r="BV41" s="128">
        <f>SUMIF('603-699'!$1:$1,BV$3,'603-699'!14:14)</f>
        <v>0</v>
      </c>
      <c r="BW41" s="128">
        <f>SUMIF('603-699'!$1:$1,BW$3,'603-699'!14:14)</f>
        <v>0</v>
      </c>
      <c r="BX41" s="128">
        <f>SUMIF('603-699'!$1:$1,BX$3,'603-699'!14:14)</f>
        <v>0</v>
      </c>
      <c r="BY41" s="128">
        <f>SUMIF('603-699'!$1:$1,BY$3,'603-699'!14:14)</f>
        <v>3821</v>
      </c>
      <c r="BZ41" s="128">
        <f>SUMIF('603-699'!$1:$1,BZ$3,'603-699'!14:14)</f>
        <v>0</v>
      </c>
      <c r="CA41" s="314">
        <f>SUMIF('603-699'!$1:$1,CA$3,'603-699'!14:14)</f>
        <v>0</v>
      </c>
      <c r="CB41" s="128">
        <f>SUMIF('603-699'!$1:$1,CB$3,'603-699'!14:14)</f>
        <v>0</v>
      </c>
      <c r="CC41" s="128">
        <f>SUMIF('603-699'!$1:$1,CC$3,'603-699'!14:14)</f>
        <v>0</v>
      </c>
      <c r="CD41" s="128">
        <f>SUMIF('603-699'!$1:$1,CD$3,'603-699'!14:14)</f>
        <v>0</v>
      </c>
      <c r="CE41" s="128">
        <f>SUMIF('603-699'!$1:$1,CE$3,'603-699'!14:14)</f>
        <v>0</v>
      </c>
      <c r="CF41" s="128">
        <f>SUMIF('603-699'!$1:$1,CF$3,'603-699'!14:14)</f>
        <v>950</v>
      </c>
      <c r="CG41" s="257">
        <f t="shared" si="20"/>
        <v>-186339.63999999961</v>
      </c>
      <c r="CJ41" s="122"/>
      <c r="CK41" s="169">
        <f>INDEX(SAP!C:C,MATCH('Actuals mapped to CFR'!A41,SAP!H:H,FALSE),1)</f>
        <v>-186339.64</v>
      </c>
      <c r="CL41" s="59">
        <f t="shared" si="15"/>
        <v>0</v>
      </c>
      <c r="CN41" s="81">
        <f t="shared" si="21"/>
        <v>2013827.5799999998</v>
      </c>
      <c r="CO41" s="81">
        <f t="shared" si="22"/>
        <v>1976808.8499999999</v>
      </c>
      <c r="CP41" s="166">
        <f>VLOOKUP(B41,'2526 GBP Data input'!$A$4:$CA$230,38,FALSE)</f>
        <v>1866976</v>
      </c>
      <c r="CQ41" s="166">
        <f>VLOOKUP(B41,'2526 GBP Data input'!$A$4:$CA$230,73,FALSE)</f>
        <v>25633</v>
      </c>
      <c r="CR41" s="89">
        <f t="shared" si="8"/>
        <v>146851.57999999984</v>
      </c>
      <c r="CS41" s="83">
        <f t="shared" si="9"/>
        <v>77.119683610970228</v>
      </c>
      <c r="CT41" s="82">
        <f t="shared" si="23"/>
        <v>146708.19999999995</v>
      </c>
      <c r="CU41" s="82">
        <f t="shared" si="24"/>
        <v>9306.32</v>
      </c>
      <c r="CV41" s="86">
        <f t="shared" si="10"/>
        <v>156014.51999999996</v>
      </c>
    </row>
    <row r="42" spans="1:100" ht="12.75" customHeight="1">
      <c r="A42" s="238">
        <v>107665</v>
      </c>
      <c r="B42" s="60">
        <v>665</v>
      </c>
      <c r="C42" s="60" t="s">
        <v>238</v>
      </c>
      <c r="D42" s="128">
        <f>SUMIF('603-699'!$1:$1,D$3,'603-699'!15:15)</f>
        <v>-210948.19</v>
      </c>
      <c r="E42" s="128">
        <f>SUMIF('603-699'!$1:$1,E$3,'603-699'!15:15)</f>
        <v>0</v>
      </c>
      <c r="F42" s="128">
        <f>SUMIF('603-699'!$1:$1,F$3,'603-699'!15:15)</f>
        <v>0</v>
      </c>
      <c r="G42" s="128">
        <f>SUMIF('603-699'!$1:$1,G$3,'603-699'!15:15)</f>
        <v>-11897.17</v>
      </c>
      <c r="H42" s="128">
        <f>SUMIF('603-699'!$1:$1,H$3,'603-699'!15:15)</f>
        <v>0</v>
      </c>
      <c r="I42" s="128">
        <f>SUMIF('603-699'!$1:$1,I$3,'603-699'!15:15)</f>
        <v>0</v>
      </c>
      <c r="J42" s="128">
        <f>SUMIF('603-699'!$1:$1,J$3,'603-699'!15:15)</f>
        <v>0</v>
      </c>
      <c r="K42" s="128">
        <f>SUMIF('603-699'!$1:$1,K$3,'603-699'!15:15)</f>
        <v>-663432.94999999995</v>
      </c>
      <c r="L42" s="128">
        <f>SUMIF('603-699'!$1:$1,L$3,'603-699'!15:15)</f>
        <v>0</v>
      </c>
      <c r="M42" s="128">
        <f>SUMIF('603-699'!$1:$1,M$3,'603-699'!15:15)</f>
        <v>-28495</v>
      </c>
      <c r="N42" s="128">
        <f>SUMIF('603-699'!$1:$1,N$3,'603-699'!15:15)</f>
        <v>0</v>
      </c>
      <c r="O42" s="128">
        <f>SUMIF('603-699'!$1:$1,O$3,'603-699'!15:15)</f>
        <v>-14750</v>
      </c>
      <c r="P42" s="128">
        <f>SUMIF('603-699'!$1:$1,P$3,'603-699'!15:15)</f>
        <v>-34858</v>
      </c>
      <c r="Q42" s="128">
        <f>SUMIF('603-699'!$1:$1,Q$3,'603-699'!15:15)</f>
        <v>-560</v>
      </c>
      <c r="R42" s="128">
        <f>SUMIF('603-699'!$1:$1,R$3,'603-699'!15:15)</f>
        <v>0</v>
      </c>
      <c r="S42" s="128">
        <f>SUMIF('603-699'!$1:$1,S$3,'603-699'!15:15)</f>
        <v>-17283.919999999998</v>
      </c>
      <c r="T42" s="128">
        <f>SUMIF('603-699'!$1:$1,T$3,'603-699'!15:15)</f>
        <v>-395.99</v>
      </c>
      <c r="U42" s="128">
        <f>SUMIF('603-699'!$1:$1,U$3,'603-699'!15:15)</f>
        <v>0</v>
      </c>
      <c r="V42" s="128">
        <f>SUMIF('603-699'!$1:$1,V$3,'603-699'!15:15)</f>
        <v>0</v>
      </c>
      <c r="W42" s="128">
        <f>SUMIF('603-699'!$1:$1,W$3,'603-699'!15:15)</f>
        <v>-4960.5</v>
      </c>
      <c r="X42" s="128">
        <f>SUMIF('603-699'!$1:$1,X$3,'603-699'!15:15)</f>
        <v>0</v>
      </c>
      <c r="Y42" s="164">
        <f>SUMIF('603-699'!$1:$1,Y$3,'603-699'!15:15)</f>
        <v>0</v>
      </c>
      <c r="Z42" s="128">
        <f>SUMIF('603-699'!$1:$1,Z$3,'603-699'!15:15)</f>
        <v>0</v>
      </c>
      <c r="AA42" s="128">
        <f>SUMIF('603-699'!$1:$1,AA$3,'603-699'!15:15)</f>
        <v>0</v>
      </c>
      <c r="AB42" s="128">
        <f>SUMIF('603-699'!$1:$1,AB$3,'603-699'!15:15)</f>
        <v>0</v>
      </c>
      <c r="AC42" s="314">
        <f>SUMIF('603-699'!$1:$1,AC$3,'603-699'!15:15)</f>
        <v>0</v>
      </c>
      <c r="AD42" s="314">
        <f>SUMIF('603-699'!$1:$1,AD$3,'603-699'!15:15)</f>
        <v>0</v>
      </c>
      <c r="AE42" s="314">
        <f>SUMIF('603-699'!$1:$1,AE$3,'603-699'!15:15)</f>
        <v>0</v>
      </c>
      <c r="AF42" s="314">
        <f>SUMIF('603-699'!$1:$1,AF$3,'603-699'!15:15)</f>
        <v>0</v>
      </c>
      <c r="AG42" s="128">
        <f>SUMIF('603-699'!$1:$1,AG$3,'603-699'!15:15)</f>
        <v>370878.96</v>
      </c>
      <c r="AH42" s="128">
        <f>SUMIF('603-699'!$1:$1,AH$3,'603-699'!15:15)</f>
        <v>0</v>
      </c>
      <c r="AI42" s="128">
        <f>SUMIF('603-699'!$1:$1,AI$3,'603-699'!15:15)</f>
        <v>173783.46999999997</v>
      </c>
      <c r="AJ42" s="128">
        <f>SUMIF('603-699'!$1:$1,AJ$3,'603-699'!15:15)</f>
        <v>0</v>
      </c>
      <c r="AK42" s="128">
        <f>SUMIF('603-699'!$1:$1,AK$3,'603-699'!15:15)</f>
        <v>46194.28</v>
      </c>
      <c r="AL42" s="128">
        <f>SUMIF('603-699'!$1:$1,AL$3,'603-699'!15:15)</f>
        <v>0</v>
      </c>
      <c r="AM42" s="128">
        <f>SUMIF('603-699'!$1:$1,AM$3,'603-699'!15:15)</f>
        <v>20057.680000000004</v>
      </c>
      <c r="AN42" s="128">
        <f>SUMIF('603-699'!$1:$1,AN$3,'603-699'!15:15)</f>
        <v>2190</v>
      </c>
      <c r="AO42" s="128">
        <f>SUMIF('603-699'!$1:$1,AO$3,'603-699'!15:15)</f>
        <v>6679.96</v>
      </c>
      <c r="AP42" s="128">
        <f>SUMIF('603-699'!$1:$1,AP$3,'603-699'!15:15)</f>
        <v>317.2</v>
      </c>
      <c r="AQ42" s="128">
        <f>SUMIF('603-699'!$1:$1,AQ$3,'603-699'!15:15)</f>
        <v>0</v>
      </c>
      <c r="AR42" s="128">
        <f>SUMIF('603-699'!$1:$1,AR$3,'603-699'!15:15)</f>
        <v>5073.3999999999996</v>
      </c>
      <c r="AS42" s="128">
        <f>SUMIF('603-699'!$1:$1,AS$3,'603-699'!15:15)</f>
        <v>2221.19</v>
      </c>
      <c r="AT42" s="128">
        <f>SUMIF('603-699'!$1:$1,AT$3,'603-699'!15:15)</f>
        <v>17903.940000000002</v>
      </c>
      <c r="AU42" s="128">
        <f>SUMIF('603-699'!$1:$1,AU$3,'603-699'!15:15)</f>
        <v>2023.6999999999998</v>
      </c>
      <c r="AV42" s="128">
        <f>SUMIF('603-699'!$1:$1,AV$3,'603-699'!15:15)</f>
        <v>9100.4599999999991</v>
      </c>
      <c r="AW42" s="128">
        <f>SUMIF('603-699'!$1:$1,AW$3,'603-699'!15:15)</f>
        <v>3592.8</v>
      </c>
      <c r="AX42" s="128">
        <f>SUMIF('603-699'!$1:$1,AX$3,'603-699'!15:15)</f>
        <v>3738.8599999999997</v>
      </c>
      <c r="AY42" s="128">
        <f>SUMIF('603-699'!$1:$1,AY$3,'603-699'!15:15)</f>
        <v>19462.149999999998</v>
      </c>
      <c r="AZ42" s="314">
        <f>SUMIF('603-699'!$1:$1,AZ$3,'603-699'!15:15)</f>
        <v>0</v>
      </c>
      <c r="BA42" s="128">
        <f>SUMIF('603-699'!$1:$1,BA$3,'603-699'!15:15)</f>
        <v>2545</v>
      </c>
      <c r="BB42" s="128">
        <f>SUMIF('603-699'!$1:$1,BB$3,'603-699'!15:15)</f>
        <v>0</v>
      </c>
      <c r="BC42" s="128">
        <f>SUMIF('603-699'!$1:$1,BC$3,'603-699'!15:15)</f>
        <v>2340.4</v>
      </c>
      <c r="BD42" s="128">
        <f>SUMIF('603-699'!$1:$1,BD$3,'603-699'!15:15)</f>
        <v>4616</v>
      </c>
      <c r="BE42" s="128">
        <f>SUMIF('603-699'!$1:$1,BE$3,'603-699'!15:15)</f>
        <v>0</v>
      </c>
      <c r="BF42" s="128">
        <f>SUMIF('603-699'!$1:$1,BF$3,'603-699'!15:15)</f>
        <v>0</v>
      </c>
      <c r="BG42" s="128">
        <f>SUMIF('603-699'!$1:$1,BG$3,'603-699'!15:15)</f>
        <v>4194.1100000000006</v>
      </c>
      <c r="BH42" s="128">
        <f>SUMIF('603-699'!$1:$1,BH$3,'603-699'!15:15)</f>
        <v>0</v>
      </c>
      <c r="BI42" s="128">
        <f>SUMIF('603-699'!$1:$1,BI$3,'603-699'!15:15)</f>
        <v>5463.6399999999994</v>
      </c>
      <c r="BJ42" s="128">
        <f>SUMIF('603-699'!$1:$1,BJ$3,'603-699'!15:15)</f>
        <v>5613.92</v>
      </c>
      <c r="BK42" s="128">
        <f>SUMIF('603-699'!$1:$1,BK$3,'603-699'!15:15)</f>
        <v>0</v>
      </c>
      <c r="BL42" s="128">
        <f>SUMIF('603-699'!$1:$1,BL$3,'603-699'!15:15)</f>
        <v>24410.26</v>
      </c>
      <c r="BM42" s="128">
        <f>SUMIF('603-699'!$1:$1,BM$3,'603-699'!15:15)</f>
        <v>1359.7</v>
      </c>
      <c r="BN42" s="128">
        <f>SUMIF('603-699'!$1:$1,BN$3,'603-699'!15:15)</f>
        <v>21714.26</v>
      </c>
      <c r="BO42" s="128">
        <f>SUMIF('603-699'!$1:$1,BO$3,'603-699'!15:15)</f>
        <v>15158.21</v>
      </c>
      <c r="BP42" s="128">
        <f>SUMIF('603-699'!$1:$1,BP$3,'603-699'!15:15)</f>
        <v>0</v>
      </c>
      <c r="BQ42" s="128">
        <f>SUMIF('603-699'!$1:$1,BQ$3,'603-699'!15:15)</f>
        <v>0</v>
      </c>
      <c r="BR42" s="128">
        <f>SUMIF('603-699'!$1:$1,BR$3,'603-699'!15:15)</f>
        <v>0</v>
      </c>
      <c r="BS42" s="128">
        <f>SUMIF('603-699'!$1:$1,BS$3,'603-699'!15:15)</f>
        <v>0</v>
      </c>
      <c r="BT42" s="128">
        <f>SUMIF('603-699'!$1:$1,BT$3,'603-699'!15:15)</f>
        <v>0</v>
      </c>
      <c r="BU42" s="128">
        <f>SUMIF('603-699'!$1:$1,BU$3,'603-699'!15:15)</f>
        <v>-5102.5</v>
      </c>
      <c r="BV42" s="128">
        <f>SUMIF('603-699'!$1:$1,BV$3,'603-699'!15:15)</f>
        <v>0</v>
      </c>
      <c r="BW42" s="128">
        <f>SUMIF('603-699'!$1:$1,BW$3,'603-699'!15:15)</f>
        <v>0</v>
      </c>
      <c r="BX42" s="128">
        <f>SUMIF('603-699'!$1:$1,BX$3,'603-699'!15:15)</f>
        <v>0</v>
      </c>
      <c r="BY42" s="128">
        <f>SUMIF('603-699'!$1:$1,BY$3,'603-699'!15:15)</f>
        <v>6889.95</v>
      </c>
      <c r="BZ42" s="128">
        <f>SUMIF('603-699'!$1:$1,BZ$3,'603-699'!15:15)</f>
        <v>0</v>
      </c>
      <c r="CA42" s="314">
        <f>SUMIF('603-699'!$1:$1,CA$3,'603-699'!15:15)</f>
        <v>0</v>
      </c>
      <c r="CB42" s="128">
        <f>SUMIF('603-699'!$1:$1,CB$3,'603-699'!15:15)</f>
        <v>0</v>
      </c>
      <c r="CC42" s="128">
        <f>SUMIF('603-699'!$1:$1,CC$3,'603-699'!15:15)</f>
        <v>0</v>
      </c>
      <c r="CD42" s="128">
        <f>SUMIF('603-699'!$1:$1,CD$3,'603-699'!15:15)</f>
        <v>0</v>
      </c>
      <c r="CE42" s="128">
        <f>SUMIF('603-699'!$1:$1,CE$3,'603-699'!15:15)</f>
        <v>6648</v>
      </c>
      <c r="CF42" s="128">
        <f>SUMIF('603-699'!$1:$1,CF$3,'603-699'!15:15)</f>
        <v>3406.66</v>
      </c>
      <c r="CG42" s="257">
        <f t="shared" si="20"/>
        <v>-205106.05999999988</v>
      </c>
      <c r="CJ42" s="122"/>
      <c r="CK42" s="169">
        <f>INDEX(SAP!C:C,MATCH('Actuals mapped to CFR'!A42,SAP!H:H,FALSE),1)</f>
        <v>-205106.06</v>
      </c>
      <c r="CL42" s="59">
        <f t="shared" si="15"/>
        <v>0</v>
      </c>
      <c r="CN42" s="81">
        <f t="shared" si="21"/>
        <v>764736.36</v>
      </c>
      <c r="CO42" s="81">
        <f t="shared" si="22"/>
        <v>770633.54999999981</v>
      </c>
      <c r="CP42" s="166">
        <f>VLOOKUP(B42,'2526 GBP Data input'!$A$4:$CA$230,38,FALSE)</f>
        <v>724059</v>
      </c>
      <c r="CQ42" s="166">
        <f>VLOOKUP(B42,'2526 GBP Data input'!$A$4:$CA$230,73,FALSE)</f>
        <v>21674</v>
      </c>
      <c r="CR42" s="89">
        <f t="shared" si="8"/>
        <v>40677.359999999986</v>
      </c>
      <c r="CS42" s="83">
        <f t="shared" si="9"/>
        <v>35.555668081572385</v>
      </c>
      <c r="CT42" s="82">
        <f t="shared" si="23"/>
        <v>205051.00000000023</v>
      </c>
      <c r="CU42" s="82">
        <f t="shared" si="24"/>
        <v>6703.0599999999977</v>
      </c>
      <c r="CV42" s="86">
        <f t="shared" si="10"/>
        <v>211754.06000000023</v>
      </c>
    </row>
    <row r="43" spans="1:100" ht="12.75" customHeight="1">
      <c r="A43" s="238">
        <v>107667</v>
      </c>
      <c r="B43" s="60">
        <v>667</v>
      </c>
      <c r="C43" s="60" t="s">
        <v>266</v>
      </c>
      <c r="D43" s="128">
        <f>SUMIF('603-699'!$1:$1,D$3,'603-699'!16:16)</f>
        <v>-86482.25</v>
      </c>
      <c r="E43" s="128">
        <f>SUMIF('603-699'!$1:$1,E$3,'603-699'!16:16)</f>
        <v>-3084</v>
      </c>
      <c r="F43" s="128">
        <f>SUMIF('603-699'!$1:$1,F$3,'603-699'!16:16)</f>
        <v>0</v>
      </c>
      <c r="G43" s="128">
        <f>SUMIF('603-699'!$1:$1,G$3,'603-699'!16:16)</f>
        <v>-12895.87</v>
      </c>
      <c r="H43" s="128">
        <f>SUMIF('603-699'!$1:$1,H$3,'603-699'!16:16)</f>
        <v>0</v>
      </c>
      <c r="I43" s="128">
        <f>SUMIF('603-699'!$1:$1,I$3,'603-699'!16:16)</f>
        <v>-1049</v>
      </c>
      <c r="J43" s="128">
        <f>SUMIF('603-699'!$1:$1,J$3,'603-699'!16:16)</f>
        <v>0</v>
      </c>
      <c r="K43" s="128">
        <f>SUMIF('603-699'!$1:$1,K$3,'603-699'!16:16)</f>
        <v>-573112.93000000005</v>
      </c>
      <c r="L43" s="128">
        <f>SUMIF('603-699'!$1:$1,L$3,'603-699'!16:16)</f>
        <v>0</v>
      </c>
      <c r="M43" s="128">
        <f>SUMIF('603-699'!$1:$1,M$3,'603-699'!16:16)</f>
        <v>-9563</v>
      </c>
      <c r="N43" s="128">
        <f>SUMIF('603-699'!$1:$1,N$3,'603-699'!16:16)</f>
        <v>0</v>
      </c>
      <c r="O43" s="128">
        <f>SUMIF('603-699'!$1:$1,O$3,'603-699'!16:16)</f>
        <v>-12820</v>
      </c>
      <c r="P43" s="128">
        <f>SUMIF('603-699'!$1:$1,P$3,'603-699'!16:16)</f>
        <v>-46532</v>
      </c>
      <c r="Q43" s="128">
        <f>SUMIF('603-699'!$1:$1,Q$3,'603-699'!16:16)</f>
        <v>0</v>
      </c>
      <c r="R43" s="128">
        <f>SUMIF('603-699'!$1:$1,R$3,'603-699'!16:16)</f>
        <v>0</v>
      </c>
      <c r="S43" s="128">
        <f>SUMIF('603-699'!$1:$1,S$3,'603-699'!16:16)</f>
        <v>-32357.829999999965</v>
      </c>
      <c r="T43" s="128">
        <f>SUMIF('603-699'!$1:$1,T$3,'603-699'!16:16)</f>
        <v>31.79</v>
      </c>
      <c r="U43" s="128">
        <f>SUMIF('603-699'!$1:$1,U$3,'603-699'!16:16)</f>
        <v>0</v>
      </c>
      <c r="V43" s="128">
        <f>SUMIF('603-699'!$1:$1,V$3,'603-699'!16:16)</f>
        <v>0</v>
      </c>
      <c r="W43" s="128">
        <f>SUMIF('603-699'!$1:$1,W$3,'603-699'!16:16)</f>
        <v>-7763.23</v>
      </c>
      <c r="X43" s="128">
        <f>SUMIF('603-699'!$1:$1,X$3,'603-699'!16:16)</f>
        <v>-2179</v>
      </c>
      <c r="Y43" s="164">
        <f>SUMIF('603-699'!$1:$1,Y$3,'603-699'!16:16)</f>
        <v>0</v>
      </c>
      <c r="Z43" s="128">
        <f>SUMIF('603-699'!$1:$1,Z$3,'603-699'!16:16)</f>
        <v>0</v>
      </c>
      <c r="AA43" s="128">
        <f>SUMIF('603-699'!$1:$1,AA$3,'603-699'!16:16)</f>
        <v>0</v>
      </c>
      <c r="AB43" s="128">
        <f>SUMIF('603-699'!$1:$1,AB$3,'603-699'!16:16)</f>
        <v>0</v>
      </c>
      <c r="AC43" s="314">
        <f>SUMIF('603-699'!$1:$1,AC$3,'603-699'!16:16)</f>
        <v>0</v>
      </c>
      <c r="AD43" s="314">
        <f>SUMIF('603-699'!$1:$1,AD$3,'603-699'!16:16)</f>
        <v>0</v>
      </c>
      <c r="AE43" s="314">
        <f>SUMIF('603-699'!$1:$1,AE$3,'603-699'!16:16)</f>
        <v>0</v>
      </c>
      <c r="AF43" s="314">
        <f>SUMIF('603-699'!$1:$1,AF$3,'603-699'!16:16)</f>
        <v>0</v>
      </c>
      <c r="AG43" s="128">
        <f>SUMIF('603-699'!$1:$1,AG$3,'603-699'!16:16)</f>
        <v>328410.74</v>
      </c>
      <c r="AH43" s="128">
        <f>SUMIF('603-699'!$1:$1,AH$3,'603-699'!16:16)</f>
        <v>18803.920000000002</v>
      </c>
      <c r="AI43" s="128">
        <f>SUMIF('603-699'!$1:$1,AI$3,'603-699'!16:16)</f>
        <v>88714.73000000001</v>
      </c>
      <c r="AJ43" s="128">
        <f>SUMIF('603-699'!$1:$1,AJ$3,'603-699'!16:16)</f>
        <v>9255.7800000000007</v>
      </c>
      <c r="AK43" s="128">
        <f>SUMIF('603-699'!$1:$1,AK$3,'603-699'!16:16)</f>
        <v>39624.120000000003</v>
      </c>
      <c r="AL43" s="128">
        <f>SUMIF('603-699'!$1:$1,AL$3,'603-699'!16:16)</f>
        <v>0</v>
      </c>
      <c r="AM43" s="128">
        <f>SUMIF('603-699'!$1:$1,AM$3,'603-699'!16:16)</f>
        <v>22718.52</v>
      </c>
      <c r="AN43" s="128">
        <f>SUMIF('603-699'!$1:$1,AN$3,'603-699'!16:16)</f>
        <v>1746</v>
      </c>
      <c r="AO43" s="128">
        <f>SUMIF('603-699'!$1:$1,AO$3,'603-699'!16:16)</f>
        <v>2747.85</v>
      </c>
      <c r="AP43" s="128">
        <f>SUMIF('603-699'!$1:$1,AP$3,'603-699'!16:16)</f>
        <v>1845.74</v>
      </c>
      <c r="AQ43" s="128">
        <f>SUMIF('603-699'!$1:$1,AQ$3,'603-699'!16:16)</f>
        <v>0</v>
      </c>
      <c r="AR43" s="128">
        <f>SUMIF('603-699'!$1:$1,AR$3,'603-699'!16:16)</f>
        <v>5407.2800000000007</v>
      </c>
      <c r="AS43" s="128">
        <f>SUMIF('603-699'!$1:$1,AS$3,'603-699'!16:16)</f>
        <v>2791.76</v>
      </c>
      <c r="AT43" s="128">
        <f>SUMIF('603-699'!$1:$1,AT$3,'603-699'!16:16)</f>
        <v>21278.62</v>
      </c>
      <c r="AU43" s="128">
        <f>SUMIF('603-699'!$1:$1,AU$3,'603-699'!16:16)</f>
        <v>1712.7000000000003</v>
      </c>
      <c r="AV43" s="128">
        <f>SUMIF('603-699'!$1:$1,AV$3,'603-699'!16:16)</f>
        <v>12740.96</v>
      </c>
      <c r="AW43" s="128">
        <f>SUMIF('603-699'!$1:$1,AW$3,'603-699'!16:16)</f>
        <v>8233.5</v>
      </c>
      <c r="AX43" s="128">
        <f>SUMIF('603-699'!$1:$1,AX$3,'603-699'!16:16)</f>
        <v>3877.8900000000003</v>
      </c>
      <c r="AY43" s="128">
        <f>SUMIF('603-699'!$1:$1,AY$3,'603-699'!16:16)</f>
        <v>27303.9</v>
      </c>
      <c r="AZ43" s="314">
        <f>SUMIF('603-699'!$1:$1,AZ$3,'603-699'!16:16)</f>
        <v>0</v>
      </c>
      <c r="BA43" s="128">
        <f>SUMIF('603-699'!$1:$1,BA$3,'603-699'!16:16)</f>
        <v>2557</v>
      </c>
      <c r="BB43" s="128">
        <f>SUMIF('603-699'!$1:$1,BB$3,'603-699'!16:16)</f>
        <v>0</v>
      </c>
      <c r="BC43" s="128">
        <f>SUMIF('603-699'!$1:$1,BC$3,'603-699'!16:16)</f>
        <v>4123.13</v>
      </c>
      <c r="BD43" s="128">
        <f>SUMIF('603-699'!$1:$1,BD$3,'603-699'!16:16)</f>
        <v>0</v>
      </c>
      <c r="BE43" s="128">
        <f>SUMIF('603-699'!$1:$1,BE$3,'603-699'!16:16)</f>
        <v>1185</v>
      </c>
      <c r="BF43" s="128">
        <f>SUMIF('603-699'!$1:$1,BF$3,'603-699'!16:16)</f>
        <v>179.99</v>
      </c>
      <c r="BG43" s="128">
        <f>SUMIF('603-699'!$1:$1,BG$3,'603-699'!16:16)</f>
        <v>5005.5</v>
      </c>
      <c r="BH43" s="128">
        <f>SUMIF('603-699'!$1:$1,BH$3,'603-699'!16:16)</f>
        <v>0</v>
      </c>
      <c r="BI43" s="128">
        <f>SUMIF('603-699'!$1:$1,BI$3,'603-699'!16:16)</f>
        <v>4384.25</v>
      </c>
      <c r="BJ43" s="128">
        <f>SUMIF('603-699'!$1:$1,BJ$3,'603-699'!16:16)</f>
        <v>4642.28</v>
      </c>
      <c r="BK43" s="128">
        <f>SUMIF('603-699'!$1:$1,BK$3,'603-699'!16:16)</f>
        <v>0</v>
      </c>
      <c r="BL43" s="128">
        <f>SUMIF('603-699'!$1:$1,BL$3,'603-699'!16:16)</f>
        <v>18848.3</v>
      </c>
      <c r="BM43" s="128">
        <f>SUMIF('603-699'!$1:$1,BM$3,'603-699'!16:16)</f>
        <v>0</v>
      </c>
      <c r="BN43" s="128">
        <f>SUMIF('603-699'!$1:$1,BN$3,'603-699'!16:16)</f>
        <v>6530</v>
      </c>
      <c r="BO43" s="128">
        <f>SUMIF('603-699'!$1:$1,BO$3,'603-699'!16:16)</f>
        <v>10729.08</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-277251.77</v>
      </c>
      <c r="BV43" s="128">
        <f>SUMIF('603-699'!$1:$1,BV$3,'603-699'!16:16)</f>
        <v>0</v>
      </c>
      <c r="BW43" s="128">
        <f>SUMIF('603-699'!$1:$1,BW$3,'603-699'!16:16)</f>
        <v>0</v>
      </c>
      <c r="BX43" s="128">
        <f>SUMIF('603-699'!$1:$1,BX$3,'603-699'!16:16)</f>
        <v>0</v>
      </c>
      <c r="BY43" s="128">
        <f>SUMIF('603-699'!$1:$1,BY$3,'603-699'!16:16)</f>
        <v>281912.52</v>
      </c>
      <c r="BZ43" s="128">
        <f>SUMIF('603-699'!$1:$1,BZ$3,'603-699'!16:16)</f>
        <v>0</v>
      </c>
      <c r="CA43" s="314">
        <f>SUMIF('603-699'!$1:$1,CA$3,'603-699'!16:16)</f>
        <v>0</v>
      </c>
      <c r="CB43" s="128">
        <f>SUMIF('603-699'!$1:$1,CB$3,'603-699'!16:16)</f>
        <v>0</v>
      </c>
      <c r="CC43" s="128">
        <f>SUMIF('603-699'!$1:$1,CC$3,'603-699'!16:16)</f>
        <v>0</v>
      </c>
      <c r="CD43" s="128">
        <f>SUMIF('603-699'!$1:$1,CD$3,'603-699'!16:16)</f>
        <v>0</v>
      </c>
      <c r="CE43" s="128">
        <f>SUMIF('603-699'!$1:$1,CE$3,'603-699'!16:16)</f>
        <v>0</v>
      </c>
      <c r="CF43" s="128">
        <f>SUMIF('603-699'!$1:$1,CF$3,'603-699'!16:16)</f>
        <v>2365.67</v>
      </c>
      <c r="CG43" s="257">
        <f t="shared" si="20"/>
        <v>-125382.35999999991</v>
      </c>
      <c r="CJ43" s="122"/>
      <c r="CK43" s="169">
        <f>INDEX(SAP!C:C,MATCH('Actuals mapped to CFR'!A43,SAP!H:H,FALSE),1)</f>
        <v>-125382.36</v>
      </c>
      <c r="CL43" s="59">
        <f t="shared" si="15"/>
        <v>0</v>
      </c>
      <c r="CN43" s="81">
        <f t="shared" si="21"/>
        <v>684296.2</v>
      </c>
      <c r="CO43" s="81">
        <f t="shared" si="22"/>
        <v>655398.54</v>
      </c>
      <c r="CP43" s="166">
        <f>VLOOKUP(B43,'2526 GBP Data input'!$A$4:$CA$230,38,FALSE)</f>
        <v>647449</v>
      </c>
      <c r="CQ43" s="166">
        <f>VLOOKUP(B43,'2526 GBP Data input'!$A$4:$CA$230,73,FALSE)</f>
        <v>9453</v>
      </c>
      <c r="CR43" s="89">
        <f t="shared" si="8"/>
        <v>36847.199999999953</v>
      </c>
      <c r="CS43" s="83">
        <f t="shared" si="9"/>
        <v>69.332332592827683</v>
      </c>
      <c r="CT43" s="82">
        <f t="shared" si="23"/>
        <v>115379.90999999992</v>
      </c>
      <c r="CU43" s="82">
        <f t="shared" si="24"/>
        <v>6918.4499999999953</v>
      </c>
      <c r="CV43" s="86">
        <f t="shared" si="10"/>
        <v>122298.35999999991</v>
      </c>
    </row>
    <row r="44" spans="1:100" ht="12.75" customHeight="1">
      <c r="A44" s="238">
        <v>107671</v>
      </c>
      <c r="B44" s="60">
        <v>671</v>
      </c>
      <c r="C44" s="60" t="s">
        <v>276</v>
      </c>
      <c r="D44" s="128">
        <f>SUMIF('603-699'!$1:$1,D$3,'603-699'!17:17)</f>
        <v>0</v>
      </c>
      <c r="E44" s="128">
        <f>SUMIF('603-699'!$1:$1,E$3,'603-699'!17:17)</f>
        <v>-6239.25</v>
      </c>
      <c r="F44" s="128">
        <f>SUMIF('603-699'!$1:$1,F$3,'603-699'!17:17)</f>
        <v>67240.5</v>
      </c>
      <c r="G44" s="128">
        <f>SUMIF('603-699'!$1:$1,G$3,'603-699'!17:17)</f>
        <v>0</v>
      </c>
      <c r="H44" s="128">
        <f>SUMIF('603-699'!$1:$1,H$3,'603-699'!17:17)</f>
        <v>0</v>
      </c>
      <c r="I44" s="128">
        <f>SUMIF('603-699'!$1:$1,I$3,'603-699'!17:17)</f>
        <v>0</v>
      </c>
      <c r="J44" s="128">
        <f>SUMIF('603-699'!$1:$1,J$3,'603-699'!17:17)</f>
        <v>0</v>
      </c>
      <c r="K44" s="128">
        <f>SUMIF('603-699'!$1:$1,K$3,'603-699'!17:17)</f>
        <v>-370588.73</v>
      </c>
      <c r="L44" s="128">
        <f>SUMIF('603-699'!$1:$1,L$3,'603-699'!17:17)</f>
        <v>0</v>
      </c>
      <c r="M44" s="128">
        <f>SUMIF('603-699'!$1:$1,M$3,'603-699'!17:17)</f>
        <v>-4009</v>
      </c>
      <c r="N44" s="128">
        <f>SUMIF('603-699'!$1:$1,N$3,'603-699'!17:17)</f>
        <v>0</v>
      </c>
      <c r="O44" s="128">
        <f>SUMIF('603-699'!$1:$1,O$3,'603-699'!17:17)</f>
        <v>-7110</v>
      </c>
      <c r="P44" s="128">
        <f>SUMIF('603-699'!$1:$1,P$3,'603-699'!17:17)</f>
        <v>-21796</v>
      </c>
      <c r="Q44" s="128">
        <f>SUMIF('603-699'!$1:$1,Q$3,'603-699'!17:17)</f>
        <v>0</v>
      </c>
      <c r="R44" s="128">
        <f>SUMIF('603-699'!$1:$1,R$3,'603-699'!17:17)</f>
        <v>-100</v>
      </c>
      <c r="S44" s="128">
        <f>SUMIF('603-699'!$1:$1,S$3,'603-699'!17:17)</f>
        <v>-29273.579999999973</v>
      </c>
      <c r="T44" s="128">
        <f>SUMIF('603-699'!$1:$1,T$3,'603-699'!17:17)</f>
        <v>0</v>
      </c>
      <c r="U44" s="128">
        <f>SUMIF('603-699'!$1:$1,U$3,'603-699'!17:17)</f>
        <v>0</v>
      </c>
      <c r="V44" s="128">
        <f>SUMIF('603-699'!$1:$1,V$3,'603-699'!17:17)</f>
        <v>0</v>
      </c>
      <c r="W44" s="128">
        <f>SUMIF('603-699'!$1:$1,W$3,'603-699'!17:17)</f>
        <v>-5389.98</v>
      </c>
      <c r="X44" s="128">
        <f>SUMIF('603-699'!$1:$1,X$3,'603-699'!17:17)</f>
        <v>-4399.8200000000006</v>
      </c>
      <c r="Y44" s="164">
        <f>SUMIF('603-699'!$1:$1,Y$3,'603-699'!17:17)</f>
        <v>0</v>
      </c>
      <c r="Z44" s="128">
        <f>SUMIF('603-699'!$1:$1,Z$3,'603-699'!17:17)</f>
        <v>0</v>
      </c>
      <c r="AA44" s="128">
        <f>SUMIF('603-699'!$1:$1,AA$3,'603-699'!17:17)</f>
        <v>0</v>
      </c>
      <c r="AB44" s="128">
        <f>SUMIF('603-699'!$1:$1,AB$3,'603-699'!17:17)</f>
        <v>0</v>
      </c>
      <c r="AC44" s="314">
        <f>SUMIF('603-699'!$1:$1,AC$3,'603-699'!17:17)</f>
        <v>0</v>
      </c>
      <c r="AD44" s="314">
        <f>SUMIF('603-699'!$1:$1,AD$3,'603-699'!17:17)</f>
        <v>0</v>
      </c>
      <c r="AE44" s="314">
        <f>SUMIF('603-699'!$1:$1,AE$3,'603-699'!17:17)</f>
        <v>0</v>
      </c>
      <c r="AF44" s="314">
        <f>SUMIF('603-699'!$1:$1,AF$3,'603-699'!17:17)</f>
        <v>0</v>
      </c>
      <c r="AG44" s="128">
        <f>SUMIF('603-699'!$1:$1,AG$3,'603-699'!17:17)</f>
        <v>213185.18</v>
      </c>
      <c r="AH44" s="128">
        <f>SUMIF('603-699'!$1:$1,AH$3,'603-699'!17:17)</f>
        <v>1462.79</v>
      </c>
      <c r="AI44" s="128">
        <f>SUMIF('603-699'!$1:$1,AI$3,'603-699'!17:17)</f>
        <v>79369.27</v>
      </c>
      <c r="AJ44" s="128">
        <f>SUMIF('603-699'!$1:$1,AJ$3,'603-699'!17:17)</f>
        <v>10622.210000000003</v>
      </c>
      <c r="AK44" s="128">
        <f>SUMIF('603-699'!$1:$1,AK$3,'603-699'!17:17)</f>
        <v>25827.07</v>
      </c>
      <c r="AL44" s="128">
        <f>SUMIF('603-699'!$1:$1,AL$3,'603-699'!17:17)</f>
        <v>0</v>
      </c>
      <c r="AM44" s="128">
        <f>SUMIF('603-699'!$1:$1,AM$3,'603-699'!17:17)</f>
        <v>15735</v>
      </c>
      <c r="AN44" s="128">
        <f>SUMIF('603-699'!$1:$1,AN$3,'603-699'!17:17)</f>
        <v>41.38</v>
      </c>
      <c r="AO44" s="128">
        <f>SUMIF('603-699'!$1:$1,AO$3,'603-699'!17:17)</f>
        <v>743</v>
      </c>
      <c r="AP44" s="128">
        <f>SUMIF('603-699'!$1:$1,AP$3,'603-699'!17:17)</f>
        <v>112.85</v>
      </c>
      <c r="AQ44" s="128">
        <f>SUMIF('603-699'!$1:$1,AQ$3,'603-699'!17:17)</f>
        <v>0</v>
      </c>
      <c r="AR44" s="128">
        <f>SUMIF('603-699'!$1:$1,AR$3,'603-699'!17:17)</f>
        <v>573.71</v>
      </c>
      <c r="AS44" s="128">
        <f>SUMIF('603-699'!$1:$1,AS$3,'603-699'!17:17)</f>
        <v>0</v>
      </c>
      <c r="AT44" s="128">
        <f>SUMIF('603-699'!$1:$1,AT$3,'603-699'!17:17)</f>
        <v>426.28000000000003</v>
      </c>
      <c r="AU44" s="128">
        <f>SUMIF('603-699'!$1:$1,AU$3,'603-699'!17:17)</f>
        <v>871.58999999999992</v>
      </c>
      <c r="AV44" s="128">
        <f>SUMIF('603-699'!$1:$1,AV$3,'603-699'!17:17)</f>
        <v>9494.2700000000023</v>
      </c>
      <c r="AW44" s="128">
        <f>SUMIF('603-699'!$1:$1,AW$3,'603-699'!17:17)</f>
        <v>698.6</v>
      </c>
      <c r="AX44" s="128">
        <f>SUMIF('603-699'!$1:$1,AX$3,'603-699'!17:17)</f>
        <v>1749.77</v>
      </c>
      <c r="AY44" s="128">
        <f>SUMIF('603-699'!$1:$1,AY$3,'603-699'!17:17)</f>
        <v>9263.18</v>
      </c>
      <c r="AZ44" s="314">
        <f>SUMIF('603-699'!$1:$1,AZ$3,'603-699'!17:17)</f>
        <v>0</v>
      </c>
      <c r="BA44" s="128">
        <f>SUMIF('603-699'!$1:$1,BA$3,'603-699'!17:17)</f>
        <v>2249</v>
      </c>
      <c r="BB44" s="128">
        <f>SUMIF('603-699'!$1:$1,BB$3,'603-699'!17:17)</f>
        <v>0</v>
      </c>
      <c r="BC44" s="128">
        <f>SUMIF('603-699'!$1:$1,BC$3,'603-699'!17:17)</f>
        <v>2359.36</v>
      </c>
      <c r="BD44" s="128">
        <f>SUMIF('603-699'!$1:$1,BD$3,'603-699'!17:17)</f>
        <v>0</v>
      </c>
      <c r="BE44" s="128">
        <f>SUMIF('603-699'!$1:$1,BE$3,'603-699'!17:17)</f>
        <v>2590</v>
      </c>
      <c r="BF44" s="128">
        <f>SUMIF('603-699'!$1:$1,BF$3,'603-699'!17:17)</f>
        <v>0</v>
      </c>
      <c r="BG44" s="128">
        <f>SUMIF('603-699'!$1:$1,BG$3,'603-699'!17:17)</f>
        <v>3699</v>
      </c>
      <c r="BH44" s="128">
        <f>SUMIF('603-699'!$1:$1,BH$3,'603-699'!17:17)</f>
        <v>0</v>
      </c>
      <c r="BI44" s="128">
        <f>SUMIF('603-699'!$1:$1,BI$3,'603-699'!17:17)</f>
        <v>3365.46</v>
      </c>
      <c r="BJ44" s="128">
        <f>SUMIF('603-699'!$1:$1,BJ$3,'603-699'!17:17)</f>
        <v>1997.2600000000002</v>
      </c>
      <c r="BK44" s="128">
        <f>SUMIF('603-699'!$1:$1,BK$3,'603-699'!17:17)</f>
        <v>0</v>
      </c>
      <c r="BL44" s="128">
        <f>SUMIF('603-699'!$1:$1,BL$3,'603-699'!17:17)</f>
        <v>10501.94</v>
      </c>
      <c r="BM44" s="128">
        <f>SUMIF('603-699'!$1:$1,BM$3,'603-699'!17:17)</f>
        <v>0</v>
      </c>
      <c r="BN44" s="128">
        <f>SUMIF('603-699'!$1:$1,BN$3,'603-699'!17:17)</f>
        <v>23261.48</v>
      </c>
      <c r="BO44" s="128">
        <f>SUMIF('603-699'!$1:$1,BO$3,'603-699'!17:17)</f>
        <v>11502.02</v>
      </c>
      <c r="BP44" s="128">
        <f>SUMIF('603-699'!$1:$1,BP$3,'603-699'!17:17)</f>
        <v>0</v>
      </c>
      <c r="BQ44" s="128">
        <f>SUMIF('603-699'!$1:$1,BQ$3,'603-699'!17:17)</f>
        <v>0</v>
      </c>
      <c r="BR44" s="128">
        <f>SUMIF('603-699'!$1:$1,BR$3,'603-699'!17:17)</f>
        <v>0</v>
      </c>
      <c r="BS44" s="128">
        <f>SUMIF('603-699'!$1:$1,BS$3,'603-699'!17:17)</f>
        <v>0</v>
      </c>
      <c r="BT44" s="128">
        <f>SUMIF('603-699'!$1:$1,BT$3,'603-699'!17:17)</f>
        <v>0</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4">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7">
        <f t="shared" si="20"/>
        <v>50035.810000000085</v>
      </c>
      <c r="CJ44" s="122"/>
      <c r="CK44" s="169">
        <f>INDEX(SAP!C:C,MATCH('Actuals mapped to CFR'!A44,SAP!H:H,FALSE),1)</f>
        <v>50035.81</v>
      </c>
      <c r="CL44" s="59">
        <f t="shared" si="15"/>
        <v>0</v>
      </c>
      <c r="CN44" s="81">
        <f t="shared" si="21"/>
        <v>442667.10999999993</v>
      </c>
      <c r="CO44" s="81">
        <f t="shared" si="22"/>
        <v>431701.6700000001</v>
      </c>
      <c r="CP44" s="166">
        <f>VLOOKUP(B44,'2526 GBP Data input'!$A$4:$CA$230,38,FALSE)</f>
        <v>423308</v>
      </c>
      <c r="CQ44" s="166">
        <f>VLOOKUP(B44,'2526 GBP Data input'!$A$4:$CA$230,73,FALSE)</f>
        <v>11799</v>
      </c>
      <c r="CR44" s="89">
        <f t="shared" si="8"/>
        <v>19359.109999999928</v>
      </c>
      <c r="CS44" s="83">
        <f t="shared" si="9"/>
        <v>36.587987965081794</v>
      </c>
      <c r="CT44" s="82">
        <f t="shared" si="23"/>
        <v>-56275.060000000172</v>
      </c>
      <c r="CU44" s="82">
        <f t="shared" si="24"/>
        <v>0</v>
      </c>
      <c r="CV44" s="86">
        <f t="shared" si="10"/>
        <v>-56275.060000000172</v>
      </c>
    </row>
    <row r="45" spans="1:100" s="350" customFormat="1" ht="12.75" customHeight="1">
      <c r="A45" s="344">
        <v>107672</v>
      </c>
      <c r="B45" s="345">
        <v>672</v>
      </c>
      <c r="C45" s="345" t="s">
        <v>281</v>
      </c>
      <c r="D45" s="360">
        <f>SUMIF('603-699'!$1:$1,D$3,'603-699'!18:18)</f>
        <v>-66630.220000000016</v>
      </c>
      <c r="E45" s="360">
        <f>SUMIF('603-699'!$1:$1,E$3,'603-699'!18:18)</f>
        <v>-5079.95</v>
      </c>
      <c r="F45" s="360">
        <f>SUMIF('603-699'!$1:$1,F$3,'603-699'!18:18)</f>
        <v>0</v>
      </c>
      <c r="G45" s="360">
        <f>SUMIF('603-699'!$1:$1,G$3,'603-699'!18:18)</f>
        <v>0</v>
      </c>
      <c r="H45" s="360">
        <f>SUMIF('603-699'!$1:$1,H$3,'603-699'!18:18)</f>
        <v>0</v>
      </c>
      <c r="I45" s="360">
        <f>SUMIF('603-699'!$1:$1,I$3,'603-699'!18:18)</f>
        <v>0</v>
      </c>
      <c r="J45" s="360">
        <f>SUMIF('603-699'!$1:$1,J$3,'603-699'!18:18)</f>
        <v>0</v>
      </c>
      <c r="K45" s="360">
        <f>SUMIF('603-699'!$1:$1,K$3,'603-699'!18:18)</f>
        <v>-624413.01</v>
      </c>
      <c r="L45" s="360">
        <f>SUMIF('603-699'!$1:$1,L$3,'603-699'!18:18)</f>
        <v>0</v>
      </c>
      <c r="M45" s="360">
        <f>SUMIF('603-699'!$1:$1,M$3,'603-699'!18:18)</f>
        <v>-32404</v>
      </c>
      <c r="N45" s="360">
        <f>SUMIF('603-699'!$1:$1,N$3,'603-699'!18:18)</f>
        <v>0</v>
      </c>
      <c r="O45" s="360">
        <f>SUMIF('603-699'!$1:$1,O$3,'603-699'!18:18)</f>
        <v>-9375</v>
      </c>
      <c r="P45" s="360">
        <f>SUMIF('603-699'!$1:$1,P$3,'603-699'!18:18)</f>
        <v>-39635</v>
      </c>
      <c r="Q45" s="360">
        <f>SUMIF('603-699'!$1:$1,Q$3,'603-699'!18:18)</f>
        <v>0</v>
      </c>
      <c r="R45" s="360">
        <f>SUMIF('603-699'!$1:$1,R$3,'603-699'!18:18)</f>
        <v>0</v>
      </c>
      <c r="S45" s="360">
        <f>SUMIF('603-699'!$1:$1,S$3,'603-699'!18:18)</f>
        <v>-36070.009999999995</v>
      </c>
      <c r="T45" s="360">
        <f>SUMIF('603-699'!$1:$1,T$3,'603-699'!18:18)</f>
        <v>0</v>
      </c>
      <c r="U45" s="360">
        <f>SUMIF('603-699'!$1:$1,U$3,'603-699'!18:18)</f>
        <v>0</v>
      </c>
      <c r="V45" s="360">
        <f>SUMIF('603-699'!$1:$1,V$3,'603-699'!18:18)</f>
        <v>0</v>
      </c>
      <c r="W45" s="360">
        <f>SUMIF('603-699'!$1:$1,W$3,'603-699'!18:18)</f>
        <v>-19743.080000000009</v>
      </c>
      <c r="X45" s="360">
        <f>SUMIF('603-699'!$1:$1,X$3,'603-699'!18:18)</f>
        <v>-12165.4</v>
      </c>
      <c r="Y45" s="360">
        <f>SUMIF('603-699'!$1:$1,Y$3,'603-699'!18:18)</f>
        <v>0</v>
      </c>
      <c r="Z45" s="360">
        <f>SUMIF('603-699'!$1:$1,Z$3,'603-699'!18:18)</f>
        <v>0</v>
      </c>
      <c r="AA45" s="360">
        <f>SUMIF('603-699'!$1:$1,AA$3,'603-699'!18:18)</f>
        <v>0</v>
      </c>
      <c r="AB45" s="360">
        <f>SUMIF('603-699'!$1:$1,AB$3,'603-699'!18:18)</f>
        <v>587.23999999999887</v>
      </c>
      <c r="AC45" s="314">
        <f>SUMIF('603-699'!$1:$1,AC$3,'603-699'!18:18)</f>
        <v>0</v>
      </c>
      <c r="AD45" s="314">
        <f>SUMIF('603-699'!$1:$1,AD$3,'603-699'!18:18)</f>
        <v>0</v>
      </c>
      <c r="AE45" s="314">
        <f>SUMIF('603-699'!$1:$1,AE$3,'603-699'!18:18)</f>
        <v>0</v>
      </c>
      <c r="AF45" s="314">
        <f>SUMIF('603-699'!$1:$1,AF$3,'603-699'!18:18)</f>
        <v>0</v>
      </c>
      <c r="AG45" s="360">
        <f>SUMIF('603-699'!$1:$1,AG$3,'603-699'!18:18)</f>
        <v>358859.01</v>
      </c>
      <c r="AH45" s="360">
        <f>SUMIF('603-699'!$1:$1,AH$3,'603-699'!18:18)</f>
        <v>6016.82</v>
      </c>
      <c r="AI45" s="360">
        <f>SUMIF('603-699'!$1:$1,AI$3,'603-699'!18:18)</f>
        <v>144574.12</v>
      </c>
      <c r="AJ45" s="360">
        <f>SUMIF('603-699'!$1:$1,AJ$3,'603-699'!18:18)</f>
        <v>0</v>
      </c>
      <c r="AK45" s="360">
        <f>SUMIF('603-699'!$1:$1,AK$3,'603-699'!18:18)</f>
        <v>53700.44999999999</v>
      </c>
      <c r="AL45" s="360">
        <f>SUMIF('603-699'!$1:$1,AL$3,'603-699'!18:18)</f>
        <v>0</v>
      </c>
      <c r="AM45" s="360">
        <f>SUMIF('603-699'!$1:$1,AM$3,'603-699'!18:18)</f>
        <v>40921.409999999996</v>
      </c>
      <c r="AN45" s="360">
        <f>SUMIF('603-699'!$1:$1,AN$3,'603-699'!18:18)</f>
        <v>0</v>
      </c>
      <c r="AO45" s="360">
        <f>SUMIF('603-699'!$1:$1,AO$3,'603-699'!18:18)</f>
        <v>4244.95</v>
      </c>
      <c r="AP45" s="360">
        <f>SUMIF('603-699'!$1:$1,AP$3,'603-699'!18:18)</f>
        <v>3938.0099999999998</v>
      </c>
      <c r="AQ45" s="360">
        <f>SUMIF('603-699'!$1:$1,AQ$3,'603-699'!18:18)</f>
        <v>0</v>
      </c>
      <c r="AR45" s="360">
        <f>SUMIF('603-699'!$1:$1,AR$3,'603-699'!18:18)</f>
        <v>9301.2200000000012</v>
      </c>
      <c r="AS45" s="360">
        <f>SUMIF('603-699'!$1:$1,AS$3,'603-699'!18:18)</f>
        <v>1009</v>
      </c>
      <c r="AT45" s="360">
        <f>SUMIF('603-699'!$1:$1,AT$3,'603-699'!18:18)</f>
        <v>19161.070000000003</v>
      </c>
      <c r="AU45" s="360">
        <f>SUMIF('603-699'!$1:$1,AU$3,'603-699'!18:18)</f>
        <v>1788.9899999999996</v>
      </c>
      <c r="AV45" s="360">
        <f>SUMIF('603-699'!$1:$1,AV$3,'603-699'!18:18)</f>
        <v>14521.11</v>
      </c>
      <c r="AW45" s="360">
        <f>SUMIF('603-699'!$1:$1,AW$3,'603-699'!18:18)</f>
        <v>1746.5</v>
      </c>
      <c r="AX45" s="360">
        <f>SUMIF('603-699'!$1:$1,AX$3,'603-699'!18:18)</f>
        <v>1042.3699999999999</v>
      </c>
      <c r="AY45" s="360">
        <f>SUMIF('603-699'!$1:$1,AY$3,'603-699'!18:18)</f>
        <v>44831.94</v>
      </c>
      <c r="AZ45" s="360">
        <f>SUMIF('603-699'!$1:$1,AZ$3,'603-699'!18:18)</f>
        <v>0</v>
      </c>
      <c r="BA45" s="360">
        <f>SUMIF('603-699'!$1:$1,BA$3,'603-699'!18:18)</f>
        <v>1017.57</v>
      </c>
      <c r="BB45" s="360">
        <f>SUMIF('603-699'!$1:$1,BB$3,'603-699'!18:18)</f>
        <v>0</v>
      </c>
      <c r="BC45" s="360">
        <f>SUMIF('603-699'!$1:$1,BC$3,'603-699'!18:18)</f>
        <v>2173.85</v>
      </c>
      <c r="BD45" s="360">
        <f>SUMIF('603-699'!$1:$1,BD$3,'603-699'!18:18)</f>
        <v>0</v>
      </c>
      <c r="BE45" s="360">
        <f>SUMIF('603-699'!$1:$1,BE$3,'603-699'!18:18)</f>
        <v>84.550000000000011</v>
      </c>
      <c r="BF45" s="360">
        <f>SUMIF('603-699'!$1:$1,BF$3,'603-699'!18:18)</f>
        <v>0</v>
      </c>
      <c r="BG45" s="360">
        <f>SUMIF('603-699'!$1:$1,BG$3,'603-699'!18:18)</f>
        <v>1039.5</v>
      </c>
      <c r="BH45" s="360">
        <f>SUMIF('603-699'!$1:$1,BH$3,'603-699'!18:18)</f>
        <v>0</v>
      </c>
      <c r="BI45" s="360">
        <f>SUMIF('603-699'!$1:$1,BI$3,'603-699'!18:18)</f>
        <v>1970.3200000000002</v>
      </c>
      <c r="BJ45" s="360">
        <f>SUMIF('603-699'!$1:$1,BJ$3,'603-699'!18:18)</f>
        <v>5344.02</v>
      </c>
      <c r="BK45" s="360">
        <f>SUMIF('603-699'!$1:$1,BK$3,'603-699'!18:18)</f>
        <v>0</v>
      </c>
      <c r="BL45" s="360">
        <f>SUMIF('603-699'!$1:$1,BL$3,'603-699'!18:18)</f>
        <v>28933.17</v>
      </c>
      <c r="BM45" s="360">
        <f>SUMIF('603-699'!$1:$1,BM$3,'603-699'!18:18)</f>
        <v>1770</v>
      </c>
      <c r="BN45" s="360">
        <f>SUMIF('603-699'!$1:$1,BN$3,'603-699'!18:18)</f>
        <v>9304.27</v>
      </c>
      <c r="BO45" s="360">
        <f>SUMIF('603-699'!$1:$1,BO$3,'603-699'!18:18)</f>
        <v>13883.720000000003</v>
      </c>
      <c r="BP45" s="360">
        <f>SUMIF('603-699'!$1:$1,BP$3,'603-699'!18:18)</f>
        <v>0</v>
      </c>
      <c r="BQ45" s="360">
        <f>SUMIF('603-699'!$1:$1,BQ$3,'603-699'!18:18)</f>
        <v>0</v>
      </c>
      <c r="BR45" s="360">
        <f>SUMIF('603-699'!$1:$1,BR$3,'603-699'!18:18)</f>
        <v>0</v>
      </c>
      <c r="BS45" s="360">
        <f>SUMIF('603-699'!$1:$1,BS$3,'603-699'!18:18)</f>
        <v>0</v>
      </c>
      <c r="BT45" s="360">
        <f>SUMIF('603-699'!$1:$1,BT$3,'603-699'!18:18)</f>
        <v>3120</v>
      </c>
      <c r="BU45" s="360">
        <f>SUMIF('603-699'!$1:$1,BU$3,'603-699'!18:18)</f>
        <v>0</v>
      </c>
      <c r="BV45" s="360">
        <f>SUMIF('603-699'!$1:$1,BV$3,'603-699'!18:18)</f>
        <v>0</v>
      </c>
      <c r="BW45" s="360">
        <f>SUMIF('603-699'!$1:$1,BW$3,'603-699'!18:18)</f>
        <v>0</v>
      </c>
      <c r="BX45" s="360">
        <f>SUMIF('603-699'!$1:$1,BX$3,'603-699'!18:18)</f>
        <v>0</v>
      </c>
      <c r="BY45" s="360">
        <f>SUMIF('603-699'!$1:$1,BY$3,'603-699'!18:18)</f>
        <v>0</v>
      </c>
      <c r="BZ45" s="360">
        <f>SUMIF('603-699'!$1:$1,BZ$3,'603-699'!18:18)</f>
        <v>0</v>
      </c>
      <c r="CA45" s="360">
        <f>SUMIF('603-699'!$1:$1,CA$3,'603-699'!18:18)</f>
        <v>0</v>
      </c>
      <c r="CB45" s="360">
        <f>SUMIF('603-699'!$1:$1,CB$3,'603-699'!18:18)</f>
        <v>0</v>
      </c>
      <c r="CC45" s="360">
        <f>SUMIF('603-699'!$1:$1,CC$3,'603-699'!18:18)</f>
        <v>0</v>
      </c>
      <c r="CD45" s="360">
        <f>SUMIF('603-699'!$1:$1,CD$3,'603-699'!18:18)</f>
        <v>0</v>
      </c>
      <c r="CE45" s="360">
        <f>SUMIF('603-699'!$1:$1,CE$3,'603-699'!18:18)</f>
        <v>0</v>
      </c>
      <c r="CF45" s="360">
        <f>SUMIF('603-699'!$1:$1,CF$3,'603-699'!18:18)</f>
        <v>0</v>
      </c>
      <c r="CG45" s="361">
        <f t="shared" si="20"/>
        <v>-70630.490000000005</v>
      </c>
      <c r="CJ45" s="351"/>
      <c r="CK45" s="352">
        <f>INDEX(SAP!C:C,MATCH('Actuals mapped to CFR'!A45,SAP!H:H,FALSE),1)</f>
        <v>-70630.490000000005</v>
      </c>
      <c r="CL45" s="353">
        <f t="shared" si="15"/>
        <v>0</v>
      </c>
      <c r="CN45" s="354">
        <f t="shared" si="21"/>
        <v>773218.26</v>
      </c>
      <c r="CO45" s="354">
        <f t="shared" si="22"/>
        <v>774297.94</v>
      </c>
      <c r="CP45" s="355">
        <f>VLOOKUP(B45,'2526 GBP Data input'!$A$4:$CA$230,38,FALSE)</f>
        <v>715833</v>
      </c>
      <c r="CQ45" s="355">
        <f>VLOOKUP(B45,'2526 GBP Data input'!$A$4:$CA$230,73,FALSE)</f>
        <v>11507</v>
      </c>
      <c r="CR45" s="356">
        <f t="shared" si="8"/>
        <v>57385.260000000009</v>
      </c>
      <c r="CS45" s="357">
        <f t="shared" si="9"/>
        <v>67.289296949682793</v>
      </c>
      <c r="CT45" s="358">
        <f t="shared" si="23"/>
        <v>65550.540000000037</v>
      </c>
      <c r="CU45" s="358">
        <f t="shared" si="24"/>
        <v>0</v>
      </c>
      <c r="CV45" s="359">
        <f t="shared" si="10"/>
        <v>65550.540000000037</v>
      </c>
    </row>
    <row r="46" spans="1:100" ht="12.75" customHeight="1">
      <c r="A46" s="238">
        <v>107677</v>
      </c>
      <c r="B46" s="60">
        <v>677</v>
      </c>
      <c r="C46" s="60" t="s">
        <v>185</v>
      </c>
      <c r="D46" s="128">
        <f>SUMIF('603-699'!$1:$1,D$3,'603-699'!19:19)</f>
        <v>-155210.31</v>
      </c>
      <c r="E46" s="128">
        <f>SUMIF('603-699'!$1:$1,E$3,'603-699'!19:19)</f>
        <v>-4910</v>
      </c>
      <c r="F46" s="128">
        <f>SUMIF('603-699'!$1:$1,F$3,'603-699'!19:19)</f>
        <v>0</v>
      </c>
      <c r="G46" s="128">
        <f>SUMIF('603-699'!$1:$1,G$3,'603-699'!19:19)</f>
        <v>-468.64</v>
      </c>
      <c r="H46" s="128">
        <f>SUMIF('603-699'!$1:$1,H$3,'603-699'!19:19)</f>
        <v>0</v>
      </c>
      <c r="I46" s="128">
        <f>SUMIF('603-699'!$1:$1,I$3,'603-699'!19:19)</f>
        <v>0</v>
      </c>
      <c r="J46" s="128">
        <f>SUMIF('603-699'!$1:$1,J$3,'603-699'!19:19)</f>
        <v>0</v>
      </c>
      <c r="K46" s="128">
        <f>SUMIF('603-699'!$1:$1,K$3,'603-699'!19:19)</f>
        <v>-577510.39</v>
      </c>
      <c r="L46" s="128">
        <f>SUMIF('603-699'!$1:$1,L$3,'603-699'!19:19)</f>
        <v>0</v>
      </c>
      <c r="M46" s="128">
        <f>SUMIF('603-699'!$1:$1,M$3,'603-699'!19:19)</f>
        <v>0</v>
      </c>
      <c r="N46" s="128">
        <f>SUMIF('603-699'!$1:$1,N$3,'603-699'!19:19)</f>
        <v>0</v>
      </c>
      <c r="O46" s="128">
        <f>SUMIF('603-699'!$1:$1,O$3,'603-699'!19:19)</f>
        <v>-11490</v>
      </c>
      <c r="P46" s="128">
        <f>SUMIF('603-699'!$1:$1,P$3,'603-699'!19:19)</f>
        <v>-35112.400000000001</v>
      </c>
      <c r="Q46" s="128">
        <f>SUMIF('603-699'!$1:$1,Q$3,'603-699'!19:19)</f>
        <v>-2025</v>
      </c>
      <c r="R46" s="128">
        <f>SUMIF('603-699'!$1:$1,R$3,'603-699'!19:19)</f>
        <v>0</v>
      </c>
      <c r="S46" s="128">
        <f>SUMIF('603-699'!$1:$1,S$3,'603-699'!19:19)</f>
        <v>-42491.749999999993</v>
      </c>
      <c r="T46" s="128">
        <f>SUMIF('603-699'!$1:$1,T$3,'603-699'!19:19)</f>
        <v>5.56</v>
      </c>
      <c r="U46" s="128">
        <f>SUMIF('603-699'!$1:$1,U$3,'603-699'!19:19)</f>
        <v>0</v>
      </c>
      <c r="V46" s="128">
        <f>SUMIF('603-699'!$1:$1,V$3,'603-699'!19:19)</f>
        <v>0</v>
      </c>
      <c r="W46" s="128">
        <f>SUMIF('603-699'!$1:$1,W$3,'603-699'!19:19)</f>
        <v>-21604.860000000004</v>
      </c>
      <c r="X46" s="128">
        <f>SUMIF('603-699'!$1:$1,X$3,'603-699'!19:19)</f>
        <v>-375</v>
      </c>
      <c r="Y46" s="164">
        <f>SUMIF('603-699'!$1:$1,Y$3,'603-699'!19:19)</f>
        <v>0</v>
      </c>
      <c r="Z46" s="128">
        <f>SUMIF('603-699'!$1:$1,Z$3,'603-699'!19:19)</f>
        <v>0</v>
      </c>
      <c r="AA46" s="128">
        <f>SUMIF('603-699'!$1:$1,AA$3,'603-699'!19:19)</f>
        <v>0</v>
      </c>
      <c r="AB46" s="128">
        <f>SUMIF('603-699'!$1:$1,AB$3,'603-699'!19:19)</f>
        <v>0</v>
      </c>
      <c r="AC46" s="314">
        <f>SUMIF('603-699'!$1:$1,AC$3,'603-699'!19:19)</f>
        <v>0</v>
      </c>
      <c r="AD46" s="314">
        <f>SUMIF('603-699'!$1:$1,AD$3,'603-699'!19:19)</f>
        <v>0</v>
      </c>
      <c r="AE46" s="314">
        <f>SUMIF('603-699'!$1:$1,AE$3,'603-699'!19:19)</f>
        <v>0</v>
      </c>
      <c r="AF46" s="314">
        <f>SUMIF('603-699'!$1:$1,AF$3,'603-699'!19:19)</f>
        <v>0</v>
      </c>
      <c r="AG46" s="128">
        <f>SUMIF('603-699'!$1:$1,AG$3,'603-699'!19:19)</f>
        <v>354956.24</v>
      </c>
      <c r="AH46" s="128">
        <f>SUMIF('603-699'!$1:$1,AH$3,'603-699'!19:19)</f>
        <v>9181.82</v>
      </c>
      <c r="AI46" s="128">
        <f>SUMIF('603-699'!$1:$1,AI$3,'603-699'!19:19)</f>
        <v>64075.220000000008</v>
      </c>
      <c r="AJ46" s="128">
        <f>SUMIF('603-699'!$1:$1,AJ$3,'603-699'!19:19)</f>
        <v>0</v>
      </c>
      <c r="AK46" s="128">
        <f>SUMIF('603-699'!$1:$1,AK$3,'603-699'!19:19)</f>
        <v>36211.82</v>
      </c>
      <c r="AL46" s="128">
        <f>SUMIF('603-699'!$1:$1,AL$3,'603-699'!19:19)</f>
        <v>0</v>
      </c>
      <c r="AM46" s="128">
        <f>SUMIF('603-699'!$1:$1,AM$3,'603-699'!19:19)</f>
        <v>29525</v>
      </c>
      <c r="AN46" s="128">
        <f>SUMIF('603-699'!$1:$1,AN$3,'603-699'!19:19)</f>
        <v>112.17999999999999</v>
      </c>
      <c r="AO46" s="128">
        <f>SUMIF('603-699'!$1:$1,AO$3,'603-699'!19:19)</f>
        <v>1724.75</v>
      </c>
      <c r="AP46" s="128">
        <f>SUMIF('603-699'!$1:$1,AP$3,'603-699'!19:19)</f>
        <v>1993.35</v>
      </c>
      <c r="AQ46" s="128">
        <f>SUMIF('603-699'!$1:$1,AQ$3,'603-699'!19:19)</f>
        <v>0</v>
      </c>
      <c r="AR46" s="128">
        <f>SUMIF('603-699'!$1:$1,AR$3,'603-699'!19:19)</f>
        <v>12662.63</v>
      </c>
      <c r="AS46" s="128">
        <f>SUMIF('603-699'!$1:$1,AS$3,'603-699'!19:19)</f>
        <v>3562.2900000000009</v>
      </c>
      <c r="AT46" s="128">
        <f>SUMIF('603-699'!$1:$1,AT$3,'603-699'!19:19)</f>
        <v>18854.260000000006</v>
      </c>
      <c r="AU46" s="128">
        <f>SUMIF('603-699'!$1:$1,AU$3,'603-699'!19:19)</f>
        <v>886.30999999999926</v>
      </c>
      <c r="AV46" s="128">
        <f>SUMIF('603-699'!$1:$1,AV$3,'603-699'!19:19)</f>
        <v>12693.060000000001</v>
      </c>
      <c r="AW46" s="128">
        <f>SUMIF('603-699'!$1:$1,AW$3,'603-699'!19:19)</f>
        <v>1821.35</v>
      </c>
      <c r="AX46" s="128">
        <f>SUMIF('603-699'!$1:$1,AX$3,'603-699'!19:19)</f>
        <v>2621.13</v>
      </c>
      <c r="AY46" s="128">
        <f>SUMIF('603-699'!$1:$1,AY$3,'603-699'!19:19)</f>
        <v>38099.589999999997</v>
      </c>
      <c r="AZ46" s="314">
        <f>SUMIF('603-699'!$1:$1,AZ$3,'603-699'!19:19)</f>
        <v>0</v>
      </c>
      <c r="BA46" s="128">
        <f>SUMIF('603-699'!$1:$1,BA$3,'603-699'!19:19)</f>
        <v>2814</v>
      </c>
      <c r="BB46" s="128">
        <f>SUMIF('603-699'!$1:$1,BB$3,'603-699'!19:19)</f>
        <v>0</v>
      </c>
      <c r="BC46" s="128">
        <f>SUMIF('603-699'!$1:$1,BC$3,'603-699'!19:19)</f>
        <v>66</v>
      </c>
      <c r="BD46" s="128">
        <f>SUMIF('603-699'!$1:$1,BD$3,'603-699'!19:19)</f>
        <v>3455</v>
      </c>
      <c r="BE46" s="128">
        <f>SUMIF('603-699'!$1:$1,BE$3,'603-699'!19:19)</f>
        <v>439</v>
      </c>
      <c r="BF46" s="128">
        <f>SUMIF('603-699'!$1:$1,BF$3,'603-699'!19:19)</f>
        <v>0</v>
      </c>
      <c r="BG46" s="128">
        <f>SUMIF('603-699'!$1:$1,BG$3,'603-699'!19:19)</f>
        <v>3359.5</v>
      </c>
      <c r="BH46" s="128">
        <f>SUMIF('603-699'!$1:$1,BH$3,'603-699'!19:19)</f>
        <v>0</v>
      </c>
      <c r="BI46" s="128">
        <f>SUMIF('603-699'!$1:$1,BI$3,'603-699'!19:19)</f>
        <v>1149.5800000000002</v>
      </c>
      <c r="BJ46" s="128">
        <f>SUMIF('603-699'!$1:$1,BJ$3,'603-699'!19:19)</f>
        <v>4696.26</v>
      </c>
      <c r="BK46" s="128">
        <f>SUMIF('603-699'!$1:$1,BK$3,'603-699'!19:19)</f>
        <v>0</v>
      </c>
      <c r="BL46" s="128">
        <f>SUMIF('603-699'!$1:$1,BL$3,'603-699'!19:19)</f>
        <v>16084.1</v>
      </c>
      <c r="BM46" s="128">
        <f>SUMIF('603-699'!$1:$1,BM$3,'603-699'!19:19)</f>
        <v>0</v>
      </c>
      <c r="BN46" s="128">
        <f>SUMIF('603-699'!$1:$1,BN$3,'603-699'!19:19)</f>
        <v>11828.6</v>
      </c>
      <c r="BO46" s="128">
        <f>SUMIF('603-699'!$1:$1,BO$3,'603-699'!19:19)</f>
        <v>14884.870000000003</v>
      </c>
      <c r="BP46" s="128">
        <f>SUMIF('603-699'!$1:$1,BP$3,'603-699'!19:19)</f>
        <v>0</v>
      </c>
      <c r="BQ46" s="128">
        <f>SUMIF('603-699'!$1:$1,BQ$3,'603-699'!19:19)</f>
        <v>0</v>
      </c>
      <c r="BR46" s="128">
        <f>SUMIF('603-699'!$1:$1,BR$3,'603-699'!19:19)</f>
        <v>0</v>
      </c>
      <c r="BS46" s="128">
        <f>SUMIF('603-699'!$1:$1,BS$3,'603-699'!19:19)</f>
        <v>0</v>
      </c>
      <c r="BT46" s="128">
        <f>SUMIF('603-699'!$1:$1,BT$3,'603-699'!19:19)</f>
        <v>0</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4">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7">
        <f t="shared" si="20"/>
        <v>-203434.88000000003</v>
      </c>
      <c r="CJ46" s="122"/>
      <c r="CK46" s="169">
        <f>INDEX(SAP!C:C,MATCH('Actuals mapped to CFR'!A46,SAP!H:H,FALSE),1)</f>
        <v>-203434.88</v>
      </c>
      <c r="CL46" s="59">
        <f t="shared" si="15"/>
        <v>0</v>
      </c>
      <c r="CN46" s="81">
        <f t="shared" si="21"/>
        <v>690603.84</v>
      </c>
      <c r="CO46" s="81">
        <f t="shared" si="22"/>
        <v>647757.90999999992</v>
      </c>
      <c r="CP46" s="166">
        <f>VLOOKUP(B46,'2526 GBP Data input'!$A$4:$CA$230,38,FALSE)</f>
        <v>636778</v>
      </c>
      <c r="CQ46" s="166">
        <f>VLOOKUP(B46,'2526 GBP Data input'!$A$4:$CA$230,73,FALSE)</f>
        <v>20580</v>
      </c>
      <c r="CR46" s="89">
        <f t="shared" ref="CR46:CR93" si="25">CN46-CP46</f>
        <v>53825.839999999967</v>
      </c>
      <c r="CS46" s="83">
        <f t="shared" ref="CS46:CS93" si="26">CO46/CQ46</f>
        <v>31.475117103984449</v>
      </c>
      <c r="CT46" s="82">
        <f t="shared" si="23"/>
        <v>198056.24</v>
      </c>
      <c r="CU46" s="82">
        <f t="shared" si="24"/>
        <v>468.64</v>
      </c>
      <c r="CV46" s="86">
        <f t="shared" si="10"/>
        <v>198524.88</v>
      </c>
    </row>
    <row r="47" spans="1:100" ht="12.75" customHeight="1">
      <c r="A47" s="238">
        <v>107678</v>
      </c>
      <c r="B47" s="60">
        <v>678</v>
      </c>
      <c r="C47" s="60" t="s">
        <v>248</v>
      </c>
      <c r="D47" s="128">
        <f>SUMIF('603-699'!$1:$1,D$3,'603-699'!20:20)</f>
        <v>-273622.06</v>
      </c>
      <c r="E47" s="128">
        <f>SUMIF('603-699'!$1:$1,E$3,'603-699'!20:20)</f>
        <v>-24491.69</v>
      </c>
      <c r="F47" s="128">
        <f>SUMIF('603-699'!$1:$1,F$3,'603-699'!20:20)</f>
        <v>0</v>
      </c>
      <c r="G47" s="128">
        <f>SUMIF('603-699'!$1:$1,G$3,'603-699'!20:20)</f>
        <v>-12734.62</v>
      </c>
      <c r="H47" s="128">
        <f>SUMIF('603-699'!$1:$1,H$3,'603-699'!20:20)</f>
        <v>0</v>
      </c>
      <c r="I47" s="128">
        <f>SUMIF('603-699'!$1:$1,I$3,'603-699'!20:20)</f>
        <v>0</v>
      </c>
      <c r="J47" s="128">
        <f>SUMIF('603-699'!$1:$1,J$3,'603-699'!20:20)</f>
        <v>0</v>
      </c>
      <c r="K47" s="128">
        <f>SUMIF('603-699'!$1:$1,K$3,'603-699'!20:20)</f>
        <v>-1231246</v>
      </c>
      <c r="L47" s="128">
        <f>SUMIF('603-699'!$1:$1,L$3,'603-699'!20:20)</f>
        <v>0</v>
      </c>
      <c r="M47" s="128">
        <f>SUMIF('603-699'!$1:$1,M$3,'603-699'!20:20)</f>
        <v>-97946</v>
      </c>
      <c r="N47" s="128">
        <f>SUMIF('603-699'!$1:$1,N$3,'603-699'!20:20)</f>
        <v>0</v>
      </c>
      <c r="O47" s="128">
        <f>SUMIF('603-699'!$1:$1,O$3,'603-699'!20:20)</f>
        <v>-117845</v>
      </c>
      <c r="P47" s="128">
        <f>SUMIF('603-699'!$1:$1,P$3,'603-699'!20:20)</f>
        <v>-31852</v>
      </c>
      <c r="Q47" s="128">
        <f>SUMIF('603-699'!$1:$1,Q$3,'603-699'!20:20)</f>
        <v>0</v>
      </c>
      <c r="R47" s="128">
        <f>SUMIF('603-699'!$1:$1,R$3,'603-699'!20:20)</f>
        <v>0</v>
      </c>
      <c r="S47" s="128">
        <f>SUMIF('603-699'!$1:$1,S$3,'603-699'!20:20)</f>
        <v>-75175.55</v>
      </c>
      <c r="T47" s="128">
        <f>SUMIF('603-699'!$1:$1,T$3,'603-699'!20:20)</f>
        <v>0</v>
      </c>
      <c r="U47" s="128">
        <f>SUMIF('603-699'!$1:$1,U$3,'603-699'!20:20)</f>
        <v>0</v>
      </c>
      <c r="V47" s="128">
        <f>SUMIF('603-699'!$1:$1,V$3,'603-699'!20:20)</f>
        <v>0</v>
      </c>
      <c r="W47" s="128">
        <f>SUMIF('603-699'!$1:$1,W$3,'603-699'!20:20)</f>
        <v>-22559.7</v>
      </c>
      <c r="X47" s="128">
        <f>SUMIF('603-699'!$1:$1,X$3,'603-699'!20:20)</f>
        <v>0</v>
      </c>
      <c r="Y47" s="164">
        <f>SUMIF('603-699'!$1:$1,Y$3,'603-699'!20:20)</f>
        <v>0</v>
      </c>
      <c r="Z47" s="128">
        <f>SUMIF('603-699'!$1:$1,Z$3,'603-699'!20:20)</f>
        <v>0</v>
      </c>
      <c r="AA47" s="128">
        <f>SUMIF('603-699'!$1:$1,AA$3,'603-699'!20:20)</f>
        <v>0</v>
      </c>
      <c r="AB47" s="128">
        <f>SUMIF('603-699'!$1:$1,AB$3,'603-699'!20:20)</f>
        <v>0</v>
      </c>
      <c r="AC47" s="314">
        <f>SUMIF('603-699'!$1:$1,AC$3,'603-699'!20:20)</f>
        <v>0</v>
      </c>
      <c r="AD47" s="314">
        <f>SUMIF('603-699'!$1:$1,AD$3,'603-699'!20:20)</f>
        <v>0</v>
      </c>
      <c r="AE47" s="314">
        <f>SUMIF('603-699'!$1:$1,AE$3,'603-699'!20:20)</f>
        <v>0</v>
      </c>
      <c r="AF47" s="314">
        <f>SUMIF('603-699'!$1:$1,AF$3,'603-699'!20:20)</f>
        <v>0</v>
      </c>
      <c r="AG47" s="128">
        <f>SUMIF('603-699'!$1:$1,AG$3,'603-699'!20:20)</f>
        <v>726086.33</v>
      </c>
      <c r="AH47" s="128">
        <f>SUMIF('603-699'!$1:$1,AH$3,'603-699'!20:20)</f>
        <v>32335.01</v>
      </c>
      <c r="AI47" s="128">
        <f>SUMIF('603-699'!$1:$1,AI$3,'603-699'!20:20)</f>
        <v>225557.71000000002</v>
      </c>
      <c r="AJ47" s="128">
        <f>SUMIF('603-699'!$1:$1,AJ$3,'603-699'!20:20)</f>
        <v>43522.100000000006</v>
      </c>
      <c r="AK47" s="128">
        <f>SUMIF('603-699'!$1:$1,AK$3,'603-699'!20:20)</f>
        <v>59698.510000000017</v>
      </c>
      <c r="AL47" s="128">
        <f>SUMIF('603-699'!$1:$1,AL$3,'603-699'!20:20)</f>
        <v>0</v>
      </c>
      <c r="AM47" s="128">
        <f>SUMIF('603-699'!$1:$1,AM$3,'603-699'!20:20)</f>
        <v>50859.450000000004</v>
      </c>
      <c r="AN47" s="128">
        <f>SUMIF('603-699'!$1:$1,AN$3,'603-699'!20:20)</f>
        <v>4439.5200000000004</v>
      </c>
      <c r="AO47" s="128">
        <f>SUMIF('603-699'!$1:$1,AO$3,'603-699'!20:20)</f>
        <v>2163</v>
      </c>
      <c r="AP47" s="128">
        <f>SUMIF('603-699'!$1:$1,AP$3,'603-699'!20:20)</f>
        <v>600.85</v>
      </c>
      <c r="AQ47" s="128">
        <f>SUMIF('603-699'!$1:$1,AQ$3,'603-699'!20:20)</f>
        <v>0</v>
      </c>
      <c r="AR47" s="128">
        <f>SUMIF('603-699'!$1:$1,AR$3,'603-699'!20:20)</f>
        <v>6583.9299999999985</v>
      </c>
      <c r="AS47" s="128">
        <f>SUMIF('603-699'!$1:$1,AS$3,'603-699'!20:20)</f>
        <v>6697.0899999999992</v>
      </c>
      <c r="AT47" s="128">
        <f>SUMIF('603-699'!$1:$1,AT$3,'603-699'!20:20)</f>
        <v>2567.2899999999995</v>
      </c>
      <c r="AU47" s="128">
        <f>SUMIF('603-699'!$1:$1,AU$3,'603-699'!20:20)</f>
        <v>3156.5</v>
      </c>
      <c r="AV47" s="128">
        <f>SUMIF('603-699'!$1:$1,AV$3,'603-699'!20:20)</f>
        <v>21801.96</v>
      </c>
      <c r="AW47" s="128">
        <f>SUMIF('603-699'!$1:$1,AW$3,'603-699'!20:20)</f>
        <v>15094.75</v>
      </c>
      <c r="AX47" s="128">
        <f>SUMIF('603-699'!$1:$1,AX$3,'603-699'!20:20)</f>
        <v>11193.059999999998</v>
      </c>
      <c r="AY47" s="128">
        <f>SUMIF('603-699'!$1:$1,AY$3,'603-699'!20:20)</f>
        <v>91509.22</v>
      </c>
      <c r="AZ47" s="314">
        <f>SUMIF('603-699'!$1:$1,AZ$3,'603-699'!20:20)</f>
        <v>0</v>
      </c>
      <c r="BA47" s="128">
        <f>SUMIF('603-699'!$1:$1,BA$3,'603-699'!20:20)</f>
        <v>7040.75</v>
      </c>
      <c r="BB47" s="128">
        <f>SUMIF('603-699'!$1:$1,BB$3,'603-699'!20:20)</f>
        <v>0</v>
      </c>
      <c r="BC47" s="128">
        <f>SUMIF('603-699'!$1:$1,BC$3,'603-699'!20:20)</f>
        <v>1722.56</v>
      </c>
      <c r="BD47" s="128">
        <f>SUMIF('603-699'!$1:$1,BD$3,'603-699'!20:20)</f>
        <v>1067</v>
      </c>
      <c r="BE47" s="128">
        <f>SUMIF('603-699'!$1:$1,BE$3,'603-699'!20:20)</f>
        <v>279.62</v>
      </c>
      <c r="BF47" s="128">
        <f>SUMIF('603-699'!$1:$1,BF$3,'603-699'!20:20)</f>
        <v>5.99</v>
      </c>
      <c r="BG47" s="128">
        <f>SUMIF('603-699'!$1:$1,BG$3,'603-699'!20:20)</f>
        <v>4568.5</v>
      </c>
      <c r="BH47" s="128">
        <f>SUMIF('603-699'!$1:$1,BH$3,'603-699'!20:20)</f>
        <v>0</v>
      </c>
      <c r="BI47" s="128">
        <f>SUMIF('603-699'!$1:$1,BI$3,'603-699'!20:20)</f>
        <v>1795.2099999999998</v>
      </c>
      <c r="BJ47" s="128">
        <f>SUMIF('603-699'!$1:$1,BJ$3,'603-699'!20:20)</f>
        <v>10634.06</v>
      </c>
      <c r="BK47" s="128">
        <f>SUMIF('603-699'!$1:$1,BK$3,'603-699'!20:20)</f>
        <v>0</v>
      </c>
      <c r="BL47" s="128">
        <f>SUMIF('603-699'!$1:$1,BL$3,'603-699'!20:20)</f>
        <v>23236.16</v>
      </c>
      <c r="BM47" s="128">
        <f>SUMIF('603-699'!$1:$1,BM$3,'603-699'!20:20)</f>
        <v>34761.200000000026</v>
      </c>
      <c r="BN47" s="128">
        <f>SUMIF('603-699'!$1:$1,BN$3,'603-699'!20:20)</f>
        <v>147543.59000000003</v>
      </c>
      <c r="BO47" s="128">
        <f>SUMIF('603-699'!$1:$1,BO$3,'603-699'!20:20)</f>
        <v>38466.179999999993</v>
      </c>
      <c r="BP47" s="128">
        <f>SUMIF('603-699'!$1:$1,BP$3,'603-699'!20:20)</f>
        <v>0</v>
      </c>
      <c r="BQ47" s="128">
        <f>SUMIF('603-699'!$1:$1,BQ$3,'603-699'!20:20)</f>
        <v>0</v>
      </c>
      <c r="BR47" s="128">
        <f>SUMIF('603-699'!$1:$1,BR$3,'603-699'!20:20)</f>
        <v>8103</v>
      </c>
      <c r="BS47" s="128">
        <f>SUMIF('603-699'!$1:$1,BS$3,'603-699'!20:20)</f>
        <v>0</v>
      </c>
      <c r="BT47" s="128">
        <f>SUMIF('603-699'!$1:$1,BT$3,'603-699'!20:20)</f>
        <v>0</v>
      </c>
      <c r="BU47" s="128">
        <f>SUMIF('603-699'!$1:$1,BU$3,'603-699'!20:20)</f>
        <v>-6351.25</v>
      </c>
      <c r="BV47" s="128">
        <f>SUMIF('603-699'!$1:$1,BV$3,'603-699'!20:20)</f>
        <v>0</v>
      </c>
      <c r="BW47" s="128">
        <f>SUMIF('603-699'!$1:$1,BW$3,'603-699'!20:20)</f>
        <v>-8103</v>
      </c>
      <c r="BX47" s="128">
        <f>SUMIF('603-699'!$1:$1,BX$3,'603-699'!20:20)</f>
        <v>0</v>
      </c>
      <c r="BY47" s="128">
        <f>SUMIF('603-699'!$1:$1,BY$3,'603-699'!20:20)</f>
        <v>12370.25</v>
      </c>
      <c r="BZ47" s="128">
        <f>SUMIF('603-699'!$1:$1,BZ$3,'603-699'!20:20)</f>
        <v>0</v>
      </c>
      <c r="CA47" s="314">
        <f>SUMIF('603-699'!$1:$1,CA$3,'603-699'!20:20)</f>
        <v>0</v>
      </c>
      <c r="CB47" s="128">
        <f>SUMIF('603-699'!$1:$1,CB$3,'603-699'!20:20)</f>
        <v>0</v>
      </c>
      <c r="CC47" s="128">
        <f>SUMIF('603-699'!$1:$1,CC$3,'603-699'!20:20)</f>
        <v>0</v>
      </c>
      <c r="CD47" s="128">
        <f>SUMIF('603-699'!$1:$1,CD$3,'603-699'!20:20)</f>
        <v>0</v>
      </c>
      <c r="CE47" s="128">
        <f>SUMIF('603-699'!$1:$1,CE$3,'603-699'!20:20)</f>
        <v>8103</v>
      </c>
      <c r="CF47" s="128">
        <f>SUMIF('603-699'!$1:$1,CF$3,'603-699'!20:20)</f>
        <v>0</v>
      </c>
      <c r="CG47" s="257">
        <f t="shared" si="20"/>
        <v>-298363.51999999996</v>
      </c>
      <c r="CJ47" s="122"/>
      <c r="CK47" s="169">
        <f>INDEX(SAP!C:C,MATCH('Actuals mapped to CFR'!A47,SAP!H:H,FALSE),1)</f>
        <v>-298363.52000000002</v>
      </c>
      <c r="CL47" s="59">
        <f t="shared" si="15"/>
        <v>0</v>
      </c>
      <c r="CN47" s="81">
        <f t="shared" si="21"/>
        <v>1576624.25</v>
      </c>
      <c r="CO47" s="81">
        <f t="shared" si="22"/>
        <v>1583090.1000000003</v>
      </c>
      <c r="CP47" s="166">
        <f>VLOOKUP(B47,'2526 GBP Data input'!$A$4:$CA$230,38,FALSE)</f>
        <v>1449540</v>
      </c>
      <c r="CQ47" s="166">
        <f>VLOOKUP(B47,'2526 GBP Data input'!$A$4:$CA$230,73,FALSE)</f>
        <v>15113</v>
      </c>
      <c r="CR47" s="89">
        <f t="shared" si="25"/>
        <v>127084.25</v>
      </c>
      <c r="CS47" s="83">
        <f t="shared" si="26"/>
        <v>104.75022166346857</v>
      </c>
      <c r="CT47" s="82">
        <f t="shared" si="23"/>
        <v>267156.20999999973</v>
      </c>
      <c r="CU47" s="82">
        <f t="shared" si="24"/>
        <v>14818.620000000003</v>
      </c>
      <c r="CV47" s="86">
        <f t="shared" si="10"/>
        <v>281974.82999999973</v>
      </c>
    </row>
    <row r="48" spans="1:100" ht="12.75" customHeight="1">
      <c r="A48" s="238">
        <v>107682</v>
      </c>
      <c r="B48" s="60">
        <v>682</v>
      </c>
      <c r="C48" s="60" t="s">
        <v>271</v>
      </c>
      <c r="D48" s="128">
        <f>SUMIF('603-699'!$1:$1,D$3,'603-699'!21:21)</f>
        <v>-98684.15</v>
      </c>
      <c r="E48" s="128">
        <f>SUMIF('603-699'!$1:$1,E$3,'603-699'!21:21)</f>
        <v>-15269.6</v>
      </c>
      <c r="F48" s="128">
        <f>SUMIF('603-699'!$1:$1,F$3,'603-699'!21:21)</f>
        <v>0</v>
      </c>
      <c r="G48" s="128">
        <f>SUMIF('603-699'!$1:$1,G$3,'603-699'!21:21)</f>
        <v>-13339.53</v>
      </c>
      <c r="H48" s="128">
        <f>SUMIF('603-699'!$1:$1,H$3,'603-699'!21:21)</f>
        <v>0</v>
      </c>
      <c r="I48" s="128">
        <f>SUMIF('603-699'!$1:$1,I$3,'603-699'!21:21)</f>
        <v>0</v>
      </c>
      <c r="J48" s="128">
        <f>SUMIF('603-699'!$1:$1,J$3,'603-699'!21:21)</f>
        <v>-24927.5</v>
      </c>
      <c r="K48" s="128">
        <f>SUMIF('603-699'!$1:$1,K$3,'603-699'!21:21)</f>
        <v>-562575.07999999996</v>
      </c>
      <c r="L48" s="128">
        <f>SUMIF('603-699'!$1:$1,L$3,'603-699'!21:21)</f>
        <v>0</v>
      </c>
      <c r="M48" s="128">
        <f>SUMIF('603-699'!$1:$1,M$3,'603-699'!21:21)</f>
        <v>-32787</v>
      </c>
      <c r="N48" s="128">
        <f>SUMIF('603-699'!$1:$1,N$3,'603-699'!21:21)</f>
        <v>0</v>
      </c>
      <c r="O48" s="128">
        <f>SUMIF('603-699'!$1:$1,O$3,'603-699'!21:21)</f>
        <v>-20645</v>
      </c>
      <c r="P48" s="128">
        <f>SUMIF('603-699'!$1:$1,P$3,'603-699'!21:21)</f>
        <v>-26545</v>
      </c>
      <c r="Q48" s="128">
        <f>SUMIF('603-699'!$1:$1,Q$3,'603-699'!21:21)</f>
        <v>0</v>
      </c>
      <c r="R48" s="128">
        <f>SUMIF('603-699'!$1:$1,R$3,'603-699'!21:21)</f>
        <v>0</v>
      </c>
      <c r="S48" s="128">
        <f>SUMIF('603-699'!$1:$1,S$3,'603-699'!21:21)</f>
        <v>-15038.489999999998</v>
      </c>
      <c r="T48" s="128">
        <f>SUMIF('603-699'!$1:$1,T$3,'603-699'!21:21)</f>
        <v>130.32</v>
      </c>
      <c r="U48" s="128">
        <f>SUMIF('603-699'!$1:$1,U$3,'603-699'!21:21)</f>
        <v>0</v>
      </c>
      <c r="V48" s="128">
        <f>SUMIF('603-699'!$1:$1,V$3,'603-699'!21:21)</f>
        <v>0</v>
      </c>
      <c r="W48" s="128">
        <f>SUMIF('603-699'!$1:$1,W$3,'603-699'!21:21)</f>
        <v>-10254.100000000002</v>
      </c>
      <c r="X48" s="128">
        <f>SUMIF('603-699'!$1:$1,X$3,'603-699'!21:21)</f>
        <v>0</v>
      </c>
      <c r="Y48" s="164">
        <f>SUMIF('603-699'!$1:$1,Y$3,'603-699'!21:21)</f>
        <v>0</v>
      </c>
      <c r="Z48" s="128">
        <f>SUMIF('603-699'!$1:$1,Z$3,'603-699'!21:21)</f>
        <v>0</v>
      </c>
      <c r="AA48" s="128">
        <f>SUMIF('603-699'!$1:$1,AA$3,'603-699'!21:21)</f>
        <v>-26853.159999999996</v>
      </c>
      <c r="AB48" s="128">
        <f>SUMIF('603-699'!$1:$1,AB$3,'603-699'!21:21)</f>
        <v>-1805.86</v>
      </c>
      <c r="AC48" s="314">
        <f>SUMIF('603-699'!$1:$1,AC$3,'603-699'!21:21)</f>
        <v>0</v>
      </c>
      <c r="AD48" s="314">
        <f>SUMIF('603-699'!$1:$1,AD$3,'603-699'!21:21)</f>
        <v>0</v>
      </c>
      <c r="AE48" s="314">
        <f>SUMIF('603-699'!$1:$1,AE$3,'603-699'!21:21)</f>
        <v>0</v>
      </c>
      <c r="AF48" s="314">
        <f>SUMIF('603-699'!$1:$1,AF$3,'603-699'!21:21)</f>
        <v>0</v>
      </c>
      <c r="AG48" s="128">
        <f>SUMIF('603-699'!$1:$1,AG$3,'603-699'!21:21)</f>
        <v>330725.92</v>
      </c>
      <c r="AH48" s="128">
        <f>SUMIF('603-699'!$1:$1,AH$3,'603-699'!21:21)</f>
        <v>9322.2199999999993</v>
      </c>
      <c r="AI48" s="128">
        <f>SUMIF('603-699'!$1:$1,AI$3,'603-699'!21:21)</f>
        <v>151188.66</v>
      </c>
      <c r="AJ48" s="128">
        <f>SUMIF('603-699'!$1:$1,AJ$3,'603-699'!21:21)</f>
        <v>6003.6999999999989</v>
      </c>
      <c r="AK48" s="128">
        <f>SUMIF('603-699'!$1:$1,AK$3,'603-699'!21:21)</f>
        <v>34623.349999999991</v>
      </c>
      <c r="AL48" s="128">
        <f>SUMIF('603-699'!$1:$1,AL$3,'603-699'!21:21)</f>
        <v>0</v>
      </c>
      <c r="AM48" s="128">
        <f>SUMIF('603-699'!$1:$1,AM$3,'603-699'!21:21)</f>
        <v>23572.9</v>
      </c>
      <c r="AN48" s="128">
        <f>SUMIF('603-699'!$1:$1,AN$3,'603-699'!21:21)</f>
        <v>2485.7600000000002</v>
      </c>
      <c r="AO48" s="128">
        <f>SUMIF('603-699'!$1:$1,AO$3,'603-699'!21:21)</f>
        <v>703.75</v>
      </c>
      <c r="AP48" s="128">
        <f>SUMIF('603-699'!$1:$1,AP$3,'603-699'!21:21)</f>
        <v>1181.5999999999999</v>
      </c>
      <c r="AQ48" s="128">
        <f>SUMIF('603-699'!$1:$1,AQ$3,'603-699'!21:21)</f>
        <v>0</v>
      </c>
      <c r="AR48" s="128">
        <f>SUMIF('603-699'!$1:$1,AR$3,'603-699'!21:21)</f>
        <v>3983.2799999999997</v>
      </c>
      <c r="AS48" s="128">
        <f>SUMIF('603-699'!$1:$1,AS$3,'603-699'!21:21)</f>
        <v>382</v>
      </c>
      <c r="AT48" s="128">
        <f>SUMIF('603-699'!$1:$1,AT$3,'603-699'!21:21)</f>
        <v>17670.919999999998</v>
      </c>
      <c r="AU48" s="128">
        <f>SUMIF('603-699'!$1:$1,AU$3,'603-699'!21:21)</f>
        <v>2223.5699999999997</v>
      </c>
      <c r="AV48" s="128">
        <f>SUMIF('603-699'!$1:$1,AV$3,'603-699'!21:21)</f>
        <v>15124.96</v>
      </c>
      <c r="AW48" s="128">
        <f>SUMIF('603-699'!$1:$1,AW$3,'603-699'!21:21)</f>
        <v>16342.25</v>
      </c>
      <c r="AX48" s="128">
        <f>SUMIF('603-699'!$1:$1,AX$3,'603-699'!21:21)</f>
        <v>4949.4799999999996</v>
      </c>
      <c r="AY48" s="128">
        <f>SUMIF('603-699'!$1:$1,AY$3,'603-699'!21:21)</f>
        <v>19133.45</v>
      </c>
      <c r="AZ48" s="314">
        <f>SUMIF('603-699'!$1:$1,AZ$3,'603-699'!21:21)</f>
        <v>0</v>
      </c>
      <c r="BA48" s="128">
        <f>SUMIF('603-699'!$1:$1,BA$3,'603-699'!21:21)</f>
        <v>2330</v>
      </c>
      <c r="BB48" s="128">
        <f>SUMIF('603-699'!$1:$1,BB$3,'603-699'!21:21)</f>
        <v>0</v>
      </c>
      <c r="BC48" s="128">
        <f>SUMIF('603-699'!$1:$1,BC$3,'603-699'!21:21)</f>
        <v>590.92000000000007</v>
      </c>
      <c r="BD48" s="128">
        <f>SUMIF('603-699'!$1:$1,BD$3,'603-699'!21:21)</f>
        <v>2325.9300000000003</v>
      </c>
      <c r="BE48" s="128">
        <f>SUMIF('603-699'!$1:$1,BE$3,'603-699'!21:21)</f>
        <v>0</v>
      </c>
      <c r="BF48" s="128">
        <f>SUMIF('603-699'!$1:$1,BF$3,'603-699'!21:21)</f>
        <v>0</v>
      </c>
      <c r="BG48" s="128">
        <f>SUMIF('603-699'!$1:$1,BG$3,'603-699'!21:21)</f>
        <v>4715</v>
      </c>
      <c r="BH48" s="128">
        <f>SUMIF('603-699'!$1:$1,BH$3,'603-699'!21:21)</f>
        <v>0</v>
      </c>
      <c r="BI48" s="128">
        <f>SUMIF('603-699'!$1:$1,BI$3,'603-699'!21:21)</f>
        <v>2433.58</v>
      </c>
      <c r="BJ48" s="128">
        <f>SUMIF('603-699'!$1:$1,BJ$3,'603-699'!21:21)</f>
        <v>3886.56</v>
      </c>
      <c r="BK48" s="128">
        <f>SUMIF('603-699'!$1:$1,BK$3,'603-699'!21:21)</f>
        <v>0</v>
      </c>
      <c r="BL48" s="128">
        <f>SUMIF('603-699'!$1:$1,BL$3,'603-699'!21:21)</f>
        <v>16733.79</v>
      </c>
      <c r="BM48" s="128">
        <f>SUMIF('603-699'!$1:$1,BM$3,'603-699'!21:21)</f>
        <v>0</v>
      </c>
      <c r="BN48" s="128">
        <f>SUMIF('603-699'!$1:$1,BN$3,'603-699'!21:21)</f>
        <v>1329</v>
      </c>
      <c r="BO48" s="128">
        <f>SUMIF('603-699'!$1:$1,BO$3,'603-699'!21:21)</f>
        <v>18221.920000000006</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-4922.5</v>
      </c>
      <c r="BV48" s="128">
        <f>SUMIF('603-699'!$1:$1,BV$3,'603-699'!21:21)</f>
        <v>0</v>
      </c>
      <c r="BW48" s="128">
        <f>SUMIF('603-699'!$1:$1,BW$3,'603-699'!21:21)</f>
        <v>0</v>
      </c>
      <c r="BX48" s="128">
        <f>SUMIF('603-699'!$1:$1,BX$3,'603-699'!21:21)</f>
        <v>0</v>
      </c>
      <c r="BY48" s="128">
        <f>SUMIF('603-699'!$1:$1,BY$3,'603-699'!21:21)</f>
        <v>2437.5</v>
      </c>
      <c r="BZ48" s="128">
        <f>SUMIF('603-699'!$1:$1,BZ$3,'603-699'!21:21)</f>
        <v>0</v>
      </c>
      <c r="CA48" s="314">
        <f>SUMIF('603-699'!$1:$1,CA$3,'603-699'!21:21)</f>
        <v>0</v>
      </c>
      <c r="CB48" s="128">
        <f>SUMIF('603-699'!$1:$1,CB$3,'603-699'!21:21)</f>
        <v>0</v>
      </c>
      <c r="CC48" s="128">
        <f>SUMIF('603-699'!$1:$1,CC$3,'603-699'!21:21)</f>
        <v>0</v>
      </c>
      <c r="CD48" s="128">
        <f>SUMIF('603-699'!$1:$1,CD$3,'603-699'!21:21)</f>
        <v>620</v>
      </c>
      <c r="CE48" s="128">
        <f>SUMIF('603-699'!$1:$1,CE$3,'603-699'!21:21)</f>
        <v>4152</v>
      </c>
      <c r="CF48" s="128">
        <f>SUMIF('603-699'!$1:$1,CF$3,'603-699'!21:21)</f>
        <v>0</v>
      </c>
      <c r="CG48" s="257">
        <f t="shared" si="20"/>
        <v>-154122.68000000005</v>
      </c>
      <c r="CJ48" s="122"/>
      <c r="CK48" s="169">
        <f>INDEX(SAP!C:C,MATCH('Actuals mapped to CFR'!A48,SAP!H:H,FALSE),1)</f>
        <v>-154122.68</v>
      </c>
      <c r="CL48" s="59">
        <f t="shared" si="15"/>
        <v>0</v>
      </c>
      <c r="CN48" s="81">
        <f t="shared" si="21"/>
        <v>696373.37</v>
      </c>
      <c r="CO48" s="81">
        <f t="shared" si="22"/>
        <v>692184.47000000009</v>
      </c>
      <c r="CP48" s="166">
        <f>VLOOKUP(B48,'2526 GBP Data input'!$A$4:$CA$230,38,FALSE)</f>
        <v>683972</v>
      </c>
      <c r="CQ48" s="166">
        <f>VLOOKUP(B48,'2526 GBP Data input'!$A$4:$CA$230,73,FALSE)</f>
        <v>16902</v>
      </c>
      <c r="CR48" s="89">
        <f t="shared" si="25"/>
        <v>12401.369999999995</v>
      </c>
      <c r="CS48" s="83">
        <f t="shared" si="26"/>
        <v>40.952814459827245</v>
      </c>
      <c r="CT48" s="82">
        <f t="shared" si="23"/>
        <v>102873.04999999993</v>
      </c>
      <c r="CU48" s="82">
        <f t="shared" si="24"/>
        <v>15824.529999999999</v>
      </c>
      <c r="CV48" s="86">
        <f t="shared" si="10"/>
        <v>118697.57999999993</v>
      </c>
    </row>
    <row r="49" spans="1:100" ht="12.75" customHeight="1">
      <c r="A49" s="238">
        <v>107683</v>
      </c>
      <c r="B49" s="60">
        <v>683</v>
      </c>
      <c r="C49" s="60" t="s">
        <v>244</v>
      </c>
      <c r="D49" s="128">
        <f>SUMIF('603-699'!$1:$1,D$3,'603-699'!22:22)</f>
        <v>-220790.55</v>
      </c>
      <c r="E49" s="128">
        <f>SUMIF('603-699'!$1:$1,E$3,'603-699'!22:22)</f>
        <v>-17775.650000000001</v>
      </c>
      <c r="F49" s="128">
        <f>SUMIF('603-699'!$1:$1,F$3,'603-699'!22:22)</f>
        <v>0</v>
      </c>
      <c r="G49" s="128">
        <f>SUMIF('603-699'!$1:$1,G$3,'603-699'!22:22)</f>
        <v>-25763.06</v>
      </c>
      <c r="H49" s="128">
        <f>SUMIF('603-699'!$1:$1,H$3,'603-699'!22:22)</f>
        <v>0</v>
      </c>
      <c r="I49" s="128">
        <f>SUMIF('603-699'!$1:$1,I$3,'603-699'!22:22)</f>
        <v>0</v>
      </c>
      <c r="J49" s="128">
        <f>SUMIF('603-699'!$1:$1,J$3,'603-699'!22:22)</f>
        <v>0</v>
      </c>
      <c r="K49" s="128">
        <f>SUMIF('603-699'!$1:$1,K$3,'603-699'!22:22)</f>
        <v>-817658.23</v>
      </c>
      <c r="L49" s="128">
        <f>SUMIF('603-699'!$1:$1,L$3,'603-699'!22:22)</f>
        <v>0</v>
      </c>
      <c r="M49" s="128">
        <f>SUMIF('603-699'!$1:$1,M$3,'603-699'!22:22)</f>
        <v>-132584</v>
      </c>
      <c r="N49" s="128">
        <f>SUMIF('603-699'!$1:$1,N$3,'603-699'!22:22)</f>
        <v>-14760</v>
      </c>
      <c r="O49" s="128">
        <f>SUMIF('603-699'!$1:$1,O$3,'603-699'!22:22)</f>
        <v>-46755</v>
      </c>
      <c r="P49" s="128">
        <f>SUMIF('603-699'!$1:$1,P$3,'603-699'!22:22)</f>
        <v>-78117.929999999993</v>
      </c>
      <c r="Q49" s="128">
        <f>SUMIF('603-699'!$1:$1,Q$3,'603-699'!22:22)</f>
        <v>0</v>
      </c>
      <c r="R49" s="128">
        <f>SUMIF('603-699'!$1:$1,R$3,'603-699'!22:22)</f>
        <v>0</v>
      </c>
      <c r="S49" s="128">
        <f>SUMIF('603-699'!$1:$1,S$3,'603-699'!22:22)</f>
        <v>-23962.68</v>
      </c>
      <c r="T49" s="128">
        <f>SUMIF('603-699'!$1:$1,T$3,'603-699'!22:22)</f>
        <v>0</v>
      </c>
      <c r="U49" s="128">
        <f>SUMIF('603-699'!$1:$1,U$3,'603-699'!22:22)</f>
        <v>0</v>
      </c>
      <c r="V49" s="128">
        <f>SUMIF('603-699'!$1:$1,V$3,'603-699'!22:22)</f>
        <v>0</v>
      </c>
      <c r="W49" s="128">
        <f>SUMIF('603-699'!$1:$1,W$3,'603-699'!22:22)</f>
        <v>-2704.2999999999997</v>
      </c>
      <c r="X49" s="128">
        <f>SUMIF('603-699'!$1:$1,X$3,'603-699'!22:22)</f>
        <v>-1260</v>
      </c>
      <c r="Y49" s="164">
        <f>SUMIF('603-699'!$1:$1,Y$3,'603-699'!22:22)</f>
        <v>0</v>
      </c>
      <c r="Z49" s="128">
        <f>SUMIF('603-699'!$1:$1,Z$3,'603-699'!22:22)</f>
        <v>0</v>
      </c>
      <c r="AA49" s="128">
        <f>SUMIF('603-699'!$1:$1,AA$3,'603-699'!22:22)</f>
        <v>0</v>
      </c>
      <c r="AB49" s="128">
        <f>SUMIF('603-699'!$1:$1,AB$3,'603-699'!22:22)</f>
        <v>0</v>
      </c>
      <c r="AC49" s="314">
        <f>SUMIF('603-699'!$1:$1,AC$3,'603-699'!22:22)</f>
        <v>0</v>
      </c>
      <c r="AD49" s="314">
        <f>SUMIF('603-699'!$1:$1,AD$3,'603-699'!22:22)</f>
        <v>0</v>
      </c>
      <c r="AE49" s="314">
        <f>SUMIF('603-699'!$1:$1,AE$3,'603-699'!22:22)</f>
        <v>0</v>
      </c>
      <c r="AF49" s="314">
        <f>SUMIF('603-699'!$1:$1,AF$3,'603-699'!22:22)</f>
        <v>0</v>
      </c>
      <c r="AG49" s="128">
        <f>SUMIF('603-699'!$1:$1,AG$3,'603-699'!22:22)</f>
        <v>472728.23</v>
      </c>
      <c r="AH49" s="128">
        <f>SUMIF('603-699'!$1:$1,AH$3,'603-699'!22:22)</f>
        <v>1281.56</v>
      </c>
      <c r="AI49" s="128">
        <f>SUMIF('603-699'!$1:$1,AI$3,'603-699'!22:22)</f>
        <v>235664.68999999997</v>
      </c>
      <c r="AJ49" s="128">
        <f>SUMIF('603-699'!$1:$1,AJ$3,'603-699'!22:22)</f>
        <v>15566.17</v>
      </c>
      <c r="AK49" s="128">
        <f>SUMIF('603-699'!$1:$1,AK$3,'603-699'!22:22)</f>
        <v>37935.980000000003</v>
      </c>
      <c r="AL49" s="128">
        <f>SUMIF('603-699'!$1:$1,AL$3,'603-699'!22:22)</f>
        <v>0</v>
      </c>
      <c r="AM49" s="128">
        <f>SUMIF('603-699'!$1:$1,AM$3,'603-699'!22:22)</f>
        <v>16803.04</v>
      </c>
      <c r="AN49" s="128">
        <f>SUMIF('603-699'!$1:$1,AN$3,'603-699'!22:22)</f>
        <v>2676.26</v>
      </c>
      <c r="AO49" s="128">
        <f>SUMIF('603-699'!$1:$1,AO$3,'603-699'!22:22)</f>
        <v>3656.5</v>
      </c>
      <c r="AP49" s="128">
        <f>SUMIF('603-699'!$1:$1,AP$3,'603-699'!22:22)</f>
        <v>399.55</v>
      </c>
      <c r="AQ49" s="128">
        <f>SUMIF('603-699'!$1:$1,AQ$3,'603-699'!22:22)</f>
        <v>0</v>
      </c>
      <c r="AR49" s="128">
        <f>SUMIF('603-699'!$1:$1,AR$3,'603-699'!22:22)</f>
        <v>20134.880000000005</v>
      </c>
      <c r="AS49" s="128">
        <f>SUMIF('603-699'!$1:$1,AS$3,'603-699'!22:22)</f>
        <v>6025.8599999999988</v>
      </c>
      <c r="AT49" s="128">
        <f>SUMIF('603-699'!$1:$1,AT$3,'603-699'!22:22)</f>
        <v>20204.369999999995</v>
      </c>
      <c r="AU49" s="128">
        <f>SUMIF('603-699'!$1:$1,AU$3,'603-699'!22:22)</f>
        <v>4712.1499999999996</v>
      </c>
      <c r="AV49" s="128">
        <f>SUMIF('603-699'!$1:$1,AV$3,'603-699'!22:22)</f>
        <v>10887.93</v>
      </c>
      <c r="AW49" s="128">
        <f>SUMIF('603-699'!$1:$1,AW$3,'603-699'!22:22)</f>
        <v>15094.75</v>
      </c>
      <c r="AX49" s="128">
        <f>SUMIF('603-699'!$1:$1,AX$3,'603-699'!22:22)</f>
        <v>3523.6</v>
      </c>
      <c r="AY49" s="128">
        <f>SUMIF('603-699'!$1:$1,AY$3,'603-699'!22:22)</f>
        <v>16316.179999999998</v>
      </c>
      <c r="AZ49" s="314">
        <f>SUMIF('603-699'!$1:$1,AZ$3,'603-699'!22:22)</f>
        <v>0</v>
      </c>
      <c r="BA49" s="128">
        <f>SUMIF('603-699'!$1:$1,BA$3,'603-699'!22:22)</f>
        <v>4573.6499999999996</v>
      </c>
      <c r="BB49" s="128">
        <f>SUMIF('603-699'!$1:$1,BB$3,'603-699'!22:22)</f>
        <v>0</v>
      </c>
      <c r="BC49" s="128">
        <f>SUMIF('603-699'!$1:$1,BC$3,'603-699'!22:22)</f>
        <v>1222.99</v>
      </c>
      <c r="BD49" s="128">
        <f>SUMIF('603-699'!$1:$1,BD$3,'603-699'!22:22)</f>
        <v>10595.07</v>
      </c>
      <c r="BE49" s="128">
        <f>SUMIF('603-699'!$1:$1,BE$3,'603-699'!22:22)</f>
        <v>7155.1099999999988</v>
      </c>
      <c r="BF49" s="128">
        <f>SUMIF('603-699'!$1:$1,BF$3,'603-699'!22:22)</f>
        <v>521.49</v>
      </c>
      <c r="BG49" s="128">
        <f>SUMIF('603-699'!$1:$1,BG$3,'603-699'!22:22)</f>
        <v>6211.5</v>
      </c>
      <c r="BH49" s="128">
        <f>SUMIF('603-699'!$1:$1,BH$3,'603-699'!22:22)</f>
        <v>0</v>
      </c>
      <c r="BI49" s="128">
        <f>SUMIF('603-699'!$1:$1,BI$3,'603-699'!22:22)</f>
        <v>1582.5500000000002</v>
      </c>
      <c r="BJ49" s="128">
        <f>SUMIF('603-699'!$1:$1,BJ$3,'603-699'!22:22)</f>
        <v>7071.38</v>
      </c>
      <c r="BK49" s="128">
        <f>SUMIF('603-699'!$1:$1,BK$3,'603-699'!22:22)</f>
        <v>0</v>
      </c>
      <c r="BL49" s="128">
        <f>SUMIF('603-699'!$1:$1,BL$3,'603-699'!22:22)</f>
        <v>50763.68</v>
      </c>
      <c r="BM49" s="128">
        <f>SUMIF('603-699'!$1:$1,BM$3,'603-699'!22:22)</f>
        <v>29910</v>
      </c>
      <c r="BN49" s="128">
        <f>SUMIF('603-699'!$1:$1,BN$3,'603-699'!22:22)</f>
        <v>81130.5</v>
      </c>
      <c r="BO49" s="128">
        <f>SUMIF('603-699'!$1:$1,BO$3,'603-699'!22:22)</f>
        <v>18205.52</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-5406.25</v>
      </c>
      <c r="BV49" s="128">
        <f>SUMIF('603-699'!$1:$1,BV$3,'603-699'!22:22)</f>
        <v>0</v>
      </c>
      <c r="BW49" s="128">
        <f>SUMIF('603-699'!$1:$1,BW$3,'603-699'!22:22)</f>
        <v>0</v>
      </c>
      <c r="BX49" s="128">
        <f>SUMIF('603-699'!$1:$1,BX$3,'603-699'!22:22)</f>
        <v>0</v>
      </c>
      <c r="BY49" s="128">
        <f>SUMIF('603-699'!$1:$1,BY$3,'603-699'!22:22)</f>
        <v>13135</v>
      </c>
      <c r="BZ49" s="128">
        <f>SUMIF('603-699'!$1:$1,BZ$3,'603-699'!22:22)</f>
        <v>0</v>
      </c>
      <c r="CA49" s="314">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7">
        <f t="shared" si="20"/>
        <v>-271847.50999999978</v>
      </c>
      <c r="CJ49" s="122"/>
      <c r="CK49" s="169">
        <f>INDEX(SAP!C:C,MATCH('Actuals mapped to CFR'!A49,SAP!H:H,FALSE),1)</f>
        <v>-271847.51</v>
      </c>
      <c r="CL49" s="59">
        <f t="shared" si="15"/>
        <v>0</v>
      </c>
      <c r="CN49" s="81">
        <f t="shared" si="21"/>
        <v>1117802.1399999999</v>
      </c>
      <c r="CO49" s="81">
        <f t="shared" si="22"/>
        <v>1102555.1400000001</v>
      </c>
      <c r="CP49" s="166">
        <f>VLOOKUP(B49,'2526 GBP Data input'!$A$4:$CA$230,38,FALSE)</f>
        <v>979929</v>
      </c>
      <c r="CQ49" s="166">
        <f>VLOOKUP(B49,'2526 GBP Data input'!$A$4:$CA$230,73,FALSE)</f>
        <v>11411</v>
      </c>
      <c r="CR49" s="89">
        <f t="shared" si="25"/>
        <v>137873.1399999999</v>
      </c>
      <c r="CS49" s="83">
        <f t="shared" si="26"/>
        <v>96.622131276838147</v>
      </c>
      <c r="CT49" s="82">
        <f t="shared" si="23"/>
        <v>236037.54999999981</v>
      </c>
      <c r="CU49" s="82">
        <f t="shared" si="24"/>
        <v>18034.310000000001</v>
      </c>
      <c r="CV49" s="86">
        <f t="shared" si="10"/>
        <v>254071.85999999981</v>
      </c>
    </row>
    <row r="50" spans="1:100" ht="12.75" customHeight="1">
      <c r="A50" s="238">
        <v>107686</v>
      </c>
      <c r="B50" s="60">
        <v>686</v>
      </c>
      <c r="C50" s="60" t="s">
        <v>395</v>
      </c>
      <c r="D50" s="128">
        <f>SUMIF('603-699'!$1:$1,D$3,'603-699'!23:23)</f>
        <v>-106754.46</v>
      </c>
      <c r="E50" s="128">
        <f>SUMIF('603-699'!$1:$1,E$3,'603-699'!23:23)</f>
        <v>-2368.37</v>
      </c>
      <c r="F50" s="128">
        <f>SUMIF('603-699'!$1:$1,F$3,'603-699'!23:23)</f>
        <v>0</v>
      </c>
      <c r="G50" s="128">
        <f>SUMIF('603-699'!$1:$1,G$3,'603-699'!23:23)</f>
        <v>-9703.82</v>
      </c>
      <c r="H50" s="128">
        <f>SUMIF('603-699'!$1:$1,H$3,'603-699'!23:23)</f>
        <v>0</v>
      </c>
      <c r="I50" s="128">
        <f>SUMIF('603-699'!$1:$1,I$3,'603-699'!23:23)</f>
        <v>0</v>
      </c>
      <c r="J50" s="128">
        <f>SUMIF('603-699'!$1:$1,J$3,'603-699'!23:23)</f>
        <v>0</v>
      </c>
      <c r="K50" s="128">
        <f>SUMIF('603-699'!$1:$1,K$3,'603-699'!23:23)</f>
        <v>-1088337.5</v>
      </c>
      <c r="L50" s="128">
        <f>SUMIF('603-699'!$1:$1,L$3,'603-699'!23:23)</f>
        <v>0</v>
      </c>
      <c r="M50" s="128">
        <f>SUMIF('603-699'!$1:$1,M$3,'603-699'!23:23)</f>
        <v>-123628</v>
      </c>
      <c r="N50" s="128">
        <f>SUMIF('603-699'!$1:$1,N$3,'603-699'!23:23)</f>
        <v>0</v>
      </c>
      <c r="O50" s="128">
        <f>SUMIF('603-699'!$1:$1,O$3,'603-699'!23:23)</f>
        <v>-29265</v>
      </c>
      <c r="P50" s="128">
        <f>SUMIF('603-699'!$1:$1,P$3,'603-699'!23:23)</f>
        <v>-53941.29</v>
      </c>
      <c r="Q50" s="128">
        <f>SUMIF('603-699'!$1:$1,Q$3,'603-699'!23:23)</f>
        <v>-1600</v>
      </c>
      <c r="R50" s="128">
        <f>SUMIF('603-699'!$1:$1,R$3,'603-699'!23:23)</f>
        <v>0</v>
      </c>
      <c r="S50" s="128">
        <f>SUMIF('603-699'!$1:$1,S$3,'603-699'!23:23)</f>
        <v>-64870.19</v>
      </c>
      <c r="T50" s="128">
        <f>SUMIF('603-699'!$1:$1,T$3,'603-699'!23:23)</f>
        <v>-2968.78</v>
      </c>
      <c r="U50" s="128">
        <f>SUMIF('603-699'!$1:$1,U$3,'603-699'!23:23)</f>
        <v>-10965</v>
      </c>
      <c r="V50" s="128">
        <f>SUMIF('603-699'!$1:$1,V$3,'603-699'!23:23)</f>
        <v>0</v>
      </c>
      <c r="W50" s="128">
        <f>SUMIF('603-699'!$1:$1,W$3,'603-699'!23:23)</f>
        <v>-16206.989999999998</v>
      </c>
      <c r="X50" s="128">
        <f>SUMIF('603-699'!$1:$1,X$3,'603-699'!23:23)</f>
        <v>-11081.63</v>
      </c>
      <c r="Y50" s="164">
        <f>SUMIF('603-699'!$1:$1,Y$3,'603-699'!23:23)</f>
        <v>0</v>
      </c>
      <c r="Z50" s="128">
        <f>SUMIF('603-699'!$1:$1,Z$3,'603-699'!23:23)</f>
        <v>0</v>
      </c>
      <c r="AA50" s="128">
        <f>SUMIF('603-699'!$1:$1,AA$3,'603-699'!23:23)</f>
        <v>0</v>
      </c>
      <c r="AB50" s="128">
        <f>SUMIF('603-699'!$1:$1,AB$3,'603-699'!23:23)</f>
        <v>0</v>
      </c>
      <c r="AC50" s="314">
        <f>SUMIF('603-699'!$1:$1,AC$3,'603-699'!23:23)</f>
        <v>0</v>
      </c>
      <c r="AD50" s="314">
        <f>SUMIF('603-699'!$1:$1,AD$3,'603-699'!23:23)</f>
        <v>0</v>
      </c>
      <c r="AE50" s="314">
        <f>SUMIF('603-699'!$1:$1,AE$3,'603-699'!23:23)</f>
        <v>0</v>
      </c>
      <c r="AF50" s="314">
        <f>SUMIF('603-699'!$1:$1,AF$3,'603-699'!23:23)</f>
        <v>0</v>
      </c>
      <c r="AG50" s="128">
        <f>SUMIF('603-699'!$1:$1,AG$3,'603-699'!23:23)</f>
        <v>684811.82000000007</v>
      </c>
      <c r="AH50" s="128">
        <f>SUMIF('603-699'!$1:$1,AH$3,'603-699'!23:23)</f>
        <v>26739.620000000003</v>
      </c>
      <c r="AI50" s="128">
        <f>SUMIF('603-699'!$1:$1,AI$3,'603-699'!23:23)</f>
        <v>254270.98000000004</v>
      </c>
      <c r="AJ50" s="128">
        <f>SUMIF('603-699'!$1:$1,AJ$3,'603-699'!23:23)</f>
        <v>42004.929999999993</v>
      </c>
      <c r="AK50" s="128">
        <f>SUMIF('603-699'!$1:$1,AK$3,'603-699'!23:23)</f>
        <v>76709.23</v>
      </c>
      <c r="AL50" s="128">
        <f>SUMIF('603-699'!$1:$1,AL$3,'603-699'!23:23)</f>
        <v>0</v>
      </c>
      <c r="AM50" s="128">
        <f>SUMIF('603-699'!$1:$1,AM$3,'603-699'!23:23)</f>
        <v>85498.1</v>
      </c>
      <c r="AN50" s="128">
        <f>SUMIF('603-699'!$1:$1,AN$3,'603-699'!23:23)</f>
        <v>4656</v>
      </c>
      <c r="AO50" s="128">
        <f>SUMIF('603-699'!$1:$1,AO$3,'603-699'!23:23)</f>
        <v>3752.73</v>
      </c>
      <c r="AP50" s="128">
        <f>SUMIF('603-699'!$1:$1,AP$3,'603-699'!23:23)</f>
        <v>9559.49</v>
      </c>
      <c r="AQ50" s="128">
        <f>SUMIF('603-699'!$1:$1,AQ$3,'603-699'!23:23)</f>
        <v>0</v>
      </c>
      <c r="AR50" s="128">
        <f>SUMIF('603-699'!$1:$1,AR$3,'603-699'!23:23)</f>
        <v>11529.629999999997</v>
      </c>
      <c r="AS50" s="128">
        <f>SUMIF('603-699'!$1:$1,AS$3,'603-699'!23:23)</f>
        <v>3249.4399999999996</v>
      </c>
      <c r="AT50" s="128">
        <f>SUMIF('603-699'!$1:$1,AT$3,'603-699'!23:23)</f>
        <v>2147.41</v>
      </c>
      <c r="AU50" s="128">
        <f>SUMIF('603-699'!$1:$1,AU$3,'603-699'!23:23)</f>
        <v>830.62999999999988</v>
      </c>
      <c r="AV50" s="128">
        <f>SUMIF('603-699'!$1:$1,AV$3,'603-699'!23:23)</f>
        <v>19361.82</v>
      </c>
      <c r="AW50" s="128">
        <f>SUMIF('603-699'!$1:$1,AW$3,'603-699'!23:23)</f>
        <v>7485</v>
      </c>
      <c r="AX50" s="128">
        <f>SUMIF('603-699'!$1:$1,AX$3,'603-699'!23:23)</f>
        <v>7796.42</v>
      </c>
      <c r="AY50" s="128">
        <f>SUMIF('603-699'!$1:$1,AY$3,'603-699'!23:23)</f>
        <v>54181.800000000017</v>
      </c>
      <c r="AZ50" s="314">
        <f>SUMIF('603-699'!$1:$1,AZ$3,'603-699'!23:23)</f>
        <v>0</v>
      </c>
      <c r="BA50" s="128">
        <f>SUMIF('603-699'!$1:$1,BA$3,'603-699'!23:23)</f>
        <v>2600</v>
      </c>
      <c r="BB50" s="128">
        <f>SUMIF('603-699'!$1:$1,BB$3,'603-699'!23:23)</f>
        <v>180</v>
      </c>
      <c r="BC50" s="128">
        <f>SUMIF('603-699'!$1:$1,BC$3,'603-699'!23:23)</f>
        <v>1513.66</v>
      </c>
      <c r="BD50" s="128">
        <f>SUMIF('603-699'!$1:$1,BD$3,'603-699'!23:23)</f>
        <v>4974.26</v>
      </c>
      <c r="BE50" s="128">
        <f>SUMIF('603-699'!$1:$1,BE$3,'603-699'!23:23)</f>
        <v>538</v>
      </c>
      <c r="BF50" s="128">
        <f>SUMIF('603-699'!$1:$1,BF$3,'603-699'!23:23)</f>
        <v>64.47</v>
      </c>
      <c r="BG50" s="128">
        <f>SUMIF('603-699'!$1:$1,BG$3,'603-699'!23:23)</f>
        <v>5235.6399999999994</v>
      </c>
      <c r="BH50" s="128">
        <f>SUMIF('603-699'!$1:$1,BH$3,'603-699'!23:23)</f>
        <v>0</v>
      </c>
      <c r="BI50" s="128">
        <f>SUMIF('603-699'!$1:$1,BI$3,'603-699'!23:23)</f>
        <v>5344.27</v>
      </c>
      <c r="BJ50" s="128">
        <f>SUMIF('603-699'!$1:$1,BJ$3,'603-699'!23:23)</f>
        <v>11173.86</v>
      </c>
      <c r="BK50" s="128">
        <f>SUMIF('603-699'!$1:$1,BK$3,'603-699'!23:23)</f>
        <v>0</v>
      </c>
      <c r="BL50" s="128">
        <f>SUMIF('603-699'!$1:$1,BL$3,'603-699'!23:23)</f>
        <v>46802.080000000002</v>
      </c>
      <c r="BM50" s="128">
        <f>SUMIF('603-699'!$1:$1,BM$3,'603-699'!23:23)</f>
        <v>15572</v>
      </c>
      <c r="BN50" s="128">
        <f>SUMIF('603-699'!$1:$1,BN$3,'603-699'!23:23)</f>
        <v>61797.19</v>
      </c>
      <c r="BO50" s="128">
        <f>SUMIF('603-699'!$1:$1,BO$3,'603-699'!23:23)</f>
        <v>27471.850000000006</v>
      </c>
      <c r="BP50" s="128">
        <f>SUMIF('603-699'!$1:$1,BP$3,'603-699'!23:23)</f>
        <v>0</v>
      </c>
      <c r="BQ50" s="128">
        <f>SUMIF('603-699'!$1:$1,BQ$3,'603-699'!23:23)</f>
        <v>0</v>
      </c>
      <c r="BR50" s="128">
        <f>SUMIF('603-699'!$1:$1,BR$3,'603-699'!23:23)</f>
        <v>0</v>
      </c>
      <c r="BS50" s="128">
        <f>SUMIF('603-699'!$1:$1,BS$3,'603-699'!23:23)</f>
        <v>0</v>
      </c>
      <c r="BT50" s="128">
        <f>SUMIF('603-699'!$1:$1,BT$3,'603-699'!23:23)</f>
        <v>0</v>
      </c>
      <c r="BU50" s="128">
        <f>SUMIF('603-699'!$1:$1,BU$3,'603-699'!23:23)</f>
        <v>-6317.5</v>
      </c>
      <c r="BV50" s="128">
        <f>SUMIF('603-699'!$1:$1,BV$3,'603-699'!23:23)</f>
        <v>0</v>
      </c>
      <c r="BW50" s="128">
        <f>SUMIF('603-699'!$1:$1,BW$3,'603-699'!23:23)</f>
        <v>0</v>
      </c>
      <c r="BX50" s="128">
        <f>SUMIF('603-699'!$1:$1,BX$3,'603-699'!23:23)</f>
        <v>0</v>
      </c>
      <c r="BY50" s="128">
        <f>SUMIF('603-699'!$1:$1,BY$3,'603-699'!23:23)</f>
        <v>0</v>
      </c>
      <c r="BZ50" s="128">
        <f>SUMIF('603-699'!$1:$1,BZ$3,'603-699'!23:23)</f>
        <v>0</v>
      </c>
      <c r="CA50" s="314">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7">
        <f t="shared" si="20"/>
        <v>-50156.199999999633</v>
      </c>
      <c r="CJ50" s="122"/>
      <c r="CK50" s="169">
        <f>INDEX(SAP!C:C,MATCH('Actuals mapped to CFR'!A50,SAP!H:H,FALSE),1)</f>
        <v>-50156.2</v>
      </c>
      <c r="CL50" s="59">
        <f t="shared" si="15"/>
        <v>0</v>
      </c>
      <c r="CN50" s="81">
        <f t="shared" si="21"/>
        <v>1402864.38</v>
      </c>
      <c r="CO50" s="81">
        <f t="shared" si="22"/>
        <v>1477852.3299999998</v>
      </c>
      <c r="CP50" s="166">
        <f>VLOOKUP(B50,'2526 GBP Data input'!$A$4:$CA$230,38,FALSE)</f>
        <v>1323214</v>
      </c>
      <c r="CQ50" s="166">
        <f>VLOOKUP(B50,'2526 GBP Data input'!$A$4:$CA$230,73,FALSE)</f>
        <v>23882</v>
      </c>
      <c r="CR50" s="89">
        <f t="shared" si="25"/>
        <v>79650.379999999888</v>
      </c>
      <c r="CS50" s="83">
        <f t="shared" si="26"/>
        <v>61.881430784691396</v>
      </c>
      <c r="CT50" s="82">
        <f t="shared" si="23"/>
        <v>31766.510000000009</v>
      </c>
      <c r="CU50" s="82">
        <f t="shared" si="24"/>
        <v>16021.32</v>
      </c>
      <c r="CV50" s="86">
        <f t="shared" si="10"/>
        <v>47787.830000000009</v>
      </c>
    </row>
    <row r="51" spans="1:100" ht="12.75" customHeight="1">
      <c r="A51" s="238">
        <v>107691</v>
      </c>
      <c r="B51" s="60">
        <v>691</v>
      </c>
      <c r="C51" s="60" t="s">
        <v>192</v>
      </c>
      <c r="D51" s="128">
        <f>SUMIF('603-699'!$1:$1,D$3,'603-699'!24:24)</f>
        <v>-55106.55</v>
      </c>
      <c r="E51" s="128">
        <f>SUMIF('603-699'!$1:$1,E$3,'603-699'!24:24)</f>
        <v>-29325.46</v>
      </c>
      <c r="F51" s="128">
        <f>SUMIF('603-699'!$1:$1,F$3,'603-699'!24:24)</f>
        <v>0</v>
      </c>
      <c r="G51" s="128">
        <f>SUMIF('603-699'!$1:$1,G$3,'603-699'!24:24)</f>
        <v>1352.67</v>
      </c>
      <c r="H51" s="128">
        <f>SUMIF('603-699'!$1:$1,H$3,'603-699'!24:24)</f>
        <v>0</v>
      </c>
      <c r="I51" s="128">
        <f>SUMIF('603-699'!$1:$1,I$3,'603-699'!24:24)</f>
        <v>0</v>
      </c>
      <c r="J51" s="128">
        <f>SUMIF('603-699'!$1:$1,J$3,'603-699'!24:24)</f>
        <v>0</v>
      </c>
      <c r="K51" s="128">
        <f>SUMIF('603-699'!$1:$1,K$3,'603-699'!24:24)</f>
        <v>-602069.04</v>
      </c>
      <c r="L51" s="128">
        <f>SUMIF('603-699'!$1:$1,L$3,'603-699'!24:24)</f>
        <v>0</v>
      </c>
      <c r="M51" s="128">
        <f>SUMIF('603-699'!$1:$1,M$3,'603-699'!24:24)</f>
        <v>-45689.45</v>
      </c>
      <c r="N51" s="128">
        <f>SUMIF('603-699'!$1:$1,N$3,'603-699'!24:24)</f>
        <v>0</v>
      </c>
      <c r="O51" s="128">
        <f>SUMIF('603-699'!$1:$1,O$3,'603-699'!24:24)</f>
        <v>-30900</v>
      </c>
      <c r="P51" s="128">
        <f>SUMIF('603-699'!$1:$1,P$3,'603-699'!24:24)</f>
        <v>-42176.6</v>
      </c>
      <c r="Q51" s="128">
        <f>SUMIF('603-699'!$1:$1,Q$3,'603-699'!24:24)</f>
        <v>-750</v>
      </c>
      <c r="R51" s="128">
        <f>SUMIF('603-699'!$1:$1,R$3,'603-699'!24:24)</f>
        <v>0</v>
      </c>
      <c r="S51" s="128">
        <f>SUMIF('603-699'!$1:$1,S$3,'603-699'!24:24)</f>
        <v>-45267.46</v>
      </c>
      <c r="T51" s="128">
        <f>SUMIF('603-699'!$1:$1,T$3,'603-699'!24:24)</f>
        <v>98.2</v>
      </c>
      <c r="U51" s="128">
        <f>SUMIF('603-699'!$1:$1,U$3,'603-699'!24:24)</f>
        <v>-456</v>
      </c>
      <c r="V51" s="128">
        <f>SUMIF('603-699'!$1:$1,V$3,'603-699'!24:24)</f>
        <v>0</v>
      </c>
      <c r="W51" s="128">
        <f>SUMIF('603-699'!$1:$1,W$3,'603-699'!24:24)</f>
        <v>-6019.7200000000012</v>
      </c>
      <c r="X51" s="128">
        <f>SUMIF('603-699'!$1:$1,X$3,'603-699'!24:24)</f>
        <v>-2303.71</v>
      </c>
      <c r="Y51" s="164">
        <f>SUMIF('603-699'!$1:$1,Y$3,'603-699'!24:24)</f>
        <v>0</v>
      </c>
      <c r="Z51" s="128">
        <f>SUMIF('603-699'!$1:$1,Z$3,'603-699'!24:24)</f>
        <v>0</v>
      </c>
      <c r="AA51" s="128">
        <f>SUMIF('603-699'!$1:$1,AA$3,'603-699'!24:24)</f>
        <v>0</v>
      </c>
      <c r="AB51" s="128">
        <f>SUMIF('603-699'!$1:$1,AB$3,'603-699'!24:24)</f>
        <v>0</v>
      </c>
      <c r="AC51" s="314">
        <f>SUMIF('603-699'!$1:$1,AC$3,'603-699'!24:24)</f>
        <v>0</v>
      </c>
      <c r="AD51" s="314">
        <f>SUMIF('603-699'!$1:$1,AD$3,'603-699'!24:24)</f>
        <v>0</v>
      </c>
      <c r="AE51" s="314">
        <f>SUMIF('603-699'!$1:$1,AE$3,'603-699'!24:24)</f>
        <v>0</v>
      </c>
      <c r="AF51" s="314">
        <f>SUMIF('603-699'!$1:$1,AF$3,'603-699'!24:24)</f>
        <v>0</v>
      </c>
      <c r="AG51" s="128">
        <f>SUMIF('603-699'!$1:$1,AG$3,'603-699'!24:24)</f>
        <v>424872.14999999997</v>
      </c>
      <c r="AH51" s="128">
        <f>SUMIF('603-699'!$1:$1,AH$3,'603-699'!24:24)</f>
        <v>958.63</v>
      </c>
      <c r="AI51" s="128">
        <f>SUMIF('603-699'!$1:$1,AI$3,'603-699'!24:24)</f>
        <v>167591.19</v>
      </c>
      <c r="AJ51" s="128">
        <f>SUMIF('603-699'!$1:$1,AJ$3,'603-699'!24:24)</f>
        <v>3319.6699999999992</v>
      </c>
      <c r="AK51" s="128">
        <f>SUMIF('603-699'!$1:$1,AK$3,'603-699'!24:24)</f>
        <v>66907.200000000012</v>
      </c>
      <c r="AL51" s="128">
        <f>SUMIF('603-699'!$1:$1,AL$3,'603-699'!24:24)</f>
        <v>0</v>
      </c>
      <c r="AM51" s="128">
        <f>SUMIF('603-699'!$1:$1,AM$3,'603-699'!24:24)</f>
        <v>9063.1999999999989</v>
      </c>
      <c r="AN51" s="128">
        <f>SUMIF('603-699'!$1:$1,AN$3,'603-699'!24:24)</f>
        <v>3575.02</v>
      </c>
      <c r="AO51" s="128">
        <f>SUMIF('603-699'!$1:$1,AO$3,'603-699'!24:24)</f>
        <v>3431.38</v>
      </c>
      <c r="AP51" s="128">
        <f>SUMIF('603-699'!$1:$1,AP$3,'603-699'!24:24)</f>
        <v>2196.65</v>
      </c>
      <c r="AQ51" s="128">
        <f>SUMIF('603-699'!$1:$1,AQ$3,'603-699'!24:24)</f>
        <v>0</v>
      </c>
      <c r="AR51" s="128">
        <f>SUMIF('603-699'!$1:$1,AR$3,'603-699'!24:24)</f>
        <v>4356.32</v>
      </c>
      <c r="AS51" s="128">
        <f>SUMIF('603-699'!$1:$1,AS$3,'603-699'!24:24)</f>
        <v>0</v>
      </c>
      <c r="AT51" s="128">
        <f>SUMIF('603-699'!$1:$1,AT$3,'603-699'!24:24)</f>
        <v>11134.930000000002</v>
      </c>
      <c r="AU51" s="128">
        <f>SUMIF('603-699'!$1:$1,AU$3,'603-699'!24:24)</f>
        <v>1795.02</v>
      </c>
      <c r="AV51" s="128">
        <f>SUMIF('603-699'!$1:$1,AV$3,'603-699'!24:24)</f>
        <v>5507.41</v>
      </c>
      <c r="AW51" s="128">
        <f>SUMIF('603-699'!$1:$1,AW$3,'603-699'!24:24)</f>
        <v>11227.5</v>
      </c>
      <c r="AX51" s="128">
        <f>SUMIF('603-699'!$1:$1,AX$3,'603-699'!24:24)</f>
        <v>1824.4699999999998</v>
      </c>
      <c r="AY51" s="128">
        <f>SUMIF('603-699'!$1:$1,AY$3,'603-699'!24:24)</f>
        <v>30631.55999999999</v>
      </c>
      <c r="AZ51" s="314">
        <f>SUMIF('603-699'!$1:$1,AZ$3,'603-699'!24:24)</f>
        <v>0</v>
      </c>
      <c r="BA51" s="128">
        <f>SUMIF('603-699'!$1:$1,BA$3,'603-699'!24:24)</f>
        <v>545.16</v>
      </c>
      <c r="BB51" s="128">
        <f>SUMIF('603-699'!$1:$1,BB$3,'603-699'!24:24)</f>
        <v>0</v>
      </c>
      <c r="BC51" s="128">
        <f>SUMIF('603-699'!$1:$1,BC$3,'603-699'!24:24)</f>
        <v>4638.07</v>
      </c>
      <c r="BD51" s="128">
        <f>SUMIF('603-699'!$1:$1,BD$3,'603-699'!24:24)</f>
        <v>0</v>
      </c>
      <c r="BE51" s="128">
        <f>SUMIF('603-699'!$1:$1,BE$3,'603-699'!24:24)</f>
        <v>0</v>
      </c>
      <c r="BF51" s="128">
        <f>SUMIF('603-699'!$1:$1,BF$3,'603-699'!24:24)</f>
        <v>0</v>
      </c>
      <c r="BG51" s="128">
        <f>SUMIF('603-699'!$1:$1,BG$3,'603-699'!24:24)</f>
        <v>3476.5</v>
      </c>
      <c r="BH51" s="128">
        <f>SUMIF('603-699'!$1:$1,BH$3,'603-699'!24:24)</f>
        <v>0</v>
      </c>
      <c r="BI51" s="128">
        <f>SUMIF('603-699'!$1:$1,BI$3,'603-699'!24:24)</f>
        <v>2084.92</v>
      </c>
      <c r="BJ51" s="128">
        <f>SUMIF('603-699'!$1:$1,BJ$3,'603-699'!24:24)</f>
        <v>5020.1399999999994</v>
      </c>
      <c r="BK51" s="128">
        <f>SUMIF('603-699'!$1:$1,BK$3,'603-699'!24:24)</f>
        <v>0</v>
      </c>
      <c r="BL51" s="128">
        <f>SUMIF('603-699'!$1:$1,BL$3,'603-699'!24:24)</f>
        <v>25517.010000000002</v>
      </c>
      <c r="BM51" s="128">
        <f>SUMIF('603-699'!$1:$1,BM$3,'603-699'!24:24)</f>
        <v>13082</v>
      </c>
      <c r="BN51" s="128">
        <f>SUMIF('603-699'!$1:$1,BN$3,'603-699'!24:24)</f>
        <v>9523.61</v>
      </c>
      <c r="BO51" s="128">
        <f>SUMIF('603-699'!$1:$1,BO$3,'603-699'!24:24)</f>
        <v>36611.54</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-5125</v>
      </c>
      <c r="BV51" s="128">
        <f>SUMIF('603-699'!$1:$1,BV$3,'603-699'!24:24)</f>
        <v>0</v>
      </c>
      <c r="BW51" s="128">
        <f>SUMIF('603-699'!$1:$1,BW$3,'603-699'!24:24)</f>
        <v>0</v>
      </c>
      <c r="BX51" s="128">
        <f>SUMIF('603-699'!$1:$1,BX$3,'603-699'!24:24)</f>
        <v>0</v>
      </c>
      <c r="BY51" s="128">
        <f>SUMIF('603-699'!$1:$1,BY$3,'603-699'!24:24)</f>
        <v>1987.67</v>
      </c>
      <c r="BZ51" s="128">
        <f>SUMIF('603-699'!$1:$1,BZ$3,'603-699'!24:24)</f>
        <v>0</v>
      </c>
      <c r="CA51" s="314">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7">
        <f t="shared" si="20"/>
        <v>-12859.199999999872</v>
      </c>
      <c r="CJ51" s="122"/>
      <c r="CK51" s="169">
        <f>INDEX(SAP!C:C,MATCH('Actuals mapped to CFR'!A51,SAP!H:H,FALSE),1)</f>
        <v>-12859.2</v>
      </c>
      <c r="CL51" s="59">
        <f t="shared" si="15"/>
        <v>0</v>
      </c>
      <c r="CN51" s="81">
        <f t="shared" si="21"/>
        <v>775533.77999999991</v>
      </c>
      <c r="CO51" s="81">
        <f t="shared" si="22"/>
        <v>848891.25000000012</v>
      </c>
      <c r="CP51" s="166">
        <f>VLOOKUP(B51,'2526 GBP Data input'!$A$4:$CA$230,38,FALSE)</f>
        <v>758864</v>
      </c>
      <c r="CQ51" s="166">
        <f>VLOOKUP(B51,'2526 GBP Data input'!$A$4:$CA$230,73,FALSE)</f>
        <v>32834</v>
      </c>
      <c r="CR51" s="89">
        <f t="shared" si="25"/>
        <v>16669.779999999912</v>
      </c>
      <c r="CS51" s="83">
        <f t="shared" si="26"/>
        <v>25.854030882621675</v>
      </c>
      <c r="CT51" s="82">
        <f t="shared" si="23"/>
        <v>-18250.920000000158</v>
      </c>
      <c r="CU51" s="82">
        <f t="shared" si="24"/>
        <v>1784.6599999999999</v>
      </c>
      <c r="CV51" s="86">
        <f t="shared" si="10"/>
        <v>-16466.260000000158</v>
      </c>
    </row>
    <row r="52" spans="1:100" ht="12.75" customHeight="1">
      <c r="A52" s="238">
        <v>107693</v>
      </c>
      <c r="B52" s="60">
        <v>693</v>
      </c>
      <c r="C52" s="60" t="s">
        <v>232</v>
      </c>
      <c r="D52" s="128">
        <f>SUMIF('603-699'!$1:$1,D$3,'603-699'!25:25)</f>
        <v>-112611.74</v>
      </c>
      <c r="E52" s="128">
        <f>SUMIF('603-699'!$1:$1,E$3,'603-699'!25:25)</f>
        <v>-4698.8</v>
      </c>
      <c r="F52" s="128">
        <f>SUMIF('603-699'!$1:$1,F$3,'603-699'!25:25)</f>
        <v>0</v>
      </c>
      <c r="G52" s="128">
        <f>SUMIF('603-699'!$1:$1,G$3,'603-699'!25:25)</f>
        <v>-19177.27</v>
      </c>
      <c r="H52" s="128">
        <f>SUMIF('603-699'!$1:$1,H$3,'603-699'!25:25)</f>
        <v>0</v>
      </c>
      <c r="I52" s="128">
        <f>SUMIF('603-699'!$1:$1,I$3,'603-699'!25:25)</f>
        <v>0</v>
      </c>
      <c r="J52" s="128">
        <f>SUMIF('603-699'!$1:$1,J$3,'603-699'!25:25)</f>
        <v>0</v>
      </c>
      <c r="K52" s="128">
        <f>SUMIF('603-699'!$1:$1,K$3,'603-699'!25:25)</f>
        <v>-2147230</v>
      </c>
      <c r="L52" s="128">
        <f>SUMIF('603-699'!$1:$1,L$3,'603-699'!25:25)</f>
        <v>0</v>
      </c>
      <c r="M52" s="128">
        <f>SUMIF('603-699'!$1:$1,M$3,'603-699'!25:25)</f>
        <v>-112850</v>
      </c>
      <c r="N52" s="128">
        <f>SUMIF('603-699'!$1:$1,N$3,'603-699'!25:25)</f>
        <v>0</v>
      </c>
      <c r="O52" s="128">
        <f>SUMIF('603-699'!$1:$1,O$3,'603-699'!25:25)</f>
        <v>-91185</v>
      </c>
      <c r="P52" s="128">
        <f>SUMIF('603-699'!$1:$1,P$3,'603-699'!25:25)</f>
        <v>-95727</v>
      </c>
      <c r="Q52" s="128">
        <f>SUMIF('603-699'!$1:$1,Q$3,'603-699'!25:25)</f>
        <v>-2400</v>
      </c>
      <c r="R52" s="128">
        <f>SUMIF('603-699'!$1:$1,R$3,'603-699'!25:25)</f>
        <v>0</v>
      </c>
      <c r="S52" s="128">
        <f>SUMIF('603-699'!$1:$1,S$3,'603-699'!25:25)</f>
        <v>-141215.62000000002</v>
      </c>
      <c r="T52" s="128">
        <f>SUMIF('603-699'!$1:$1,T$3,'603-699'!25:25)</f>
        <v>31.68</v>
      </c>
      <c r="U52" s="128">
        <f>SUMIF('603-699'!$1:$1,U$3,'603-699'!25:25)</f>
        <v>0</v>
      </c>
      <c r="V52" s="128">
        <f>SUMIF('603-699'!$1:$1,V$3,'603-699'!25:25)</f>
        <v>0</v>
      </c>
      <c r="W52" s="128">
        <f>SUMIF('603-699'!$1:$1,W$3,'603-699'!25:25)</f>
        <v>-60270.459999999985</v>
      </c>
      <c r="X52" s="128">
        <f>SUMIF('603-699'!$1:$1,X$3,'603-699'!25:25)</f>
        <v>-38422.559999999998</v>
      </c>
      <c r="Y52" s="164">
        <f>SUMIF('603-699'!$1:$1,Y$3,'603-699'!25:25)</f>
        <v>0</v>
      </c>
      <c r="Z52" s="128">
        <f>SUMIF('603-699'!$1:$1,Z$3,'603-699'!25:25)</f>
        <v>0</v>
      </c>
      <c r="AA52" s="128">
        <f>SUMIF('603-699'!$1:$1,AA$3,'603-699'!25:25)</f>
        <v>0</v>
      </c>
      <c r="AB52" s="128">
        <f>SUMIF('603-699'!$1:$1,AB$3,'603-699'!25:25)</f>
        <v>0</v>
      </c>
      <c r="AC52" s="314">
        <f>SUMIF('603-699'!$1:$1,AC$3,'603-699'!25:25)</f>
        <v>0</v>
      </c>
      <c r="AD52" s="314">
        <f>SUMIF('603-699'!$1:$1,AD$3,'603-699'!25:25)</f>
        <v>0</v>
      </c>
      <c r="AE52" s="314">
        <f>SUMIF('603-699'!$1:$1,AE$3,'603-699'!25:25)</f>
        <v>0</v>
      </c>
      <c r="AF52" s="314">
        <f>SUMIF('603-699'!$1:$1,AF$3,'603-699'!25:25)</f>
        <v>0</v>
      </c>
      <c r="AG52" s="128">
        <f>SUMIF('603-699'!$1:$1,AG$3,'603-699'!25:25)</f>
        <v>1349909.1400000001</v>
      </c>
      <c r="AH52" s="128">
        <f>SUMIF('603-699'!$1:$1,AH$3,'603-699'!25:25)</f>
        <v>42663.490000000005</v>
      </c>
      <c r="AI52" s="128">
        <f>SUMIF('603-699'!$1:$1,AI$3,'603-699'!25:25)</f>
        <v>395655.63</v>
      </c>
      <c r="AJ52" s="128">
        <f>SUMIF('603-699'!$1:$1,AJ$3,'603-699'!25:25)</f>
        <v>99253.3</v>
      </c>
      <c r="AK52" s="128">
        <f>SUMIF('603-699'!$1:$1,AK$3,'603-699'!25:25)</f>
        <v>144640.31</v>
      </c>
      <c r="AL52" s="128">
        <f>SUMIF('603-699'!$1:$1,AL$3,'603-699'!25:25)</f>
        <v>0</v>
      </c>
      <c r="AM52" s="128">
        <f>SUMIF('603-699'!$1:$1,AM$3,'603-699'!25:25)</f>
        <v>188314.75</v>
      </c>
      <c r="AN52" s="128">
        <f>SUMIF('603-699'!$1:$1,AN$3,'603-699'!25:25)</f>
        <v>291.62</v>
      </c>
      <c r="AO52" s="128">
        <f>SUMIF('603-699'!$1:$1,AO$3,'603-699'!25:25)</f>
        <v>3763</v>
      </c>
      <c r="AP52" s="128">
        <f>SUMIF('603-699'!$1:$1,AP$3,'603-699'!25:25)</f>
        <v>1281</v>
      </c>
      <c r="AQ52" s="128">
        <f>SUMIF('603-699'!$1:$1,AQ$3,'603-699'!25:25)</f>
        <v>0</v>
      </c>
      <c r="AR52" s="128">
        <f>SUMIF('603-699'!$1:$1,AR$3,'603-699'!25:25)</f>
        <v>23570.61</v>
      </c>
      <c r="AS52" s="128">
        <f>SUMIF('603-699'!$1:$1,AS$3,'603-699'!25:25)</f>
        <v>15788.73</v>
      </c>
      <c r="AT52" s="128">
        <f>SUMIF('603-699'!$1:$1,AT$3,'603-699'!25:25)</f>
        <v>0</v>
      </c>
      <c r="AU52" s="128">
        <f>SUMIF('603-699'!$1:$1,AU$3,'603-699'!25:25)</f>
        <v>12546.98</v>
      </c>
      <c r="AV52" s="128">
        <f>SUMIF('603-699'!$1:$1,AV$3,'603-699'!25:25)</f>
        <v>35741.369999999995</v>
      </c>
      <c r="AW52" s="128">
        <f>SUMIF('603-699'!$1:$1,AW$3,'603-699'!25:25)</f>
        <v>7822</v>
      </c>
      <c r="AX52" s="128">
        <f>SUMIF('603-699'!$1:$1,AX$3,'603-699'!25:25)</f>
        <v>5732.119999999999</v>
      </c>
      <c r="AY52" s="128">
        <f>SUMIF('603-699'!$1:$1,AY$3,'603-699'!25:25)</f>
        <v>161550.40000000002</v>
      </c>
      <c r="AZ52" s="314">
        <f>SUMIF('603-699'!$1:$1,AZ$3,'603-699'!25:25)</f>
        <v>0</v>
      </c>
      <c r="BA52" s="128">
        <f>SUMIF('603-699'!$1:$1,BA$3,'603-699'!25:25)</f>
        <v>0</v>
      </c>
      <c r="BB52" s="128">
        <f>SUMIF('603-699'!$1:$1,BB$3,'603-699'!25:25)</f>
        <v>198</v>
      </c>
      <c r="BC52" s="128">
        <f>SUMIF('603-699'!$1:$1,BC$3,'603-699'!25:25)</f>
        <v>0</v>
      </c>
      <c r="BD52" s="128">
        <f>SUMIF('603-699'!$1:$1,BD$3,'603-699'!25:25)</f>
        <v>23152.49</v>
      </c>
      <c r="BE52" s="128">
        <f>SUMIF('603-699'!$1:$1,BE$3,'603-699'!25:25)</f>
        <v>6142</v>
      </c>
      <c r="BF52" s="128">
        <f>SUMIF('603-699'!$1:$1,BF$3,'603-699'!25:25)</f>
        <v>13980.779999999999</v>
      </c>
      <c r="BG52" s="128">
        <f>SUMIF('603-699'!$1:$1,BG$3,'603-699'!25:25)</f>
        <v>10241</v>
      </c>
      <c r="BH52" s="128">
        <f>SUMIF('603-699'!$1:$1,BH$3,'603-699'!25:25)</f>
        <v>0</v>
      </c>
      <c r="BI52" s="128">
        <f>SUMIF('603-699'!$1:$1,BI$3,'603-699'!25:25)</f>
        <v>14618.629999999997</v>
      </c>
      <c r="BJ52" s="128">
        <f>SUMIF('603-699'!$1:$1,BJ$3,'603-699'!25:25)</f>
        <v>22671.599999999999</v>
      </c>
      <c r="BK52" s="128">
        <f>SUMIF('603-699'!$1:$1,BK$3,'603-699'!25:25)</f>
        <v>0</v>
      </c>
      <c r="BL52" s="128">
        <f>SUMIF('603-699'!$1:$1,BL$3,'603-699'!25:25)</f>
        <v>110949.76999999999</v>
      </c>
      <c r="BM52" s="128">
        <f>SUMIF('603-699'!$1:$1,BM$3,'603-699'!25:25)</f>
        <v>4381</v>
      </c>
      <c r="BN52" s="128">
        <f>SUMIF('603-699'!$1:$1,BN$3,'603-699'!25:25)</f>
        <v>1233</v>
      </c>
      <c r="BO52" s="128">
        <f>SUMIF('603-699'!$1:$1,BO$3,'603-699'!25:25)</f>
        <v>35889.180000000008</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-8747.5</v>
      </c>
      <c r="BV52" s="128">
        <f>SUMIF('603-699'!$1:$1,BV$3,'603-699'!25:25)</f>
        <v>0</v>
      </c>
      <c r="BW52" s="128">
        <f>SUMIF('603-699'!$1:$1,BW$3,'603-699'!25:25)</f>
        <v>0</v>
      </c>
      <c r="BX52" s="128">
        <f>SUMIF('603-699'!$1:$1,BX$3,'603-699'!25:25)</f>
        <v>0</v>
      </c>
      <c r="BY52" s="128">
        <f>SUMIF('603-699'!$1:$1,BY$3,'603-699'!25:25)</f>
        <v>28205</v>
      </c>
      <c r="BZ52" s="128">
        <f>SUMIF('603-699'!$1:$1,BZ$3,'603-699'!25:25)</f>
        <v>0</v>
      </c>
      <c r="CA52" s="314">
        <f>SUMIF('603-699'!$1:$1,CA$3,'603-699'!25:25)</f>
        <v>0</v>
      </c>
      <c r="CB52" s="128">
        <f>SUMIF('603-699'!$1:$1,CB$3,'603-699'!25:25)</f>
        <v>0</v>
      </c>
      <c r="CC52" s="128">
        <f>SUMIF('603-699'!$1:$1,CC$3,'603-699'!25:25)</f>
        <v>0</v>
      </c>
      <c r="CD52" s="128">
        <f>SUMIF('603-699'!$1:$1,CD$3,'603-699'!25:25)</f>
        <v>0</v>
      </c>
      <c r="CE52" s="128">
        <f>SUMIF('603-699'!$1:$1,CE$3,'603-699'!25:25)</f>
        <v>0</v>
      </c>
      <c r="CF52" s="128">
        <f>SUMIF('603-699'!$1:$1,CF$3,'603-699'!25:25)</f>
        <v>1540</v>
      </c>
      <c r="CG52" s="257">
        <f t="shared" si="20"/>
        <v>-72777.369999999923</v>
      </c>
      <c r="CJ52" s="122"/>
      <c r="CK52" s="169">
        <f>INDEX(SAP!C:C,MATCH('Actuals mapped to CFR'!A52,SAP!H:H,FALSE),1)</f>
        <v>-72777.37</v>
      </c>
      <c r="CL52" s="59">
        <f t="shared" si="15"/>
        <v>0</v>
      </c>
      <c r="CN52" s="81">
        <f t="shared" si="21"/>
        <v>2689268.96</v>
      </c>
      <c r="CO52" s="81">
        <f t="shared" si="22"/>
        <v>2731981.9000000004</v>
      </c>
      <c r="CP52" s="166">
        <f>VLOOKUP(B52,'2526 GBP Data input'!$A$4:$CA$230,38,FALSE)</f>
        <v>2578847</v>
      </c>
      <c r="CQ52" s="166">
        <f>VLOOKUP(B52,'2526 GBP Data input'!$A$4:$CA$230,73,FALSE)</f>
        <v>14995</v>
      </c>
      <c r="CR52" s="89">
        <f t="shared" si="25"/>
        <v>110421.95999999996</v>
      </c>
      <c r="CS52" s="83">
        <f t="shared" si="26"/>
        <v>182.19285761920642</v>
      </c>
      <c r="CT52" s="82">
        <f t="shared" si="23"/>
        <v>69898.799999999814</v>
      </c>
      <c r="CU52" s="82">
        <f t="shared" si="24"/>
        <v>-1820.2299999999996</v>
      </c>
      <c r="CV52" s="86">
        <f t="shared" ref="CV52:CV103" si="27">SUM(CT52:CU52)</f>
        <v>68078.569999999818</v>
      </c>
    </row>
    <row r="53" spans="1:100" ht="12.75" customHeight="1">
      <c r="A53" s="238">
        <v>107694</v>
      </c>
      <c r="B53" s="60">
        <v>694</v>
      </c>
      <c r="C53" s="60" t="s">
        <v>188</v>
      </c>
      <c r="D53" s="128">
        <f>SUMIF('603-699'!$1:$1,D$3,'603-699'!26:26)</f>
        <v>-45634.66</v>
      </c>
      <c r="E53" s="128">
        <f>SUMIF('603-699'!$1:$1,E$3,'603-699'!26:26)</f>
        <v>-180</v>
      </c>
      <c r="F53" s="128">
        <f>SUMIF('603-699'!$1:$1,F$3,'603-699'!26:26)</f>
        <v>0</v>
      </c>
      <c r="G53" s="128">
        <f>SUMIF('603-699'!$1:$1,G$3,'603-699'!26:26)</f>
        <v>0</v>
      </c>
      <c r="H53" s="128">
        <f>SUMIF('603-699'!$1:$1,H$3,'603-699'!26:26)</f>
        <v>0</v>
      </c>
      <c r="I53" s="128">
        <f>SUMIF('603-699'!$1:$1,I$3,'603-699'!26:26)</f>
        <v>0</v>
      </c>
      <c r="J53" s="128">
        <f>SUMIF('603-699'!$1:$1,J$3,'603-699'!26:26)</f>
        <v>1896.18</v>
      </c>
      <c r="K53" s="128">
        <f>SUMIF('603-699'!$1:$1,K$3,'603-699'!26:26)</f>
        <v>-1061694.6400000001</v>
      </c>
      <c r="L53" s="128">
        <f>SUMIF('603-699'!$1:$1,L$3,'603-699'!26:26)</f>
        <v>0</v>
      </c>
      <c r="M53" s="128">
        <f>SUMIF('603-699'!$1:$1,M$3,'603-699'!26:26)</f>
        <v>-73422</v>
      </c>
      <c r="N53" s="128">
        <f>SUMIF('603-699'!$1:$1,N$3,'603-699'!26:26)</f>
        <v>0</v>
      </c>
      <c r="O53" s="128">
        <f>SUMIF('603-699'!$1:$1,O$3,'603-699'!26:26)</f>
        <v>-49630</v>
      </c>
      <c r="P53" s="128">
        <f>SUMIF('603-699'!$1:$1,P$3,'603-699'!26:26)</f>
        <v>-55052.93</v>
      </c>
      <c r="Q53" s="128">
        <f>SUMIF('603-699'!$1:$1,Q$3,'603-699'!26:26)</f>
        <v>0</v>
      </c>
      <c r="R53" s="128">
        <f>SUMIF('603-699'!$1:$1,R$3,'603-699'!26:26)</f>
        <v>-1925</v>
      </c>
      <c r="S53" s="128">
        <f>SUMIF('603-699'!$1:$1,S$3,'603-699'!26:26)</f>
        <v>-38241.97</v>
      </c>
      <c r="T53" s="128">
        <f>SUMIF('603-699'!$1:$1,T$3,'603-699'!26:26)</f>
        <v>-4306.9199999999992</v>
      </c>
      <c r="U53" s="128">
        <f>SUMIF('603-699'!$1:$1,U$3,'603-699'!26:26)</f>
        <v>-2918.4000000000005</v>
      </c>
      <c r="V53" s="128">
        <f>SUMIF('603-699'!$1:$1,V$3,'603-699'!26:26)</f>
        <v>0</v>
      </c>
      <c r="W53" s="128">
        <f>SUMIF('603-699'!$1:$1,W$3,'603-699'!26:26)</f>
        <v>-8929.4100000000035</v>
      </c>
      <c r="X53" s="128">
        <f>SUMIF('603-699'!$1:$1,X$3,'603-699'!26:26)</f>
        <v>-17210.09</v>
      </c>
      <c r="Y53" s="164">
        <f>SUMIF('603-699'!$1:$1,Y$3,'603-699'!26:26)</f>
        <v>0</v>
      </c>
      <c r="Z53" s="128">
        <f>SUMIF('603-699'!$1:$1,Z$3,'603-699'!26:26)</f>
        <v>0</v>
      </c>
      <c r="AA53" s="128">
        <f>SUMIF('603-699'!$1:$1,AA$3,'603-699'!26:26)</f>
        <v>-141245.04</v>
      </c>
      <c r="AB53" s="128">
        <f>SUMIF('603-699'!$1:$1,AB$3,'603-699'!26:26)</f>
        <v>-13000</v>
      </c>
      <c r="AC53" s="314">
        <f>SUMIF('603-699'!$1:$1,AC$3,'603-699'!26:26)</f>
        <v>0</v>
      </c>
      <c r="AD53" s="314">
        <f>SUMIF('603-699'!$1:$1,AD$3,'603-699'!26:26)</f>
        <v>0</v>
      </c>
      <c r="AE53" s="314">
        <f>SUMIF('603-699'!$1:$1,AE$3,'603-699'!26:26)</f>
        <v>0</v>
      </c>
      <c r="AF53" s="314">
        <f>SUMIF('603-699'!$1:$1,AF$3,'603-699'!26:26)</f>
        <v>0</v>
      </c>
      <c r="AG53" s="128">
        <f>SUMIF('603-699'!$1:$1,AG$3,'603-699'!26:26)</f>
        <v>696546.57</v>
      </c>
      <c r="AH53" s="128">
        <f>SUMIF('603-699'!$1:$1,AH$3,'603-699'!26:26)</f>
        <v>311.96999999999997</v>
      </c>
      <c r="AI53" s="128">
        <f>SUMIF('603-699'!$1:$1,AI$3,'603-699'!26:26)</f>
        <v>243067.93000000002</v>
      </c>
      <c r="AJ53" s="128">
        <f>SUMIF('603-699'!$1:$1,AJ$3,'603-699'!26:26)</f>
        <v>16594.910000000003</v>
      </c>
      <c r="AK53" s="128">
        <f>SUMIF('603-699'!$1:$1,AK$3,'603-699'!26:26)</f>
        <v>70510.3</v>
      </c>
      <c r="AL53" s="128">
        <f>SUMIF('603-699'!$1:$1,AL$3,'603-699'!26:26)</f>
        <v>4280.41</v>
      </c>
      <c r="AM53" s="128">
        <f>SUMIF('603-699'!$1:$1,AM$3,'603-699'!26:26)</f>
        <v>47767.22</v>
      </c>
      <c r="AN53" s="128">
        <f>SUMIF('603-699'!$1:$1,AN$3,'603-699'!26:26)</f>
        <v>0</v>
      </c>
      <c r="AO53" s="128">
        <f>SUMIF('603-699'!$1:$1,AO$3,'603-699'!26:26)</f>
        <v>3217.25</v>
      </c>
      <c r="AP53" s="128">
        <f>SUMIF('603-699'!$1:$1,AP$3,'603-699'!26:26)</f>
        <v>8565.9700000000012</v>
      </c>
      <c r="AQ53" s="128">
        <f>SUMIF('603-699'!$1:$1,AQ$3,'603-699'!26:26)</f>
        <v>0</v>
      </c>
      <c r="AR53" s="128">
        <f>SUMIF('603-699'!$1:$1,AR$3,'603-699'!26:26)</f>
        <v>21025.620000000006</v>
      </c>
      <c r="AS53" s="128">
        <f>SUMIF('603-699'!$1:$1,AS$3,'603-699'!26:26)</f>
        <v>3387.97</v>
      </c>
      <c r="AT53" s="128">
        <f>SUMIF('603-699'!$1:$1,AT$3,'603-699'!26:26)</f>
        <v>15940.399999999996</v>
      </c>
      <c r="AU53" s="128">
        <f>SUMIF('603-699'!$1:$1,AU$3,'603-699'!26:26)</f>
        <v>4885.67</v>
      </c>
      <c r="AV53" s="128">
        <f>SUMIF('603-699'!$1:$1,AV$3,'603-699'!26:26)</f>
        <v>17651.66</v>
      </c>
      <c r="AW53" s="128">
        <f>SUMIF('603-699'!$1:$1,AW$3,'603-699'!26:26)</f>
        <v>3218.55</v>
      </c>
      <c r="AX53" s="128">
        <f>SUMIF('603-699'!$1:$1,AX$3,'603-699'!26:26)</f>
        <v>6271.18</v>
      </c>
      <c r="AY53" s="128">
        <f>SUMIF('603-699'!$1:$1,AY$3,'603-699'!26:26)</f>
        <v>27538.699999999997</v>
      </c>
      <c r="AZ53" s="314">
        <f>SUMIF('603-699'!$1:$1,AZ$3,'603-699'!26:26)</f>
        <v>0</v>
      </c>
      <c r="BA53" s="128">
        <f>SUMIF('603-699'!$1:$1,BA$3,'603-699'!26:26)</f>
        <v>2014.19</v>
      </c>
      <c r="BB53" s="128">
        <f>SUMIF('603-699'!$1:$1,BB$3,'603-699'!26:26)</f>
        <v>0</v>
      </c>
      <c r="BC53" s="128">
        <f>SUMIF('603-699'!$1:$1,BC$3,'603-699'!26:26)</f>
        <v>9677.65</v>
      </c>
      <c r="BD53" s="128">
        <f>SUMIF('603-699'!$1:$1,BD$3,'603-699'!26:26)</f>
        <v>7976.63</v>
      </c>
      <c r="BE53" s="128">
        <f>SUMIF('603-699'!$1:$1,BE$3,'603-699'!26:26)</f>
        <v>3411.96</v>
      </c>
      <c r="BF53" s="128">
        <f>SUMIF('603-699'!$1:$1,BF$3,'603-699'!26:26)</f>
        <v>69.19</v>
      </c>
      <c r="BG53" s="128">
        <f>SUMIF('603-699'!$1:$1,BG$3,'603-699'!26:26)</f>
        <v>7489.5</v>
      </c>
      <c r="BH53" s="128">
        <f>SUMIF('603-699'!$1:$1,BH$3,'603-699'!26:26)</f>
        <v>0</v>
      </c>
      <c r="BI53" s="128">
        <f>SUMIF('603-699'!$1:$1,BI$3,'603-699'!26:26)</f>
        <v>3251.4200000000005</v>
      </c>
      <c r="BJ53" s="128">
        <f>SUMIF('603-699'!$1:$1,BJ$3,'603-699'!26:26)</f>
        <v>10742.02</v>
      </c>
      <c r="BK53" s="128">
        <f>SUMIF('603-699'!$1:$1,BK$3,'603-699'!26:26)</f>
        <v>0</v>
      </c>
      <c r="BL53" s="128">
        <f>SUMIF('603-699'!$1:$1,BL$3,'603-699'!26:26)</f>
        <v>32783.430000000008</v>
      </c>
      <c r="BM53" s="128">
        <f>SUMIF('603-699'!$1:$1,BM$3,'603-699'!26:26)</f>
        <v>7714</v>
      </c>
      <c r="BN53" s="128">
        <f>SUMIF('603-699'!$1:$1,BN$3,'603-699'!26:26)</f>
        <v>12613</v>
      </c>
      <c r="BO53" s="128">
        <f>SUMIF('603-699'!$1:$1,BO$3,'603-699'!26:26)</f>
        <v>16540.2</v>
      </c>
      <c r="BP53" s="128">
        <f>SUMIF('603-699'!$1:$1,BP$3,'603-699'!26:26)</f>
        <v>0</v>
      </c>
      <c r="BQ53" s="128">
        <f>SUMIF('603-699'!$1:$1,BQ$3,'603-699'!26:26)</f>
        <v>0</v>
      </c>
      <c r="BR53" s="128">
        <f>SUMIF('603-699'!$1:$1,BR$3,'603-699'!26:26)</f>
        <v>0</v>
      </c>
      <c r="BS53" s="128">
        <f>SUMIF('603-699'!$1:$1,BS$3,'603-699'!26:26)</f>
        <v>105922.71</v>
      </c>
      <c r="BT53" s="128">
        <f>SUMIF('603-699'!$1:$1,BT$3,'603-699'!26:26)</f>
        <v>11810.859999999999</v>
      </c>
      <c r="BU53" s="128">
        <f>SUMIF('603-699'!$1:$1,BU$3,'603-699'!26:26)</f>
        <v>0</v>
      </c>
      <c r="BV53" s="128">
        <f>SUMIF('603-699'!$1:$1,BV$3,'603-699'!26:26)</f>
        <v>0</v>
      </c>
      <c r="BW53" s="128">
        <f>SUMIF('603-699'!$1:$1,BW$3,'603-699'!26:26)</f>
        <v>0</v>
      </c>
      <c r="BX53" s="128">
        <f>SUMIF('603-699'!$1:$1,BX$3,'603-699'!26:26)</f>
        <v>0</v>
      </c>
      <c r="BY53" s="128">
        <f>SUMIF('603-699'!$1:$1,BY$3,'603-699'!26:26)</f>
        <v>991.2</v>
      </c>
      <c r="BZ53" s="128">
        <f>SUMIF('603-699'!$1:$1,BZ$3,'603-699'!26:26)</f>
        <v>0</v>
      </c>
      <c r="CA53" s="314">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7">
        <f t="shared" si="20"/>
        <v>-87704.63999999997</v>
      </c>
      <c r="CJ53" s="122"/>
      <c r="CK53" s="169">
        <f>INDEX(SAP!C:C,MATCH('Actuals mapped to CFR'!A53,SAP!H:H,FALSE),1)</f>
        <v>-87704.639999999999</v>
      </c>
      <c r="CL53" s="59">
        <f t="shared" si="15"/>
        <v>0</v>
      </c>
      <c r="CN53" s="81">
        <f t="shared" si="21"/>
        <v>1467576.4</v>
      </c>
      <c r="CO53" s="81">
        <f t="shared" si="22"/>
        <v>1422799.0399999993</v>
      </c>
      <c r="CP53" s="166">
        <f>VLOOKUP(B53,'2526 GBP Data input'!$A$4:$CA$230,38,FALSE)</f>
        <v>1387438</v>
      </c>
      <c r="CQ53" s="166">
        <f>VLOOKUP(B53,'2526 GBP Data input'!$A$4:$CA$230,73,FALSE)</f>
        <v>15381</v>
      </c>
      <c r="CR53" s="89">
        <f t="shared" si="25"/>
        <v>80138.399999999907</v>
      </c>
      <c r="CS53" s="83">
        <f t="shared" si="26"/>
        <v>92.503675963851464</v>
      </c>
      <c r="CT53" s="82">
        <f t="shared" si="23"/>
        <v>90412.020000000484</v>
      </c>
      <c r="CU53" s="82">
        <f t="shared" si="24"/>
        <v>-991.2</v>
      </c>
      <c r="CV53" s="86">
        <f t="shared" si="27"/>
        <v>89420.820000000487</v>
      </c>
    </row>
    <row r="54" spans="1:100" ht="12.75" customHeight="1" thickBot="1">
      <c r="A54" s="258">
        <v>107695</v>
      </c>
      <c r="B54" s="230">
        <v>695</v>
      </c>
      <c r="C54" s="230" t="s">
        <v>188</v>
      </c>
      <c r="D54" s="228">
        <f>SUMIF('603-699'!$1:$1,D$3,'603-699'!27:27)</f>
        <v>-41336.58</v>
      </c>
      <c r="E54" s="228">
        <f>SUMIF('603-699'!$1:$1,E$3,'603-699'!27:27)</f>
        <v>-5686.58</v>
      </c>
      <c r="F54" s="228">
        <f>SUMIF('603-699'!$1:$1,F$3,'603-699'!27:27)</f>
        <v>0</v>
      </c>
      <c r="G54" s="228">
        <f>SUMIF('603-699'!$1:$1,G$3,'603-699'!27:27)</f>
        <v>-9048.61</v>
      </c>
      <c r="H54" s="228">
        <f>SUMIF('603-699'!$1:$1,H$3,'603-699'!27:27)</f>
        <v>0</v>
      </c>
      <c r="I54" s="228">
        <f>SUMIF('603-699'!$1:$1,I$3,'603-699'!27:27)</f>
        <v>0</v>
      </c>
      <c r="J54" s="228">
        <f>SUMIF('603-699'!$1:$1,J$3,'603-699'!27:27)</f>
        <v>-1029.99</v>
      </c>
      <c r="K54" s="228">
        <f>SUMIF('603-699'!$1:$1,K$3,'603-699'!27:27)</f>
        <v>-545497.06000000006</v>
      </c>
      <c r="L54" s="228">
        <f>SUMIF('603-699'!$1:$1,L$3,'603-699'!27:27)</f>
        <v>0</v>
      </c>
      <c r="M54" s="228">
        <f>SUMIF('603-699'!$1:$1,M$3,'603-699'!27:27)</f>
        <v>-51039</v>
      </c>
      <c r="N54" s="228">
        <f>SUMIF('603-699'!$1:$1,N$3,'603-699'!27:27)</f>
        <v>0</v>
      </c>
      <c r="O54" s="228">
        <f>SUMIF('603-699'!$1:$1,O$3,'603-699'!27:27)</f>
        <v>-31000</v>
      </c>
      <c r="P54" s="228">
        <f>SUMIF('603-699'!$1:$1,P$3,'603-699'!27:27)</f>
        <v>-20893</v>
      </c>
      <c r="Q54" s="228">
        <f>SUMIF('603-699'!$1:$1,Q$3,'603-699'!27:27)</f>
        <v>-3123</v>
      </c>
      <c r="R54" s="228">
        <f>SUMIF('603-699'!$1:$1,R$3,'603-699'!27:27)</f>
        <v>0</v>
      </c>
      <c r="S54" s="228">
        <f>SUMIF('603-699'!$1:$1,S$3,'603-699'!27:27)</f>
        <v>-11872.35</v>
      </c>
      <c r="T54" s="228">
        <f>SUMIF('603-699'!$1:$1,T$3,'603-699'!27:27)</f>
        <v>0</v>
      </c>
      <c r="U54" s="228">
        <f>SUMIF('603-699'!$1:$1,U$3,'603-699'!27:27)</f>
        <v>0</v>
      </c>
      <c r="V54" s="228">
        <f>SUMIF('603-699'!$1:$1,V$3,'603-699'!27:27)</f>
        <v>0</v>
      </c>
      <c r="W54" s="228">
        <f>SUMIF('603-699'!$1:$1,W$3,'603-699'!27:27)</f>
        <v>-2789.4100000000003</v>
      </c>
      <c r="X54" s="228">
        <f>SUMIF('603-699'!$1:$1,X$3,'603-699'!27:27)</f>
        <v>-3950.3900000000003</v>
      </c>
      <c r="Y54" s="229">
        <f>SUMIF('603-699'!$1:$1,Y$3,'603-699'!27:27)</f>
        <v>0</v>
      </c>
      <c r="Z54" s="228">
        <f>SUMIF('603-699'!$1:$1,Z$3,'603-699'!27:27)</f>
        <v>0</v>
      </c>
      <c r="AA54" s="228">
        <f>SUMIF('603-699'!$1:$1,AA$3,'603-699'!27:27)</f>
        <v>-51006.9</v>
      </c>
      <c r="AB54" s="228">
        <f>SUMIF('603-699'!$1:$1,AB$3,'603-699'!27:27)</f>
        <v>-391.2</v>
      </c>
      <c r="AC54" s="315">
        <f>SUMIF('603-699'!$1:$1,AC$3,'603-699'!27:27)</f>
        <v>0</v>
      </c>
      <c r="AD54" s="315">
        <f>SUMIF('603-699'!$1:$1,AD$3,'603-699'!27:27)</f>
        <v>0</v>
      </c>
      <c r="AE54" s="315">
        <f>SUMIF('603-699'!$1:$1,AE$3,'603-699'!27:27)</f>
        <v>0</v>
      </c>
      <c r="AF54" s="315">
        <f>SUMIF('603-699'!$1:$1,AF$3,'603-699'!27:27)</f>
        <v>0</v>
      </c>
      <c r="AG54" s="228">
        <f>SUMIF('603-699'!$1:$1,AG$3,'603-699'!27:27)</f>
        <v>308917.36</v>
      </c>
      <c r="AH54" s="228">
        <f>SUMIF('603-699'!$1:$1,AH$3,'603-699'!27:27)</f>
        <v>1529.21</v>
      </c>
      <c r="AI54" s="228">
        <f>SUMIF('603-699'!$1:$1,AI$3,'603-699'!27:27)</f>
        <v>161619.79000000004</v>
      </c>
      <c r="AJ54" s="228">
        <f>SUMIF('603-699'!$1:$1,AJ$3,'603-699'!27:27)</f>
        <v>3874.2999999999997</v>
      </c>
      <c r="AK54" s="228">
        <f>SUMIF('603-699'!$1:$1,AK$3,'603-699'!27:27)</f>
        <v>41240.439999999995</v>
      </c>
      <c r="AL54" s="228">
        <f>SUMIF('603-699'!$1:$1,AL$3,'603-699'!27:27)</f>
        <v>0</v>
      </c>
      <c r="AM54" s="228">
        <f>SUMIF('603-699'!$1:$1,AM$3,'603-699'!27:27)</f>
        <v>21973.45</v>
      </c>
      <c r="AN54" s="228">
        <f>SUMIF('603-699'!$1:$1,AN$3,'603-699'!27:27)</f>
        <v>1958.99</v>
      </c>
      <c r="AO54" s="228">
        <f>SUMIF('603-699'!$1:$1,AO$3,'603-699'!27:27)</f>
        <v>1870</v>
      </c>
      <c r="AP54" s="228">
        <f>SUMIF('603-699'!$1:$1,AP$3,'603-699'!27:27)</f>
        <v>222.65</v>
      </c>
      <c r="AQ54" s="228">
        <f>SUMIF('603-699'!$1:$1,AQ$3,'603-699'!27:27)</f>
        <v>0</v>
      </c>
      <c r="AR54" s="228">
        <f>SUMIF('603-699'!$1:$1,AR$3,'603-699'!27:27)</f>
        <v>5177.16</v>
      </c>
      <c r="AS54" s="228">
        <f>SUMIF('603-699'!$1:$1,AS$3,'603-699'!27:27)</f>
        <v>3092.9099999999994</v>
      </c>
      <c r="AT54" s="228">
        <f>SUMIF('603-699'!$1:$1,AT$3,'603-699'!27:27)</f>
        <v>26479.39</v>
      </c>
      <c r="AU54" s="228">
        <f>SUMIF('603-699'!$1:$1,AU$3,'603-699'!27:27)</f>
        <v>4514.1099999999988</v>
      </c>
      <c r="AV54" s="228">
        <f>SUMIF('603-699'!$1:$1,AV$3,'603-699'!27:27)</f>
        <v>7606.43</v>
      </c>
      <c r="AW54" s="228">
        <f>SUMIF('603-699'!$1:$1,AW$3,'603-699'!27:27)</f>
        <v>12974</v>
      </c>
      <c r="AX54" s="228">
        <f>SUMIF('603-699'!$1:$1,AX$3,'603-699'!27:27)</f>
        <v>2259.56</v>
      </c>
      <c r="AY54" s="228">
        <f>SUMIF('603-699'!$1:$1,AY$3,'603-699'!27:27)</f>
        <v>16694.009999999995</v>
      </c>
      <c r="AZ54" s="315">
        <f>SUMIF('603-699'!$1:$1,AZ$3,'603-699'!27:27)</f>
        <v>0</v>
      </c>
      <c r="BA54" s="228">
        <f>SUMIF('603-699'!$1:$1,BA$3,'603-699'!27:27)</f>
        <v>3606.8199999999997</v>
      </c>
      <c r="BB54" s="228">
        <f>SUMIF('603-699'!$1:$1,BB$3,'603-699'!27:27)</f>
        <v>0</v>
      </c>
      <c r="BC54" s="228">
        <f>SUMIF('603-699'!$1:$1,BC$3,'603-699'!27:27)</f>
        <v>281.72000000000003</v>
      </c>
      <c r="BD54" s="228">
        <f>SUMIF('603-699'!$1:$1,BD$3,'603-699'!27:27)</f>
        <v>1172.51</v>
      </c>
      <c r="BE54" s="228">
        <f>SUMIF('603-699'!$1:$1,BE$3,'603-699'!27:27)</f>
        <v>0</v>
      </c>
      <c r="BF54" s="228">
        <f>SUMIF('603-699'!$1:$1,BF$3,'603-699'!27:27)</f>
        <v>0</v>
      </c>
      <c r="BG54" s="228">
        <f>SUMIF('603-699'!$1:$1,BG$3,'603-699'!27:27)</f>
        <v>790</v>
      </c>
      <c r="BH54" s="228">
        <f>SUMIF('603-699'!$1:$1,BH$3,'603-699'!27:27)</f>
        <v>0</v>
      </c>
      <c r="BI54" s="228">
        <f>SUMIF('603-699'!$1:$1,BI$3,'603-699'!27:27)</f>
        <v>2242.9</v>
      </c>
      <c r="BJ54" s="228">
        <f>SUMIF('603-699'!$1:$1,BJ$3,'603-699'!27:27)</f>
        <v>3940.54</v>
      </c>
      <c r="BK54" s="228">
        <f>SUMIF('603-699'!$1:$1,BK$3,'603-699'!27:27)</f>
        <v>0</v>
      </c>
      <c r="BL54" s="228">
        <f>SUMIF('603-699'!$1:$1,BL$3,'603-699'!27:27)</f>
        <v>15380.71</v>
      </c>
      <c r="BM54" s="228">
        <f>SUMIF('603-699'!$1:$1,BM$3,'603-699'!27:27)</f>
        <v>40329.37999999999</v>
      </c>
      <c r="BN54" s="228">
        <f>SUMIF('603-699'!$1:$1,BN$3,'603-699'!27:27)</f>
        <v>23265.530000000002</v>
      </c>
      <c r="BO54" s="228">
        <f>SUMIF('603-699'!$1:$1,BO$3,'603-699'!27:27)</f>
        <v>16037.950000000003</v>
      </c>
      <c r="BP54" s="228">
        <f>SUMIF('603-699'!$1:$1,BP$3,'603-699'!27:27)</f>
        <v>0</v>
      </c>
      <c r="BQ54" s="228">
        <f>SUMIF('603-699'!$1:$1,BQ$3,'603-699'!27:27)</f>
        <v>0</v>
      </c>
      <c r="BR54" s="228">
        <f>SUMIF('603-699'!$1:$1,BR$3,'603-699'!27:27)</f>
        <v>0</v>
      </c>
      <c r="BS54" s="228">
        <f>SUMIF('603-699'!$1:$1,BS$3,'603-699'!27:27)</f>
        <v>38082.39</v>
      </c>
      <c r="BT54" s="228">
        <f>SUMIF('603-699'!$1:$1,BT$3,'603-699'!27:27)</f>
        <v>2943.02</v>
      </c>
      <c r="BU54" s="228">
        <f>SUMIF('603-699'!$1:$1,BU$3,'603-699'!27:27)</f>
        <v>-4900</v>
      </c>
      <c r="BV54" s="228">
        <f>SUMIF('603-699'!$1:$1,BV$3,'603-699'!27:27)</f>
        <v>0</v>
      </c>
      <c r="BW54" s="228">
        <f>SUMIF('603-699'!$1:$1,BW$3,'603-699'!27:27)</f>
        <v>0</v>
      </c>
      <c r="BX54" s="228">
        <f>SUMIF('603-699'!$1:$1,BX$3,'603-699'!27:27)</f>
        <v>0</v>
      </c>
      <c r="BY54" s="228">
        <f>SUMIF('603-699'!$1:$1,BY$3,'603-699'!27:27)</f>
        <v>10620.08</v>
      </c>
      <c r="BZ54" s="228">
        <f>SUMIF('603-699'!$1:$1,BZ$3,'603-699'!27:27)</f>
        <v>0</v>
      </c>
      <c r="CA54" s="315">
        <f>SUMIF('603-699'!$1:$1,CA$3,'603-699'!27:27)</f>
        <v>0</v>
      </c>
      <c r="CB54" s="228">
        <f>SUMIF('603-699'!$1:$1,CB$3,'603-699'!27:27)</f>
        <v>0</v>
      </c>
      <c r="CC54" s="228">
        <f>SUMIF('603-699'!$1:$1,CC$3,'603-699'!27:27)</f>
        <v>0</v>
      </c>
      <c r="CD54" s="228">
        <f>SUMIF('603-699'!$1:$1,CD$3,'603-699'!27:27)</f>
        <v>0</v>
      </c>
      <c r="CE54" s="228">
        <f>SUMIF('603-699'!$1:$1,CE$3,'603-699'!27:27)</f>
        <v>0</v>
      </c>
      <c r="CF54" s="228">
        <f>SUMIF('603-699'!$1:$1,CF$3,'603-699'!27:27)</f>
        <v>0</v>
      </c>
      <c r="CG54" s="259">
        <f t="shared" si="20"/>
        <v>-2866.7600000000511</v>
      </c>
      <c r="CJ54" s="122"/>
      <c r="CK54" s="169">
        <f>INDEX(SAP!C:C,MATCH('Actuals mapped to CFR'!A54,SAP!H:H,FALSE),1)</f>
        <v>-2866.76</v>
      </c>
      <c r="CL54" s="59">
        <f t="shared" si="15"/>
        <v>0</v>
      </c>
      <c r="CN54" s="81">
        <f t="shared" si="21"/>
        <v>721562.31</v>
      </c>
      <c r="CO54" s="81">
        <f t="shared" si="22"/>
        <v>770077.23000000021</v>
      </c>
      <c r="CP54" s="166">
        <f>VLOOKUP(B54,'2526 GBP Data input'!$A$4:$CA$230,38,FALSE)</f>
        <v>681611</v>
      </c>
      <c r="CQ54" s="166">
        <f>VLOOKUP(B54,'2526 GBP Data input'!$A$4:$CA$230,73,FALSE)</f>
        <v>12495</v>
      </c>
      <c r="CR54" s="89">
        <f t="shared" si="25"/>
        <v>39951.310000000056</v>
      </c>
      <c r="CS54" s="83">
        <f t="shared" si="26"/>
        <v>61.630830732292935</v>
      </c>
      <c r="CT54" s="82">
        <f t="shared" si="23"/>
        <v>-7178.3400000002002</v>
      </c>
      <c r="CU54" s="82">
        <f t="shared" si="24"/>
        <v>3328.5300000000007</v>
      </c>
      <c r="CV54" s="86">
        <f t="shared" si="27"/>
        <v>-3849.8100000001996</v>
      </c>
    </row>
    <row r="55" spans="1:100" ht="12.75" customHeight="1">
      <c r="A55" s="238">
        <v>107709</v>
      </c>
      <c r="B55" s="60">
        <v>709</v>
      </c>
      <c r="C55" s="60" t="s">
        <v>207</v>
      </c>
      <c r="D55" s="128">
        <f>SUMIF('702-798'!$1:$1,D$3,'702-798'!3:3)</f>
        <v>0</v>
      </c>
      <c r="E55" s="128">
        <f>SUMIF('702-798'!$1:$1,E$3,'702-798'!3:3)</f>
        <v>-12776.3</v>
      </c>
      <c r="F55" s="128">
        <f>SUMIF('702-798'!$1:$1,F$3,'702-798'!3:3)</f>
        <v>19850.939999999999</v>
      </c>
      <c r="G55" s="128">
        <f>SUMIF('702-798'!$1:$1,G$3,'702-798'!3:3)</f>
        <v>-2017.88</v>
      </c>
      <c r="H55" s="128">
        <f>SUMIF('702-798'!$1:$1,H$3,'702-798'!3:3)</f>
        <v>0</v>
      </c>
      <c r="I55" s="128">
        <f>SUMIF('702-798'!$1:$1,I$3,'702-798'!3:3)</f>
        <v>0</v>
      </c>
      <c r="J55" s="128">
        <f>SUMIF('702-798'!$1:$1,J$3,'702-798'!3:3)</f>
        <v>14508.23</v>
      </c>
      <c r="K55" s="128">
        <f>SUMIF('702-798'!$1:$1,K$3,'702-798'!3:3)</f>
        <v>-609473.59</v>
      </c>
      <c r="L55" s="128">
        <f>SUMIF('702-798'!$1:$1,L$3,'702-798'!3:3)</f>
        <v>0</v>
      </c>
      <c r="M55" s="128">
        <f>SUMIF('702-798'!$1:$1,M$3,'702-798'!3:3)</f>
        <v>-35861</v>
      </c>
      <c r="N55" s="128">
        <f>SUMIF('702-798'!$1:$1,N$3,'702-798'!3:3)</f>
        <v>0</v>
      </c>
      <c r="O55" s="128">
        <f>SUMIF('702-798'!$1:$1,O$3,'702-798'!3:3)</f>
        <v>-27240</v>
      </c>
      <c r="P55" s="128">
        <f>SUMIF('702-798'!$1:$1,P$3,'702-798'!3:3)</f>
        <v>-37938.5</v>
      </c>
      <c r="Q55" s="128">
        <f>SUMIF('702-798'!$1:$1,Q$3,'702-798'!3:3)</f>
        <v>-900</v>
      </c>
      <c r="R55" s="128">
        <f>SUMIF('702-798'!$1:$1,R$3,'702-798'!3:3)</f>
        <v>0</v>
      </c>
      <c r="S55" s="128">
        <f>SUMIF('702-798'!$1:$1,S$3,'702-798'!3:3)</f>
        <v>-6186.6900000000005</v>
      </c>
      <c r="T55" s="128">
        <f>SUMIF('702-798'!$1:$1,T$3,'702-798'!3:3)</f>
        <v>8.2399999999999984</v>
      </c>
      <c r="U55" s="128">
        <f>SUMIF('702-798'!$1:$1,U$3,'702-798'!3:3)</f>
        <v>0</v>
      </c>
      <c r="V55" s="128">
        <f>SUMIF('702-798'!$1:$1,V$3,'702-798'!3:3)</f>
        <v>0</v>
      </c>
      <c r="W55" s="128">
        <f>SUMIF('702-798'!$1:$1,W$3,'702-798'!3:3)</f>
        <v>-6358.260000000002</v>
      </c>
      <c r="X55" s="128">
        <f>SUMIF('702-798'!$1:$1,X$3,'702-798'!3:3)</f>
        <v>-1500</v>
      </c>
      <c r="Y55" s="164">
        <f>SUMIF('702-798'!$1:$1,Y$3,'702-798'!3:3)</f>
        <v>0</v>
      </c>
      <c r="Z55" s="128">
        <f>SUMIF('702-798'!$1:$1,Z$3,'702-798'!3:3)</f>
        <v>0</v>
      </c>
      <c r="AA55" s="128">
        <f>SUMIF('702-798'!$1:$1,AA$3,'702-798'!3:3)</f>
        <v>-47290.159999999996</v>
      </c>
      <c r="AB55" s="128">
        <f>SUMIF('702-798'!$1:$1,AB$3,'702-798'!3:3)</f>
        <v>-1596.58</v>
      </c>
      <c r="AC55" s="314">
        <f>SUMIF('702-798'!$1:$1,AC$3,'702-798'!3:3)</f>
        <v>0</v>
      </c>
      <c r="AD55" s="314">
        <f>SUMIF('702-798'!$1:$1,AD$3,'702-798'!3:3)</f>
        <v>0</v>
      </c>
      <c r="AE55" s="314">
        <f>SUMIF('702-798'!$1:$1,AE$3,'702-798'!3:3)</f>
        <v>0</v>
      </c>
      <c r="AF55" s="314">
        <f>SUMIF('702-798'!$1:$1,AF$3,'702-798'!3:3)</f>
        <v>0</v>
      </c>
      <c r="AG55" s="128">
        <f>SUMIF('702-798'!$1:$1,AG$3,'702-798'!3:3)</f>
        <v>354105.48</v>
      </c>
      <c r="AH55" s="128">
        <f>SUMIF('702-798'!$1:$1,AH$3,'702-798'!3:3)</f>
        <v>20420.240000000002</v>
      </c>
      <c r="AI55" s="128">
        <f>SUMIF('702-798'!$1:$1,AI$3,'702-798'!3:3)</f>
        <v>99976.49000000002</v>
      </c>
      <c r="AJ55" s="128">
        <f>SUMIF('702-798'!$1:$1,AJ$3,'702-798'!3:3)</f>
        <v>0</v>
      </c>
      <c r="AK55" s="128">
        <f>SUMIF('702-798'!$1:$1,AK$3,'702-798'!3:3)</f>
        <v>48893.21</v>
      </c>
      <c r="AL55" s="128">
        <f>SUMIF('702-798'!$1:$1,AL$3,'702-798'!3:3)</f>
        <v>0</v>
      </c>
      <c r="AM55" s="128">
        <f>SUMIF('702-798'!$1:$1,AM$3,'702-798'!3:3)</f>
        <v>27537.93</v>
      </c>
      <c r="AN55" s="128">
        <f>SUMIF('702-798'!$1:$1,AN$3,'702-798'!3:3)</f>
        <v>2057.8000000000002</v>
      </c>
      <c r="AO55" s="128">
        <f>SUMIF('702-798'!$1:$1,AO$3,'702-798'!3:3)</f>
        <v>1999.99</v>
      </c>
      <c r="AP55" s="128">
        <f>SUMIF('702-798'!$1:$1,AP$3,'702-798'!3:3)</f>
        <v>253.15</v>
      </c>
      <c r="AQ55" s="128">
        <f>SUMIF('702-798'!$1:$1,AQ$3,'702-798'!3:3)</f>
        <v>0</v>
      </c>
      <c r="AR55" s="128">
        <f>SUMIF('702-798'!$1:$1,AR$3,'702-798'!3:3)</f>
        <v>13392.32</v>
      </c>
      <c r="AS55" s="128">
        <f>SUMIF('702-798'!$1:$1,AS$3,'702-798'!3:3)</f>
        <v>3373.46</v>
      </c>
      <c r="AT55" s="128">
        <f>SUMIF('702-798'!$1:$1,AT$3,'702-798'!3:3)</f>
        <v>27026.149999999998</v>
      </c>
      <c r="AU55" s="128">
        <f>SUMIF('702-798'!$1:$1,AU$3,'702-798'!3:3)</f>
        <v>3519.8599999999997</v>
      </c>
      <c r="AV55" s="128">
        <f>SUMIF('702-798'!$1:$1,AV$3,'702-798'!3:3)</f>
        <v>19975.03</v>
      </c>
      <c r="AW55" s="128">
        <f>SUMIF('702-798'!$1:$1,AW$3,'702-798'!3:3)</f>
        <v>15940.67</v>
      </c>
      <c r="AX55" s="128">
        <f>SUMIF('702-798'!$1:$1,AX$3,'702-798'!3:3)</f>
        <v>1801.15</v>
      </c>
      <c r="AY55" s="128">
        <f>SUMIF('702-798'!$1:$1,AY$3,'702-798'!3:3)</f>
        <v>27489.320000000007</v>
      </c>
      <c r="AZ55" s="314">
        <f>SUMIF('702-798'!$1:$1,AZ$3,'702-798'!3:3)</f>
        <v>0</v>
      </c>
      <c r="BA55" s="128">
        <f>SUMIF('702-798'!$1:$1,BA$3,'702-798'!3:3)</f>
        <v>245.5</v>
      </c>
      <c r="BB55" s="128">
        <f>SUMIF('702-798'!$1:$1,BB$3,'702-798'!3:3)</f>
        <v>0</v>
      </c>
      <c r="BC55" s="128">
        <f>SUMIF('702-798'!$1:$1,BC$3,'702-798'!3:3)</f>
        <v>0</v>
      </c>
      <c r="BD55" s="128">
        <f>SUMIF('702-798'!$1:$1,BD$3,'702-798'!3:3)</f>
        <v>501</v>
      </c>
      <c r="BE55" s="128">
        <f>SUMIF('702-798'!$1:$1,BE$3,'702-798'!3:3)</f>
        <v>0</v>
      </c>
      <c r="BF55" s="128">
        <f>SUMIF('702-798'!$1:$1,BF$3,'702-798'!3:3)</f>
        <v>6.65</v>
      </c>
      <c r="BG55" s="128">
        <f>SUMIF('702-798'!$1:$1,BG$3,'702-798'!3:3)</f>
        <v>5077.5</v>
      </c>
      <c r="BH55" s="128">
        <f>SUMIF('702-798'!$1:$1,BH$3,'702-798'!3:3)</f>
        <v>0</v>
      </c>
      <c r="BI55" s="128">
        <f>SUMIF('702-798'!$1:$1,BI$3,'702-798'!3:3)</f>
        <v>3023.58</v>
      </c>
      <c r="BJ55" s="128">
        <f>SUMIF('702-798'!$1:$1,BJ$3,'702-798'!3:3)</f>
        <v>4480.34</v>
      </c>
      <c r="BK55" s="128">
        <f>SUMIF('702-798'!$1:$1,BK$3,'702-798'!3:3)</f>
        <v>0</v>
      </c>
      <c r="BL55" s="128">
        <f>SUMIF('702-798'!$1:$1,BL$3,'702-798'!3:3)</f>
        <v>22172.46</v>
      </c>
      <c r="BM55" s="128">
        <f>SUMIF('702-798'!$1:$1,BM$3,'702-798'!3:3)</f>
        <v>9148.5</v>
      </c>
      <c r="BN55" s="128">
        <f>SUMIF('702-798'!$1:$1,BN$3,'702-798'!3:3)</f>
        <v>72</v>
      </c>
      <c r="BO55" s="128">
        <f>SUMIF('702-798'!$1:$1,BO$3,'702-798'!3:3)</f>
        <v>13348.24</v>
      </c>
      <c r="BP55" s="128">
        <f>SUMIF('702-798'!$1:$1,BP$3,'702-798'!3:3)</f>
        <v>0</v>
      </c>
      <c r="BQ55" s="128">
        <f>SUMIF('702-798'!$1:$1,BQ$3,'702-798'!3:3)</f>
        <v>0</v>
      </c>
      <c r="BR55" s="128">
        <f>SUMIF('702-798'!$1:$1,BR$3,'702-798'!3:3)</f>
        <v>0</v>
      </c>
      <c r="BS55" s="128">
        <f>SUMIF('702-798'!$1:$1,BS$3,'702-798'!3:3)</f>
        <v>45734.739999999991</v>
      </c>
      <c r="BT55" s="128">
        <f>SUMIF('702-798'!$1:$1,BT$3,'702-798'!3:3)</f>
        <v>111.3</v>
      </c>
      <c r="BU55" s="128">
        <f>SUMIF('702-798'!$1:$1,BU$3,'702-798'!3:3)</f>
        <v>-5035</v>
      </c>
      <c r="BV55" s="128">
        <f>SUMIF('702-798'!$1:$1,BV$3,'702-798'!3:3)</f>
        <v>0</v>
      </c>
      <c r="BW55" s="128">
        <f>SUMIF('702-798'!$1:$1,BW$3,'702-798'!3:3)</f>
        <v>0</v>
      </c>
      <c r="BX55" s="128">
        <f>SUMIF('702-798'!$1:$1,BX$3,'702-798'!3:3)</f>
        <v>0</v>
      </c>
      <c r="BY55" s="128">
        <f>SUMIF('702-798'!$1:$1,BY$3,'702-798'!3:3)</f>
        <v>7077</v>
      </c>
      <c r="BZ55" s="128">
        <f>SUMIF('702-798'!$1:$1,BZ$3,'702-798'!3:3)</f>
        <v>0</v>
      </c>
      <c r="CA55" s="314">
        <f>SUMIF('702-798'!$1:$1,CA$3,'702-798'!3:3)</f>
        <v>0</v>
      </c>
      <c r="CB55" s="128">
        <f>SUMIF('702-798'!$1:$1,CB$3,'702-798'!3:3)</f>
        <v>0</v>
      </c>
      <c r="CC55" s="128">
        <f>SUMIF('702-798'!$1:$1,CC$3,'702-798'!3:3)</f>
        <v>0</v>
      </c>
      <c r="CD55" s="128">
        <f>SUMIF('702-798'!$1:$1,CD$3,'702-798'!3:3)</f>
        <v>0</v>
      </c>
      <c r="CE55" s="128">
        <f>SUMIF('702-798'!$1:$1,CE$3,'702-798'!3:3)</f>
        <v>1058</v>
      </c>
      <c r="CF55" s="128">
        <f>SUMIF('702-798'!$1:$1,CF$3,'702-798'!3:3)</f>
        <v>0</v>
      </c>
      <c r="CG55" s="257">
        <f t="shared" si="20"/>
        <v>20012.509999999947</v>
      </c>
      <c r="CJ55" s="122"/>
      <c r="CK55" s="169">
        <f>INDEX(SAP!C:C,MATCH('Actuals mapped to CFR'!A55,SAP!H:H,FALSE),1)</f>
        <v>20012.509999999998</v>
      </c>
      <c r="CL55" s="59">
        <f>ROUND(CK55-CG55,2)</f>
        <v>0</v>
      </c>
      <c r="CN55" s="81">
        <f t="shared" si="21"/>
        <v>774336.53999999992</v>
      </c>
      <c r="CO55" s="81">
        <f t="shared" si="22"/>
        <v>771684.05999999994</v>
      </c>
      <c r="CP55" s="166">
        <f>VLOOKUP(B55,'2526 GBP Data input'!$A$4:$CA$230,38,FALSE)</f>
        <v>727810</v>
      </c>
      <c r="CQ55" s="166">
        <f>VLOOKUP(B55,'2526 GBP Data input'!$A$4:$CA$230,73,FALSE)</f>
        <v>12023</v>
      </c>
      <c r="CR55" s="89">
        <f t="shared" si="25"/>
        <v>46526.539999999921</v>
      </c>
      <c r="CS55" s="83">
        <f t="shared" si="26"/>
        <v>64.183985694086331</v>
      </c>
      <c r="CT55" s="82">
        <f t="shared" si="23"/>
        <v>-17198.459999999963</v>
      </c>
      <c r="CU55" s="82">
        <f t="shared" si="24"/>
        <v>-24.119999999999891</v>
      </c>
      <c r="CV55" s="86">
        <f t="shared" si="27"/>
        <v>-17222.579999999962</v>
      </c>
    </row>
    <row r="56" spans="1:100" ht="12.75" customHeight="1">
      <c r="A56" s="238">
        <v>107714</v>
      </c>
      <c r="B56" s="60">
        <v>714</v>
      </c>
      <c r="C56" s="60" t="s">
        <v>237</v>
      </c>
      <c r="D56" s="128">
        <f>SUMIF('702-798'!$1:$1,D$3,'702-798'!4:4)</f>
        <v>-188071.82</v>
      </c>
      <c r="E56" s="128">
        <f>SUMIF('702-798'!$1:$1,E$3,'702-798'!4:4)</f>
        <v>-27706.9</v>
      </c>
      <c r="F56" s="128">
        <f>SUMIF('702-798'!$1:$1,F$3,'702-798'!4:4)</f>
        <v>0</v>
      </c>
      <c r="G56" s="128">
        <f>SUMIF('702-798'!$1:$1,G$3,'702-798'!4:4)</f>
        <v>-2429.0700000000002</v>
      </c>
      <c r="H56" s="128">
        <f>SUMIF('702-798'!$1:$1,H$3,'702-798'!4:4)</f>
        <v>0</v>
      </c>
      <c r="I56" s="128">
        <f>SUMIF('702-798'!$1:$1,I$3,'702-798'!4:4)</f>
        <v>0</v>
      </c>
      <c r="J56" s="128">
        <f>SUMIF('702-798'!$1:$1,J$3,'702-798'!4:4)</f>
        <v>0</v>
      </c>
      <c r="K56" s="128">
        <f>SUMIF('702-798'!$1:$1,K$3,'702-798'!4:4)</f>
        <v>-630444.12</v>
      </c>
      <c r="L56" s="128">
        <f>SUMIF('702-798'!$1:$1,L$3,'702-798'!4:4)</f>
        <v>0</v>
      </c>
      <c r="M56" s="128">
        <f>SUMIF('702-798'!$1:$1,M$3,'702-798'!4:4)</f>
        <v>-6284</v>
      </c>
      <c r="N56" s="128">
        <f>SUMIF('702-798'!$1:$1,N$3,'702-798'!4:4)</f>
        <v>0</v>
      </c>
      <c r="O56" s="128">
        <f>SUMIF('702-798'!$1:$1,O$3,'702-798'!4:4)</f>
        <v>-10140</v>
      </c>
      <c r="P56" s="128">
        <f>SUMIF('702-798'!$1:$1,P$3,'702-798'!4:4)</f>
        <v>-37201.64</v>
      </c>
      <c r="Q56" s="128">
        <f>SUMIF('702-798'!$1:$1,Q$3,'702-798'!4:4)</f>
        <v>-1140</v>
      </c>
      <c r="R56" s="128">
        <f>SUMIF('702-798'!$1:$1,R$3,'702-798'!4:4)</f>
        <v>0</v>
      </c>
      <c r="S56" s="128">
        <f>SUMIF('702-798'!$1:$1,S$3,'702-798'!4:4)</f>
        <v>-33594.61</v>
      </c>
      <c r="T56" s="128">
        <f>SUMIF('702-798'!$1:$1,T$3,'702-798'!4:4)</f>
        <v>0</v>
      </c>
      <c r="U56" s="128">
        <f>SUMIF('702-798'!$1:$1,U$3,'702-798'!4:4)</f>
        <v>0</v>
      </c>
      <c r="V56" s="128">
        <f>SUMIF('702-798'!$1:$1,V$3,'702-798'!4:4)</f>
        <v>0</v>
      </c>
      <c r="W56" s="128">
        <f>SUMIF('702-798'!$1:$1,W$3,'702-798'!4:4)</f>
        <v>-5356</v>
      </c>
      <c r="X56" s="128">
        <f>SUMIF('702-798'!$1:$1,X$3,'702-798'!4:4)</f>
        <v>0</v>
      </c>
      <c r="Y56" s="164">
        <f>SUMIF('702-798'!$1:$1,Y$3,'702-798'!4:4)</f>
        <v>0</v>
      </c>
      <c r="Z56" s="128">
        <f>SUMIF('702-798'!$1:$1,Z$3,'702-798'!4:4)</f>
        <v>0</v>
      </c>
      <c r="AA56" s="128">
        <f>SUMIF('702-798'!$1:$1,AA$3,'702-798'!4:4)</f>
        <v>0</v>
      </c>
      <c r="AB56" s="128">
        <f>SUMIF('702-798'!$1:$1,AB$3,'702-798'!4:4)</f>
        <v>0</v>
      </c>
      <c r="AC56" s="314">
        <f>SUMIF('702-798'!$1:$1,AC$3,'702-798'!4:4)</f>
        <v>0</v>
      </c>
      <c r="AD56" s="314">
        <f>SUMIF('702-798'!$1:$1,AD$3,'702-798'!4:4)</f>
        <v>0</v>
      </c>
      <c r="AE56" s="314">
        <f>SUMIF('702-798'!$1:$1,AE$3,'702-798'!4:4)</f>
        <v>0</v>
      </c>
      <c r="AF56" s="314">
        <f>SUMIF('702-798'!$1:$1,AF$3,'702-798'!4:4)</f>
        <v>0</v>
      </c>
      <c r="AG56" s="128">
        <f>SUMIF('702-798'!$1:$1,AG$3,'702-798'!4:4)</f>
        <v>361626.85999999993</v>
      </c>
      <c r="AH56" s="128">
        <f>SUMIF('702-798'!$1:$1,AH$3,'702-798'!4:4)</f>
        <v>7195.0899999999992</v>
      </c>
      <c r="AI56" s="128">
        <f>SUMIF('702-798'!$1:$1,AI$3,'702-798'!4:4)</f>
        <v>70810.470000000016</v>
      </c>
      <c r="AJ56" s="128">
        <f>SUMIF('702-798'!$1:$1,AJ$3,'702-798'!4:4)</f>
        <v>14791.949999999999</v>
      </c>
      <c r="AK56" s="128">
        <f>SUMIF('702-798'!$1:$1,AK$3,'702-798'!4:4)</f>
        <v>52096.92</v>
      </c>
      <c r="AL56" s="128">
        <f>SUMIF('702-798'!$1:$1,AL$3,'702-798'!4:4)</f>
        <v>0</v>
      </c>
      <c r="AM56" s="128">
        <f>SUMIF('702-798'!$1:$1,AM$3,'702-798'!4:4)</f>
        <v>27461.27</v>
      </c>
      <c r="AN56" s="128">
        <f>SUMIF('702-798'!$1:$1,AN$3,'702-798'!4:4)</f>
        <v>1909</v>
      </c>
      <c r="AO56" s="128">
        <f>SUMIF('702-798'!$1:$1,AO$3,'702-798'!4:4)</f>
        <v>1550</v>
      </c>
      <c r="AP56" s="128">
        <f>SUMIF('702-798'!$1:$1,AP$3,'702-798'!4:4)</f>
        <v>311.10000000000002</v>
      </c>
      <c r="AQ56" s="128">
        <f>SUMIF('702-798'!$1:$1,AQ$3,'702-798'!4:4)</f>
        <v>0</v>
      </c>
      <c r="AR56" s="128">
        <f>SUMIF('702-798'!$1:$1,AR$3,'702-798'!4:4)</f>
        <v>6381.130000000001</v>
      </c>
      <c r="AS56" s="128">
        <f>SUMIF('702-798'!$1:$1,AS$3,'702-798'!4:4)</f>
        <v>440</v>
      </c>
      <c r="AT56" s="128">
        <f>SUMIF('702-798'!$1:$1,AT$3,'702-798'!4:4)</f>
        <v>197.37</v>
      </c>
      <c r="AU56" s="128">
        <f>SUMIF('702-798'!$1:$1,AU$3,'702-798'!4:4)</f>
        <v>1186.24</v>
      </c>
      <c r="AV56" s="128">
        <f>SUMIF('702-798'!$1:$1,AV$3,'702-798'!4:4)</f>
        <v>5788.76</v>
      </c>
      <c r="AW56" s="128">
        <f>SUMIF('702-798'!$1:$1,AW$3,'702-798'!4:4)</f>
        <v>2195.6</v>
      </c>
      <c r="AX56" s="128">
        <f>SUMIF('702-798'!$1:$1,AX$3,'702-798'!4:4)</f>
        <v>3283.8100000000004</v>
      </c>
      <c r="AY56" s="128">
        <f>SUMIF('702-798'!$1:$1,AY$3,'702-798'!4:4)</f>
        <v>22954.89</v>
      </c>
      <c r="AZ56" s="314">
        <f>SUMIF('702-798'!$1:$1,AZ$3,'702-798'!4:4)</f>
        <v>0</v>
      </c>
      <c r="BA56" s="128">
        <f>SUMIF('702-798'!$1:$1,BA$3,'702-798'!4:4)</f>
        <v>1485.58</v>
      </c>
      <c r="BB56" s="128">
        <f>SUMIF('702-798'!$1:$1,BB$3,'702-798'!4:4)</f>
        <v>0</v>
      </c>
      <c r="BC56" s="128">
        <f>SUMIF('702-798'!$1:$1,BC$3,'702-798'!4:4)</f>
        <v>271.14999999999998</v>
      </c>
      <c r="BD56" s="128">
        <f>SUMIF('702-798'!$1:$1,BD$3,'702-798'!4:4)</f>
        <v>243.6</v>
      </c>
      <c r="BE56" s="128">
        <f>SUMIF('702-798'!$1:$1,BE$3,'702-798'!4:4)</f>
        <v>0</v>
      </c>
      <c r="BF56" s="128">
        <f>SUMIF('702-798'!$1:$1,BF$3,'702-798'!4:4)</f>
        <v>0</v>
      </c>
      <c r="BG56" s="128">
        <f>SUMIF('702-798'!$1:$1,BG$3,'702-798'!4:4)</f>
        <v>1071</v>
      </c>
      <c r="BH56" s="128">
        <f>SUMIF('702-798'!$1:$1,BH$3,'702-798'!4:4)</f>
        <v>0</v>
      </c>
      <c r="BI56" s="128">
        <f>SUMIF('702-798'!$1:$1,BI$3,'702-798'!4:4)</f>
        <v>769.2</v>
      </c>
      <c r="BJ56" s="128">
        <f>SUMIF('702-798'!$1:$1,BJ$3,'702-798'!4:4)</f>
        <v>5505.96</v>
      </c>
      <c r="BK56" s="128">
        <f>SUMIF('702-798'!$1:$1,BK$3,'702-798'!4:4)</f>
        <v>7020</v>
      </c>
      <c r="BL56" s="128">
        <f>SUMIF('702-798'!$1:$1,BL$3,'702-798'!4:4)</f>
        <v>23227.899999999998</v>
      </c>
      <c r="BM56" s="128">
        <f>SUMIF('702-798'!$1:$1,BM$3,'702-798'!4:4)</f>
        <v>1971</v>
      </c>
      <c r="BN56" s="128">
        <f>SUMIF('702-798'!$1:$1,BN$3,'702-798'!4:4)</f>
        <v>13429.709999999997</v>
      </c>
      <c r="BO56" s="128">
        <f>SUMIF('702-798'!$1:$1,BO$3,'702-798'!4:4)</f>
        <v>18190.939999999999</v>
      </c>
      <c r="BP56" s="128">
        <f>SUMIF('702-798'!$1:$1,BP$3,'702-798'!4:4)</f>
        <v>0</v>
      </c>
      <c r="BQ56" s="128">
        <f>SUMIF('702-798'!$1:$1,BQ$3,'702-798'!4:4)</f>
        <v>0</v>
      </c>
      <c r="BR56" s="128">
        <f>SUMIF('702-798'!$1:$1,BR$3,'702-798'!4:4)</f>
        <v>0</v>
      </c>
      <c r="BS56" s="128">
        <f>SUMIF('702-798'!$1:$1,BS$3,'702-798'!4:4)</f>
        <v>0</v>
      </c>
      <c r="BT56" s="128">
        <f>SUMIF('702-798'!$1:$1,BT$3,'702-798'!4:4)</f>
        <v>0</v>
      </c>
      <c r="BU56" s="128">
        <f>SUMIF('702-798'!$1:$1,BU$3,'702-798'!4:4)</f>
        <v>-5035</v>
      </c>
      <c r="BV56" s="128">
        <f>SUMIF('702-798'!$1:$1,BV$3,'702-798'!4:4)</f>
        <v>0</v>
      </c>
      <c r="BW56" s="128">
        <f>SUMIF('702-798'!$1:$1,BW$3,'702-798'!4:4)</f>
        <v>0</v>
      </c>
      <c r="BX56" s="128">
        <f>SUMIF('702-798'!$1:$1,BX$3,'702-798'!4:4)</f>
        <v>0</v>
      </c>
      <c r="BY56" s="128">
        <f>SUMIF('702-798'!$1:$1,BY$3,'702-798'!4:4)</f>
        <v>2508.33</v>
      </c>
      <c r="BZ56" s="128">
        <f>SUMIF('702-798'!$1:$1,BZ$3,'702-798'!4:4)</f>
        <v>0</v>
      </c>
      <c r="CA56" s="314">
        <f>SUMIF('702-798'!$1:$1,CA$3,'702-798'!4:4)</f>
        <v>0</v>
      </c>
      <c r="CB56" s="128">
        <f>SUMIF('702-798'!$1:$1,CB$3,'702-798'!4:4)</f>
        <v>0</v>
      </c>
      <c r="CC56" s="128">
        <f>SUMIF('702-798'!$1:$1,CC$3,'702-798'!4:4)</f>
        <v>0</v>
      </c>
      <c r="CD56" s="128">
        <f>SUMIF('702-798'!$1:$1,CD$3,'702-798'!4:4)</f>
        <v>0</v>
      </c>
      <c r="CE56" s="128">
        <f>SUMIF('702-798'!$1:$1,CE$3,'702-798'!4:4)</f>
        <v>0</v>
      </c>
      <c r="CF56" s="128">
        <f>SUMIF('702-798'!$1:$1,CF$3,'702-798'!4:4)</f>
        <v>0</v>
      </c>
      <c r="CG56" s="257">
        <f t="shared" si="20"/>
        <v>-291528.32999999996</v>
      </c>
      <c r="CJ56" s="122"/>
      <c r="CK56" s="169">
        <f>INDEX(SAP!C:C,MATCH('Actuals mapped to CFR'!A56,SAP!H:H,FALSE),1)</f>
        <v>-291528.33</v>
      </c>
      <c r="CL56" s="59">
        <f t="shared" si="15"/>
        <v>0</v>
      </c>
      <c r="CN56" s="81">
        <f t="shared" si="21"/>
        <v>724160.37</v>
      </c>
      <c r="CO56" s="81">
        <f t="shared" si="22"/>
        <v>653366.49999999977</v>
      </c>
      <c r="CP56" s="166">
        <f>VLOOKUP(B56,'2526 GBP Data input'!$A$4:$CA$230,38,FALSE)</f>
        <v>687614</v>
      </c>
      <c r="CQ56" s="166">
        <f>VLOOKUP(B56,'2526 GBP Data input'!$A$4:$CA$230,73,FALSE)</f>
        <v>16796</v>
      </c>
      <c r="CR56" s="89">
        <f t="shared" si="25"/>
        <v>36546.369999999995</v>
      </c>
      <c r="CS56" s="83">
        <f t="shared" si="26"/>
        <v>38.900125029768979</v>
      </c>
      <c r="CT56" s="82">
        <f t="shared" si="23"/>
        <v>258865.69000000018</v>
      </c>
      <c r="CU56" s="82">
        <f t="shared" si="24"/>
        <v>4955.74</v>
      </c>
      <c r="CV56" s="86">
        <f t="shared" si="27"/>
        <v>263821.43000000017</v>
      </c>
    </row>
    <row r="57" spans="1:100" ht="12.75" customHeight="1">
      <c r="A57" s="238">
        <v>107717</v>
      </c>
      <c r="B57" s="60">
        <v>717</v>
      </c>
      <c r="C57" s="60" t="s">
        <v>190</v>
      </c>
      <c r="D57" s="128">
        <f>SUMIF('702-798'!$1:$1,D$3,'702-798'!5:5)</f>
        <v>-127814.63</v>
      </c>
      <c r="E57" s="128">
        <f>SUMIF('702-798'!$1:$1,E$3,'702-798'!5:5)</f>
        <v>-16387.189999999999</v>
      </c>
      <c r="F57" s="128">
        <f>SUMIF('702-798'!$1:$1,F$3,'702-798'!5:5)</f>
        <v>0</v>
      </c>
      <c r="G57" s="128">
        <f>SUMIF('702-798'!$1:$1,G$3,'702-798'!5:5)</f>
        <v>-2723.09</v>
      </c>
      <c r="H57" s="128">
        <f>SUMIF('702-798'!$1:$1,H$3,'702-798'!5:5)</f>
        <v>0</v>
      </c>
      <c r="I57" s="128">
        <f>SUMIF('702-798'!$1:$1,I$3,'702-798'!5:5)</f>
        <v>0</v>
      </c>
      <c r="J57" s="128">
        <f>SUMIF('702-798'!$1:$1,J$3,'702-798'!5:5)</f>
        <v>0</v>
      </c>
      <c r="K57" s="128">
        <f>SUMIF('702-798'!$1:$1,K$3,'702-798'!5:5)</f>
        <v>-1101822.17</v>
      </c>
      <c r="L57" s="128">
        <f>SUMIF('702-798'!$1:$1,L$3,'702-798'!5:5)</f>
        <v>0</v>
      </c>
      <c r="M57" s="128">
        <f>SUMIF('702-798'!$1:$1,M$3,'702-798'!5:5)</f>
        <v>-76045</v>
      </c>
      <c r="N57" s="128">
        <f>SUMIF('702-798'!$1:$1,N$3,'702-798'!5:5)</f>
        <v>0</v>
      </c>
      <c r="O57" s="128">
        <f>SUMIF('702-798'!$1:$1,O$3,'702-798'!5:5)</f>
        <v>-60885</v>
      </c>
      <c r="P57" s="128">
        <f>SUMIF('702-798'!$1:$1,P$3,'702-798'!5:5)</f>
        <v>-50227</v>
      </c>
      <c r="Q57" s="128">
        <f>SUMIF('702-798'!$1:$1,Q$3,'702-798'!5:5)</f>
        <v>0</v>
      </c>
      <c r="R57" s="128">
        <f>SUMIF('702-798'!$1:$1,R$3,'702-798'!5:5)</f>
        <v>0</v>
      </c>
      <c r="S57" s="128">
        <f>SUMIF('702-798'!$1:$1,S$3,'702-798'!5:5)</f>
        <v>-48801.400000000009</v>
      </c>
      <c r="T57" s="128">
        <f>SUMIF('702-798'!$1:$1,T$3,'702-798'!5:5)</f>
        <v>-1379.99</v>
      </c>
      <c r="U57" s="128">
        <f>SUMIF('702-798'!$1:$1,U$3,'702-798'!5:5)</f>
        <v>-4410</v>
      </c>
      <c r="V57" s="128">
        <f>SUMIF('702-798'!$1:$1,V$3,'702-798'!5:5)</f>
        <v>0</v>
      </c>
      <c r="W57" s="128">
        <f>SUMIF('702-798'!$1:$1,W$3,'702-798'!5:5)</f>
        <v>-10750.519999999999</v>
      </c>
      <c r="X57" s="128">
        <f>SUMIF('702-798'!$1:$1,X$3,'702-798'!5:5)</f>
        <v>-19815</v>
      </c>
      <c r="Y57" s="164">
        <f>SUMIF('702-798'!$1:$1,Y$3,'702-798'!5:5)</f>
        <v>0</v>
      </c>
      <c r="Z57" s="128">
        <f>SUMIF('702-798'!$1:$1,Z$3,'702-798'!5:5)</f>
        <v>0</v>
      </c>
      <c r="AA57" s="128">
        <f>SUMIF('702-798'!$1:$1,AA$3,'702-798'!5:5)</f>
        <v>0</v>
      </c>
      <c r="AB57" s="128">
        <f>SUMIF('702-798'!$1:$1,AB$3,'702-798'!5:5)</f>
        <v>0</v>
      </c>
      <c r="AC57" s="314">
        <f>SUMIF('702-798'!$1:$1,AC$3,'702-798'!5:5)</f>
        <v>0</v>
      </c>
      <c r="AD57" s="314">
        <f>SUMIF('702-798'!$1:$1,AD$3,'702-798'!5:5)</f>
        <v>0</v>
      </c>
      <c r="AE57" s="314">
        <f>SUMIF('702-798'!$1:$1,AE$3,'702-798'!5:5)</f>
        <v>0</v>
      </c>
      <c r="AF57" s="314">
        <f>SUMIF('702-798'!$1:$1,AF$3,'702-798'!5:5)</f>
        <v>0</v>
      </c>
      <c r="AG57" s="128">
        <f>SUMIF('702-798'!$1:$1,AG$3,'702-798'!5:5)</f>
        <v>678883.46</v>
      </c>
      <c r="AH57" s="128">
        <f>SUMIF('702-798'!$1:$1,AH$3,'702-798'!5:5)</f>
        <v>25375.780000000002</v>
      </c>
      <c r="AI57" s="128">
        <f>SUMIF('702-798'!$1:$1,AI$3,'702-798'!5:5)</f>
        <v>297234.51</v>
      </c>
      <c r="AJ57" s="128">
        <f>SUMIF('702-798'!$1:$1,AJ$3,'702-798'!5:5)</f>
        <v>28742.189999999991</v>
      </c>
      <c r="AK57" s="128">
        <f>SUMIF('702-798'!$1:$1,AK$3,'702-798'!5:5)</f>
        <v>39034.220000000008</v>
      </c>
      <c r="AL57" s="128">
        <f>SUMIF('702-798'!$1:$1,AL$3,'702-798'!5:5)</f>
        <v>0</v>
      </c>
      <c r="AM57" s="128">
        <f>SUMIF('702-798'!$1:$1,AM$3,'702-798'!5:5)</f>
        <v>0</v>
      </c>
      <c r="AN57" s="128">
        <f>SUMIF('702-798'!$1:$1,AN$3,'702-798'!5:5)</f>
        <v>4058.15</v>
      </c>
      <c r="AO57" s="128">
        <f>SUMIF('702-798'!$1:$1,AO$3,'702-798'!5:5)</f>
        <v>5618.58</v>
      </c>
      <c r="AP57" s="128">
        <f>SUMIF('702-798'!$1:$1,AP$3,'702-798'!5:5)</f>
        <v>3740.3</v>
      </c>
      <c r="AQ57" s="128">
        <f>SUMIF('702-798'!$1:$1,AQ$3,'702-798'!5:5)</f>
        <v>0</v>
      </c>
      <c r="AR57" s="128">
        <f>SUMIF('702-798'!$1:$1,AR$3,'702-798'!5:5)</f>
        <v>7711.23</v>
      </c>
      <c r="AS57" s="128">
        <f>SUMIF('702-798'!$1:$1,AS$3,'702-798'!5:5)</f>
        <v>4645.9799999999996</v>
      </c>
      <c r="AT57" s="128">
        <f>SUMIF('702-798'!$1:$1,AT$3,'702-798'!5:5)</f>
        <v>2278.1400000000003</v>
      </c>
      <c r="AU57" s="128">
        <f>SUMIF('702-798'!$1:$1,AU$3,'702-798'!5:5)</f>
        <v>3194.1</v>
      </c>
      <c r="AV57" s="128">
        <f>SUMIF('702-798'!$1:$1,AV$3,'702-798'!5:5)</f>
        <v>15397.929999999997</v>
      </c>
      <c r="AW57" s="128">
        <f>SUMIF('702-798'!$1:$1,AW$3,'702-798'!5:5)</f>
        <v>28938</v>
      </c>
      <c r="AX57" s="128">
        <f>SUMIF('702-798'!$1:$1,AX$3,'702-798'!5:5)</f>
        <v>2858.3199999999997</v>
      </c>
      <c r="AY57" s="128">
        <f>SUMIF('702-798'!$1:$1,AY$3,'702-798'!5:5)</f>
        <v>50086.649999999994</v>
      </c>
      <c r="AZ57" s="314">
        <f>SUMIF('702-798'!$1:$1,AZ$3,'702-798'!5:5)</f>
        <v>0</v>
      </c>
      <c r="BA57" s="128">
        <f>SUMIF('702-798'!$1:$1,BA$3,'702-798'!5:5)</f>
        <v>3266.91</v>
      </c>
      <c r="BB57" s="128">
        <f>SUMIF('702-798'!$1:$1,BB$3,'702-798'!5:5)</f>
        <v>0</v>
      </c>
      <c r="BC57" s="128">
        <f>SUMIF('702-798'!$1:$1,BC$3,'702-798'!5:5)</f>
        <v>18047.43</v>
      </c>
      <c r="BD57" s="128">
        <f>SUMIF('702-798'!$1:$1,BD$3,'702-798'!5:5)</f>
        <v>5734.0199999999995</v>
      </c>
      <c r="BE57" s="128">
        <f>SUMIF('702-798'!$1:$1,BE$3,'702-798'!5:5)</f>
        <v>11949.06</v>
      </c>
      <c r="BF57" s="128">
        <f>SUMIF('702-798'!$1:$1,BF$3,'702-798'!5:5)</f>
        <v>2427.3099999999995</v>
      </c>
      <c r="BG57" s="128">
        <f>SUMIF('702-798'!$1:$1,BG$3,'702-798'!5:5)</f>
        <v>5362.5</v>
      </c>
      <c r="BH57" s="128">
        <f>SUMIF('702-798'!$1:$1,BH$3,'702-798'!5:5)</f>
        <v>0</v>
      </c>
      <c r="BI57" s="128">
        <f>SUMIF('702-798'!$1:$1,BI$3,'702-798'!5:5)</f>
        <v>1103.8699999999999</v>
      </c>
      <c r="BJ57" s="128">
        <f>SUMIF('702-798'!$1:$1,BJ$3,'702-798'!5:5)</f>
        <v>10526.1</v>
      </c>
      <c r="BK57" s="128">
        <f>SUMIF('702-798'!$1:$1,BK$3,'702-798'!5:5)</f>
        <v>0</v>
      </c>
      <c r="BL57" s="128">
        <f>SUMIF('702-798'!$1:$1,BL$3,'702-798'!5:5)</f>
        <v>58232.34</v>
      </c>
      <c r="BM57" s="128">
        <f>SUMIF('702-798'!$1:$1,BM$3,'702-798'!5:5)</f>
        <v>0</v>
      </c>
      <c r="BN57" s="128">
        <f>SUMIF('702-798'!$1:$1,BN$3,'702-798'!5:5)</f>
        <v>38969.49</v>
      </c>
      <c r="BO57" s="128">
        <f>SUMIF('702-798'!$1:$1,BO$3,'702-798'!5:5)</f>
        <v>23851.010000000006</v>
      </c>
      <c r="BP57" s="128">
        <f>SUMIF('702-798'!$1:$1,BP$3,'702-798'!5:5)</f>
        <v>0</v>
      </c>
      <c r="BQ57" s="128">
        <f>SUMIF('702-798'!$1:$1,BQ$3,'702-798'!5:5)</f>
        <v>0</v>
      </c>
      <c r="BR57" s="128">
        <f>SUMIF('702-798'!$1:$1,BR$3,'702-798'!5:5)</f>
        <v>0</v>
      </c>
      <c r="BS57" s="128">
        <f>SUMIF('702-798'!$1:$1,BS$3,'702-798'!5:5)</f>
        <v>0</v>
      </c>
      <c r="BT57" s="128">
        <f>SUMIF('702-798'!$1:$1,BT$3,'702-798'!5:5)</f>
        <v>0</v>
      </c>
      <c r="BU57" s="128">
        <f>SUMIF('702-798'!$1:$1,BU$3,'702-798'!5:5)</f>
        <v>-8453.74</v>
      </c>
      <c r="BV57" s="128">
        <f>SUMIF('702-798'!$1:$1,BV$3,'702-798'!5:5)</f>
        <v>0</v>
      </c>
      <c r="BW57" s="128">
        <f>SUMIF('702-798'!$1:$1,BW$3,'702-798'!5:5)</f>
        <v>0</v>
      </c>
      <c r="BX57" s="128">
        <f>SUMIF('702-798'!$1:$1,BX$3,'702-798'!5:5)</f>
        <v>0</v>
      </c>
      <c r="BY57" s="128">
        <f>SUMIF('702-798'!$1:$1,BY$3,'702-798'!5:5)</f>
        <v>0</v>
      </c>
      <c r="BZ57" s="128">
        <f>SUMIF('702-798'!$1:$1,BZ$3,'702-798'!5:5)</f>
        <v>0</v>
      </c>
      <c r="CA57" s="314">
        <f>SUMIF('702-798'!$1:$1,CA$3,'702-798'!5:5)</f>
        <v>0</v>
      </c>
      <c r="CB57" s="128">
        <f>SUMIF('702-798'!$1:$1,CB$3,'702-798'!5:5)</f>
        <v>0</v>
      </c>
      <c r="CC57" s="128">
        <f>SUMIF('702-798'!$1:$1,CC$3,'702-798'!5:5)</f>
        <v>0</v>
      </c>
      <c r="CD57" s="128">
        <f>SUMIF('702-798'!$1:$1,CD$3,'702-798'!5:5)</f>
        <v>0</v>
      </c>
      <c r="CE57" s="128">
        <f>SUMIF('702-798'!$1:$1,CE$3,'702-798'!5:5)</f>
        <v>0</v>
      </c>
      <c r="CF57" s="128">
        <f>SUMIF('702-798'!$1:$1,CF$3,'702-798'!5:5)</f>
        <v>0</v>
      </c>
      <c r="CG57" s="257">
        <f t="shared" si="20"/>
        <v>-152247.14999999976</v>
      </c>
      <c r="CJ57" s="122"/>
      <c r="CK57" s="169">
        <f>INDEX(SAP!C:C,MATCH('Actuals mapped to CFR'!A57,SAP!H:H,FALSE),1)</f>
        <v>-152247.15</v>
      </c>
      <c r="CL57" s="59">
        <f t="shared" si="15"/>
        <v>0</v>
      </c>
      <c r="CN57" s="81">
        <f t="shared" si="21"/>
        <v>1374136.0799999998</v>
      </c>
      <c r="CO57" s="81">
        <f t="shared" si="22"/>
        <v>1377267.58</v>
      </c>
      <c r="CP57" s="166">
        <f>VLOOKUP(B57,'2526 GBP Data input'!$A$4:$CA$230,38,FALSE)</f>
        <v>1309771</v>
      </c>
      <c r="CQ57" s="166">
        <f>VLOOKUP(B57,'2526 GBP Data input'!$A$4:$CA$230,73,FALSE)</f>
        <v>25101</v>
      </c>
      <c r="CR57" s="89">
        <f t="shared" si="25"/>
        <v>64365.079999999842</v>
      </c>
      <c r="CS57" s="83">
        <f t="shared" si="26"/>
        <v>54.869032309469745</v>
      </c>
      <c r="CT57" s="82">
        <f t="shared" si="23"/>
        <v>124683.12999999989</v>
      </c>
      <c r="CU57" s="82">
        <f t="shared" si="24"/>
        <v>11176.83</v>
      </c>
      <c r="CV57" s="86">
        <f t="shared" si="27"/>
        <v>135859.95999999988</v>
      </c>
    </row>
    <row r="58" spans="1:100" ht="12.75" customHeight="1">
      <c r="A58" s="238">
        <v>107720</v>
      </c>
      <c r="B58" s="60">
        <v>720</v>
      </c>
      <c r="C58" s="60" t="s">
        <v>233</v>
      </c>
      <c r="D58" s="128">
        <f>SUMIF('702-798'!$1:$1,D$3,'702-798'!6:6)</f>
        <v>97492.35</v>
      </c>
      <c r="E58" s="128">
        <f>SUMIF('702-798'!$1:$1,E$3,'702-798'!6:6)</f>
        <v>-3056.06</v>
      </c>
      <c r="F58" s="128">
        <f>SUMIF('702-798'!$1:$1,F$3,'702-798'!6:6)</f>
        <v>0</v>
      </c>
      <c r="G58" s="128">
        <f>SUMIF('702-798'!$1:$1,G$3,'702-798'!6:6)</f>
        <v>0</v>
      </c>
      <c r="H58" s="128">
        <f>SUMIF('702-798'!$1:$1,H$3,'702-798'!6:6)</f>
        <v>0</v>
      </c>
      <c r="I58" s="128">
        <f>SUMIF('702-798'!$1:$1,I$3,'702-798'!6:6)</f>
        <v>0</v>
      </c>
      <c r="J58" s="128">
        <f>SUMIF('702-798'!$1:$1,J$3,'702-798'!6:6)</f>
        <v>2713.87</v>
      </c>
      <c r="K58" s="128">
        <f>SUMIF('702-798'!$1:$1,K$3,'702-798'!6:6)</f>
        <v>-353080.66</v>
      </c>
      <c r="L58" s="128">
        <f>SUMIF('702-798'!$1:$1,L$3,'702-798'!6:6)</f>
        <v>0</v>
      </c>
      <c r="M58" s="128">
        <f>SUMIF('702-798'!$1:$1,M$3,'702-798'!6:6)</f>
        <v>-5119</v>
      </c>
      <c r="N58" s="128">
        <f>SUMIF('702-798'!$1:$1,N$3,'702-798'!6:6)</f>
        <v>0</v>
      </c>
      <c r="O58" s="128">
        <f>SUMIF('702-798'!$1:$1,O$3,'702-798'!6:6)</f>
        <v>-11720</v>
      </c>
      <c r="P58" s="128">
        <f>SUMIF('702-798'!$1:$1,P$3,'702-798'!6:6)</f>
        <v>-18250</v>
      </c>
      <c r="Q58" s="128">
        <f>SUMIF('702-798'!$1:$1,Q$3,'702-798'!6:6)</f>
        <v>0</v>
      </c>
      <c r="R58" s="128">
        <f>SUMIF('702-798'!$1:$1,R$3,'702-798'!6:6)</f>
        <v>0</v>
      </c>
      <c r="S58" s="128">
        <f>SUMIF('702-798'!$1:$1,S$3,'702-798'!6:6)</f>
        <v>-10527.79</v>
      </c>
      <c r="T58" s="128">
        <f>SUMIF('702-798'!$1:$1,T$3,'702-798'!6:6)</f>
        <v>-2017.3500000000001</v>
      </c>
      <c r="U58" s="128">
        <f>SUMIF('702-798'!$1:$1,U$3,'702-798'!6:6)</f>
        <v>-7224</v>
      </c>
      <c r="V58" s="128">
        <f>SUMIF('702-798'!$1:$1,V$3,'702-798'!6:6)</f>
        <v>-5400</v>
      </c>
      <c r="W58" s="128">
        <f>SUMIF('702-798'!$1:$1,W$3,'702-798'!6:6)</f>
        <v>-1107.7</v>
      </c>
      <c r="X58" s="128">
        <f>SUMIF('702-798'!$1:$1,X$3,'702-798'!6:6)</f>
        <v>-2025</v>
      </c>
      <c r="Y58" s="164">
        <f>SUMIF('702-798'!$1:$1,Y$3,'702-798'!6:6)</f>
        <v>0</v>
      </c>
      <c r="Z58" s="128">
        <f>SUMIF('702-798'!$1:$1,Z$3,'702-798'!6:6)</f>
        <v>0</v>
      </c>
      <c r="AA58" s="128">
        <f>SUMIF('702-798'!$1:$1,AA$3,'702-798'!6:6)</f>
        <v>-34490.310000000005</v>
      </c>
      <c r="AB58" s="128">
        <f>SUMIF('702-798'!$1:$1,AB$3,'702-798'!6:6)</f>
        <v>-4260.7599999999993</v>
      </c>
      <c r="AC58" s="314">
        <f>SUMIF('702-798'!$1:$1,AC$3,'702-798'!6:6)</f>
        <v>0</v>
      </c>
      <c r="AD58" s="314">
        <f>SUMIF('702-798'!$1:$1,AD$3,'702-798'!6:6)</f>
        <v>0</v>
      </c>
      <c r="AE58" s="314">
        <f>SUMIF('702-798'!$1:$1,AE$3,'702-798'!6:6)</f>
        <v>0</v>
      </c>
      <c r="AF58" s="314">
        <f>SUMIF('702-798'!$1:$1,AF$3,'702-798'!6:6)</f>
        <v>0</v>
      </c>
      <c r="AG58" s="128">
        <f>SUMIF('702-798'!$1:$1,AG$3,'702-798'!6:6)</f>
        <v>232490.69</v>
      </c>
      <c r="AH58" s="128">
        <f>SUMIF('702-798'!$1:$1,AH$3,'702-798'!6:6)</f>
        <v>2730.06</v>
      </c>
      <c r="AI58" s="128">
        <f>SUMIF('702-798'!$1:$1,AI$3,'702-798'!6:6)</f>
        <v>31726.33</v>
      </c>
      <c r="AJ58" s="128">
        <f>SUMIF('702-798'!$1:$1,AJ$3,'702-798'!6:6)</f>
        <v>0</v>
      </c>
      <c r="AK58" s="128">
        <f>SUMIF('702-798'!$1:$1,AK$3,'702-798'!6:6)</f>
        <v>42349.74</v>
      </c>
      <c r="AL58" s="128">
        <f>SUMIF('702-798'!$1:$1,AL$3,'702-798'!6:6)</f>
        <v>0</v>
      </c>
      <c r="AM58" s="128">
        <f>SUMIF('702-798'!$1:$1,AM$3,'702-798'!6:6)</f>
        <v>19119.330000000002</v>
      </c>
      <c r="AN58" s="128">
        <f>SUMIF('702-798'!$1:$1,AN$3,'702-798'!6:6)</f>
        <v>98.050000000000011</v>
      </c>
      <c r="AO58" s="128">
        <f>SUMIF('702-798'!$1:$1,AO$3,'702-798'!6:6)</f>
        <v>69.5</v>
      </c>
      <c r="AP58" s="128">
        <f>SUMIF('702-798'!$1:$1,AP$3,'702-798'!6:6)</f>
        <v>8509.2800000000007</v>
      </c>
      <c r="AQ58" s="128">
        <f>SUMIF('702-798'!$1:$1,AQ$3,'702-798'!6:6)</f>
        <v>2105.21</v>
      </c>
      <c r="AR58" s="128">
        <f>SUMIF('702-798'!$1:$1,AR$3,'702-798'!6:6)</f>
        <v>8900.85</v>
      </c>
      <c r="AS58" s="128">
        <f>SUMIF('702-798'!$1:$1,AS$3,'702-798'!6:6)</f>
        <v>3859.4199999999983</v>
      </c>
      <c r="AT58" s="128">
        <f>SUMIF('702-798'!$1:$1,AT$3,'702-798'!6:6)</f>
        <v>9624.02</v>
      </c>
      <c r="AU58" s="128">
        <f>SUMIF('702-798'!$1:$1,AU$3,'702-798'!6:6)</f>
        <v>1538.92</v>
      </c>
      <c r="AV58" s="128">
        <f>SUMIF('702-798'!$1:$1,AV$3,'702-798'!6:6)</f>
        <v>11870.96</v>
      </c>
      <c r="AW58" s="128">
        <f>SUMIF('702-798'!$1:$1,AW$3,'702-798'!6:6)</f>
        <v>1529.4</v>
      </c>
      <c r="AX58" s="128">
        <f>SUMIF('702-798'!$1:$1,AX$3,'702-798'!6:6)</f>
        <v>1497.6500000000003</v>
      </c>
      <c r="AY58" s="128">
        <f>SUMIF('702-798'!$1:$1,AY$3,'702-798'!6:6)</f>
        <v>11997.5</v>
      </c>
      <c r="AZ58" s="314">
        <f>SUMIF('702-798'!$1:$1,AZ$3,'702-798'!6:6)</f>
        <v>0</v>
      </c>
      <c r="BA58" s="128">
        <f>SUMIF('702-798'!$1:$1,BA$3,'702-798'!6:6)</f>
        <v>2095.6</v>
      </c>
      <c r="BB58" s="128">
        <f>SUMIF('702-798'!$1:$1,BB$3,'702-798'!6:6)</f>
        <v>0</v>
      </c>
      <c r="BC58" s="128">
        <f>SUMIF('702-798'!$1:$1,BC$3,'702-798'!6:6)</f>
        <v>1904.99</v>
      </c>
      <c r="BD58" s="128">
        <f>SUMIF('702-798'!$1:$1,BD$3,'702-798'!6:6)</f>
        <v>0</v>
      </c>
      <c r="BE58" s="128">
        <f>SUMIF('702-798'!$1:$1,BE$3,'702-798'!6:6)</f>
        <v>0</v>
      </c>
      <c r="BF58" s="128">
        <f>SUMIF('702-798'!$1:$1,BF$3,'702-798'!6:6)</f>
        <v>0</v>
      </c>
      <c r="BG58" s="128">
        <f>SUMIF('702-798'!$1:$1,BG$3,'702-798'!6:6)</f>
        <v>3290</v>
      </c>
      <c r="BH58" s="128">
        <f>SUMIF('702-798'!$1:$1,BH$3,'702-798'!6:6)</f>
        <v>0</v>
      </c>
      <c r="BI58" s="128">
        <f>SUMIF('702-798'!$1:$1,BI$3,'702-798'!6:6)</f>
        <v>2330.91</v>
      </c>
      <c r="BJ58" s="128">
        <f>SUMIF('702-798'!$1:$1,BJ$3,'702-798'!6:6)</f>
        <v>1565.42</v>
      </c>
      <c r="BK58" s="128">
        <f>SUMIF('702-798'!$1:$1,BK$3,'702-798'!6:6)</f>
        <v>0</v>
      </c>
      <c r="BL58" s="128">
        <f>SUMIF('702-798'!$1:$1,BL$3,'702-798'!6:6)</f>
        <v>8144.8899999999994</v>
      </c>
      <c r="BM58" s="128">
        <f>SUMIF('702-798'!$1:$1,BM$3,'702-798'!6:6)</f>
        <v>883</v>
      </c>
      <c r="BN58" s="128">
        <f>SUMIF('702-798'!$1:$1,BN$3,'702-798'!6:6)</f>
        <v>8678</v>
      </c>
      <c r="BO58" s="128">
        <f>SUMIF('702-798'!$1:$1,BO$3,'702-798'!6:6)</f>
        <v>8590.49</v>
      </c>
      <c r="BP58" s="128">
        <f>SUMIF('702-798'!$1:$1,BP$3,'702-798'!6:6)</f>
        <v>0</v>
      </c>
      <c r="BQ58" s="128">
        <f>SUMIF('702-798'!$1:$1,BQ$3,'702-798'!6:6)</f>
        <v>0</v>
      </c>
      <c r="BR58" s="128">
        <f>SUMIF('702-798'!$1:$1,BR$3,'702-798'!6:6)</f>
        <v>0</v>
      </c>
      <c r="BS58" s="128">
        <f>SUMIF('702-798'!$1:$1,BS$3,'702-798'!6:6)</f>
        <v>22221.37</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4">
        <f>SUMIF('702-798'!$1:$1,CA$3,'702-798'!6:6)</f>
        <v>0</v>
      </c>
      <c r="CB58" s="128">
        <f>SUMIF('702-798'!$1:$1,CB$3,'702-798'!6:6)</f>
        <v>0</v>
      </c>
      <c r="CC58" s="128">
        <f>SUMIF('702-798'!$1:$1,CC$3,'702-798'!6:6)</f>
        <v>0</v>
      </c>
      <c r="CD58" s="128">
        <f>SUMIF('702-798'!$1:$1,CD$3,'702-798'!6:6)</f>
        <v>0</v>
      </c>
      <c r="CE58" s="128">
        <f>SUMIF('702-798'!$1:$1,CE$3,'702-798'!6:6)</f>
        <v>0</v>
      </c>
      <c r="CF58" s="128">
        <f>SUMIF('702-798'!$1:$1,CF$3,'702-798'!6:6)</f>
        <v>0</v>
      </c>
      <c r="CG58" s="257">
        <f t="shared" si="20"/>
        <v>91649.170000000027</v>
      </c>
      <c r="CJ58" s="122"/>
      <c r="CK58" s="169">
        <f>INDEX(SAP!C:C,MATCH('Actuals mapped to CFR'!A58,SAP!H:H,FALSE),1)</f>
        <v>91649.17</v>
      </c>
      <c r="CL58" s="59">
        <f t="shared" si="15"/>
        <v>0</v>
      </c>
      <c r="CN58" s="81">
        <f t="shared" si="21"/>
        <v>455222.56999999995</v>
      </c>
      <c r="CO58" s="81">
        <f t="shared" si="22"/>
        <v>449721.58</v>
      </c>
      <c r="CP58" s="166">
        <f>VLOOKUP(B58,'2526 GBP Data input'!$A$4:$CA$230,38,FALSE)</f>
        <v>420614</v>
      </c>
      <c r="CQ58" s="166">
        <f>VLOOKUP(B58,'2526 GBP Data input'!$A$4:$CA$230,73,FALSE)</f>
        <v>10726</v>
      </c>
      <c r="CR58" s="89">
        <f t="shared" si="25"/>
        <v>34608.569999999949</v>
      </c>
      <c r="CS58" s="83">
        <f t="shared" si="26"/>
        <v>41.928172664553422</v>
      </c>
      <c r="CT58" s="82">
        <f t="shared" si="23"/>
        <v>-91991.360000000044</v>
      </c>
      <c r="CU58" s="82">
        <f t="shared" si="24"/>
        <v>0</v>
      </c>
      <c r="CV58" s="86">
        <f t="shared" si="27"/>
        <v>-91991.360000000044</v>
      </c>
    </row>
    <row r="59" spans="1:100" ht="12.75" customHeight="1">
      <c r="A59" s="238">
        <v>107721</v>
      </c>
      <c r="B59" s="60">
        <v>721</v>
      </c>
      <c r="C59" s="60" t="s">
        <v>210</v>
      </c>
      <c r="D59" s="128">
        <f>SUMIF('702-798'!$1:$1,D$3,'702-798'!7:7)</f>
        <v>-168465.14</v>
      </c>
      <c r="E59" s="128">
        <f>SUMIF('702-798'!$1:$1,E$3,'702-798'!7:7)</f>
        <v>-283.02</v>
      </c>
      <c r="F59" s="128">
        <f>SUMIF('702-798'!$1:$1,F$3,'702-798'!7:7)</f>
        <v>0</v>
      </c>
      <c r="G59" s="128">
        <f>SUMIF('702-798'!$1:$1,G$3,'702-798'!7:7)</f>
        <v>0</v>
      </c>
      <c r="H59" s="128">
        <f>SUMIF('702-798'!$1:$1,H$3,'702-798'!7:7)</f>
        <v>0</v>
      </c>
      <c r="I59" s="128">
        <f>SUMIF('702-798'!$1:$1,I$3,'702-798'!7:7)</f>
        <v>0</v>
      </c>
      <c r="J59" s="128">
        <f>SUMIF('702-798'!$1:$1,J$3,'702-798'!7:7)</f>
        <v>0</v>
      </c>
      <c r="K59" s="128">
        <f>SUMIF('702-798'!$1:$1,K$3,'702-798'!7:7)</f>
        <v>-1170737.6000000001</v>
      </c>
      <c r="L59" s="128">
        <f>SUMIF('702-798'!$1:$1,L$3,'702-798'!7:7)</f>
        <v>0</v>
      </c>
      <c r="M59" s="128">
        <f>SUMIF('702-798'!$1:$1,M$3,'702-798'!7:7)</f>
        <v>-139381</v>
      </c>
      <c r="N59" s="128">
        <f>SUMIF('702-798'!$1:$1,N$3,'702-798'!7:7)</f>
        <v>0</v>
      </c>
      <c r="O59" s="128">
        <f>SUMIF('702-798'!$1:$1,O$3,'702-798'!7:7)</f>
        <v>-68677.37</v>
      </c>
      <c r="P59" s="128">
        <f>SUMIF('702-798'!$1:$1,P$3,'702-798'!7:7)</f>
        <v>-50781</v>
      </c>
      <c r="Q59" s="128">
        <f>SUMIF('702-798'!$1:$1,Q$3,'702-798'!7:7)</f>
        <v>-2822.5</v>
      </c>
      <c r="R59" s="128">
        <f>SUMIF('702-798'!$1:$1,R$3,'702-798'!7:7)</f>
        <v>0</v>
      </c>
      <c r="S59" s="128">
        <f>SUMIF('702-798'!$1:$1,S$3,'702-798'!7:7)</f>
        <v>-31596.179999999986</v>
      </c>
      <c r="T59" s="128">
        <f>SUMIF('702-798'!$1:$1,T$3,'702-798'!7:7)</f>
        <v>23.44</v>
      </c>
      <c r="U59" s="128">
        <f>SUMIF('702-798'!$1:$1,U$3,'702-798'!7:7)</f>
        <v>-6120</v>
      </c>
      <c r="V59" s="128">
        <f>SUMIF('702-798'!$1:$1,V$3,'702-798'!7:7)</f>
        <v>0</v>
      </c>
      <c r="W59" s="128">
        <f>SUMIF('702-798'!$1:$1,W$3,'702-798'!7:7)</f>
        <v>-15375.410000000002</v>
      </c>
      <c r="X59" s="128">
        <f>SUMIF('702-798'!$1:$1,X$3,'702-798'!7:7)</f>
        <v>-2010.88</v>
      </c>
      <c r="Y59" s="164">
        <f>SUMIF('702-798'!$1:$1,Y$3,'702-798'!7:7)</f>
        <v>0</v>
      </c>
      <c r="Z59" s="128">
        <f>SUMIF('702-798'!$1:$1,Z$3,'702-798'!7:7)</f>
        <v>0</v>
      </c>
      <c r="AA59" s="128">
        <f>SUMIF('702-798'!$1:$1,AA$3,'702-798'!7:7)</f>
        <v>0</v>
      </c>
      <c r="AB59" s="128">
        <f>SUMIF('702-798'!$1:$1,AB$3,'702-798'!7:7)</f>
        <v>0</v>
      </c>
      <c r="AC59" s="314">
        <f>SUMIF('702-798'!$1:$1,AC$3,'702-798'!7:7)</f>
        <v>0</v>
      </c>
      <c r="AD59" s="314">
        <f>SUMIF('702-798'!$1:$1,AD$3,'702-798'!7:7)</f>
        <v>0</v>
      </c>
      <c r="AE59" s="314">
        <f>SUMIF('702-798'!$1:$1,AE$3,'702-798'!7:7)</f>
        <v>0</v>
      </c>
      <c r="AF59" s="314">
        <f>SUMIF('702-798'!$1:$1,AF$3,'702-798'!7:7)</f>
        <v>0</v>
      </c>
      <c r="AG59" s="128">
        <f>SUMIF('702-798'!$1:$1,AG$3,'702-798'!7:7)</f>
        <v>739096.79</v>
      </c>
      <c r="AH59" s="128">
        <f>SUMIF('702-798'!$1:$1,AH$3,'702-798'!7:7)</f>
        <v>13105.08</v>
      </c>
      <c r="AI59" s="128">
        <f>SUMIF('702-798'!$1:$1,AI$3,'702-798'!7:7)</f>
        <v>323014.90000000002</v>
      </c>
      <c r="AJ59" s="128">
        <f>SUMIF('702-798'!$1:$1,AJ$3,'702-798'!7:7)</f>
        <v>34738.57</v>
      </c>
      <c r="AK59" s="128">
        <f>SUMIF('702-798'!$1:$1,AK$3,'702-798'!7:7)</f>
        <v>57757.35</v>
      </c>
      <c r="AL59" s="128">
        <f>SUMIF('702-798'!$1:$1,AL$3,'702-798'!7:7)</f>
        <v>0</v>
      </c>
      <c r="AM59" s="128">
        <f>SUMIF('702-798'!$1:$1,AM$3,'702-798'!7:7)</f>
        <v>60095.64</v>
      </c>
      <c r="AN59" s="128">
        <f>SUMIF('702-798'!$1:$1,AN$3,'702-798'!7:7)</f>
        <v>189.01</v>
      </c>
      <c r="AO59" s="128">
        <f>SUMIF('702-798'!$1:$1,AO$3,'702-798'!7:7)</f>
        <v>3663.45</v>
      </c>
      <c r="AP59" s="128">
        <f>SUMIF('702-798'!$1:$1,AP$3,'702-798'!7:7)</f>
        <v>4137.33</v>
      </c>
      <c r="AQ59" s="128">
        <f>SUMIF('702-798'!$1:$1,AQ$3,'702-798'!7:7)</f>
        <v>300</v>
      </c>
      <c r="AR59" s="128">
        <f>SUMIF('702-798'!$1:$1,AR$3,'702-798'!7:7)</f>
        <v>4693.17</v>
      </c>
      <c r="AS59" s="128">
        <f>SUMIF('702-798'!$1:$1,AS$3,'702-798'!7:7)</f>
        <v>9228.9500000000007</v>
      </c>
      <c r="AT59" s="128">
        <f>SUMIF('702-798'!$1:$1,AT$3,'702-798'!7:7)</f>
        <v>3136.3899999999994</v>
      </c>
      <c r="AU59" s="128">
        <f>SUMIF('702-798'!$1:$1,AU$3,'702-798'!7:7)</f>
        <v>3349.6800000000003</v>
      </c>
      <c r="AV59" s="128">
        <f>SUMIF('702-798'!$1:$1,AV$3,'702-798'!7:7)</f>
        <v>16801.23</v>
      </c>
      <c r="AW59" s="128">
        <f>SUMIF('702-798'!$1:$1,AW$3,'702-798'!7:7)</f>
        <v>5039.8999999999996</v>
      </c>
      <c r="AX59" s="128">
        <f>SUMIF('702-798'!$1:$1,AX$3,'702-798'!7:7)</f>
        <v>3560.4</v>
      </c>
      <c r="AY59" s="128">
        <f>SUMIF('702-798'!$1:$1,AY$3,'702-798'!7:7)</f>
        <v>33153.06</v>
      </c>
      <c r="AZ59" s="314">
        <f>SUMIF('702-798'!$1:$1,AZ$3,'702-798'!7:7)</f>
        <v>0</v>
      </c>
      <c r="BA59" s="128">
        <f>SUMIF('702-798'!$1:$1,BA$3,'702-798'!7:7)</f>
        <v>2821.5600000000009</v>
      </c>
      <c r="BB59" s="128">
        <f>SUMIF('702-798'!$1:$1,BB$3,'702-798'!7:7)</f>
        <v>0</v>
      </c>
      <c r="BC59" s="128">
        <f>SUMIF('702-798'!$1:$1,BC$3,'702-798'!7:7)</f>
        <v>9185.9499999999989</v>
      </c>
      <c r="BD59" s="128">
        <f>SUMIF('702-798'!$1:$1,BD$3,'702-798'!7:7)</f>
        <v>2273.3700000000003</v>
      </c>
      <c r="BE59" s="128">
        <f>SUMIF('702-798'!$1:$1,BE$3,'702-798'!7:7)</f>
        <v>277.16000000000003</v>
      </c>
      <c r="BF59" s="128">
        <f>SUMIF('702-798'!$1:$1,BF$3,'702-798'!7:7)</f>
        <v>198.42</v>
      </c>
      <c r="BG59" s="128">
        <f>SUMIF('702-798'!$1:$1,BG$3,'702-798'!7:7)</f>
        <v>6865</v>
      </c>
      <c r="BH59" s="128">
        <f>SUMIF('702-798'!$1:$1,BH$3,'702-798'!7:7)</f>
        <v>0</v>
      </c>
      <c r="BI59" s="128">
        <f>SUMIF('702-798'!$1:$1,BI$3,'702-798'!7:7)</f>
        <v>2731.1000000000004</v>
      </c>
      <c r="BJ59" s="128">
        <f>SUMIF('702-798'!$1:$1,BJ$3,'702-798'!7:7)</f>
        <v>11335.8</v>
      </c>
      <c r="BK59" s="128">
        <f>SUMIF('702-798'!$1:$1,BK$3,'702-798'!7:7)</f>
        <v>0</v>
      </c>
      <c r="BL59" s="128">
        <f>SUMIF('702-798'!$1:$1,BL$3,'702-798'!7:7)</f>
        <v>58663.279999999992</v>
      </c>
      <c r="BM59" s="128">
        <f>SUMIF('702-798'!$1:$1,BM$3,'702-798'!7:7)</f>
        <v>0</v>
      </c>
      <c r="BN59" s="128">
        <f>SUMIF('702-798'!$1:$1,BN$3,'702-798'!7:7)</f>
        <v>33029.450000000004</v>
      </c>
      <c r="BO59" s="128">
        <f>SUMIF('702-798'!$1:$1,BO$3,'702-798'!7:7)</f>
        <v>17122.47</v>
      </c>
      <c r="BP59" s="128">
        <f>SUMIF('702-798'!$1:$1,BP$3,'702-798'!7:7)</f>
        <v>0</v>
      </c>
      <c r="BQ59" s="128">
        <f>SUMIF('702-798'!$1:$1,BQ$3,'702-798'!7:7)</f>
        <v>0</v>
      </c>
      <c r="BR59" s="128">
        <f>SUMIF('702-798'!$1:$1,BR$3,'702-798'!7:7)</f>
        <v>473.32</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4">
        <f>SUMIF('702-798'!$1:$1,CA$3,'702-798'!7:7)</f>
        <v>0</v>
      </c>
      <c r="CB59" s="128">
        <f>SUMIF('702-798'!$1:$1,CB$3,'702-798'!7:7)</f>
        <v>0</v>
      </c>
      <c r="CC59" s="128">
        <f>SUMIF('702-798'!$1:$1,CC$3,'702-798'!7:7)</f>
        <v>0</v>
      </c>
      <c r="CD59" s="128">
        <f>SUMIF('702-798'!$1:$1,CD$3,'702-798'!7:7)</f>
        <v>0</v>
      </c>
      <c r="CE59" s="128">
        <f>SUMIF('702-798'!$1:$1,CE$3,'702-798'!7:7)</f>
        <v>0</v>
      </c>
      <c r="CF59" s="128">
        <f>SUMIF('702-798'!$1:$1,CF$3,'702-798'!7:7)</f>
        <v>0</v>
      </c>
      <c r="CG59" s="257">
        <f t="shared" si="20"/>
        <v>-196188.87999999971</v>
      </c>
      <c r="CJ59" s="122"/>
      <c r="CK59" s="169">
        <f>INDEX(SAP!C:C,MATCH('Actuals mapped to CFR'!A59,SAP!H:H,FALSE),1)</f>
        <v>-196188.88</v>
      </c>
      <c r="CL59" s="59">
        <f t="shared" si="15"/>
        <v>0</v>
      </c>
      <c r="CN59" s="81">
        <f t="shared" si="21"/>
        <v>1487478.5</v>
      </c>
      <c r="CO59" s="81">
        <f t="shared" si="22"/>
        <v>1460037.7799999998</v>
      </c>
      <c r="CP59" s="166">
        <f>VLOOKUP(B59,'2526 GBP Data input'!$A$4:$CA$230,38,FALSE)</f>
        <v>1445786</v>
      </c>
      <c r="CQ59" s="166">
        <f>VLOOKUP(B59,'2526 GBP Data input'!$A$4:$CA$230,73,FALSE)</f>
        <v>19519</v>
      </c>
      <c r="CR59" s="89">
        <f t="shared" si="25"/>
        <v>41692.5</v>
      </c>
      <c r="CS59" s="83">
        <f t="shared" si="26"/>
        <v>74.800849428761708</v>
      </c>
      <c r="CT59" s="82">
        <f t="shared" si="23"/>
        <v>195905.86000000034</v>
      </c>
      <c r="CU59" s="82">
        <f t="shared" si="24"/>
        <v>0</v>
      </c>
      <c r="CV59" s="86">
        <f t="shared" si="27"/>
        <v>195905.86000000034</v>
      </c>
    </row>
    <row r="60" spans="1:100" ht="12.75" customHeight="1">
      <c r="A60" s="238">
        <v>107724</v>
      </c>
      <c r="B60" s="60">
        <v>724</v>
      </c>
      <c r="C60" s="60" t="s">
        <v>284</v>
      </c>
      <c r="D60" s="128">
        <f>SUMIF('702-798'!$1:$1,D$3,'702-798'!8:8)</f>
        <v>-3993.79</v>
      </c>
      <c r="E60" s="128">
        <f>SUMIF('702-798'!$1:$1,E$3,'702-798'!8:8)</f>
        <v>-8856.7800000000007</v>
      </c>
      <c r="F60" s="128">
        <f>SUMIF('702-798'!$1:$1,F$3,'702-798'!8:8)</f>
        <v>0</v>
      </c>
      <c r="G60" s="128">
        <f>SUMIF('702-798'!$1:$1,G$3,'702-798'!8:8)</f>
        <v>-6488.91</v>
      </c>
      <c r="H60" s="128">
        <f>SUMIF('702-798'!$1:$1,H$3,'702-798'!8:8)</f>
        <v>0</v>
      </c>
      <c r="I60" s="128">
        <f>SUMIF('702-798'!$1:$1,I$3,'702-798'!8:8)</f>
        <v>0</v>
      </c>
      <c r="J60" s="128">
        <f>SUMIF('702-798'!$1:$1,J$3,'702-798'!8:8)</f>
        <v>0</v>
      </c>
      <c r="K60" s="128">
        <f>SUMIF('702-798'!$1:$1,K$3,'702-798'!8:8)</f>
        <v>-1048679.81</v>
      </c>
      <c r="L60" s="128">
        <f>SUMIF('702-798'!$1:$1,L$3,'702-798'!8:8)</f>
        <v>0</v>
      </c>
      <c r="M60" s="128">
        <f>SUMIF('702-798'!$1:$1,M$3,'702-798'!8:8)</f>
        <v>-126025</v>
      </c>
      <c r="N60" s="128">
        <f>SUMIF('702-798'!$1:$1,N$3,'702-798'!8:8)</f>
        <v>0</v>
      </c>
      <c r="O60" s="128">
        <f>SUMIF('702-798'!$1:$1,O$3,'702-798'!8:8)</f>
        <v>-63005</v>
      </c>
      <c r="P60" s="128">
        <f>SUMIF('702-798'!$1:$1,P$3,'702-798'!8:8)</f>
        <v>-41768</v>
      </c>
      <c r="Q60" s="128">
        <f>SUMIF('702-798'!$1:$1,Q$3,'702-798'!8:8)</f>
        <v>-1800</v>
      </c>
      <c r="R60" s="128">
        <f>SUMIF('702-798'!$1:$1,R$3,'702-798'!8:8)</f>
        <v>-11877.83</v>
      </c>
      <c r="S60" s="128">
        <f>SUMIF('702-798'!$1:$1,S$3,'702-798'!8:8)</f>
        <v>-51628.619999999988</v>
      </c>
      <c r="T60" s="128">
        <f>SUMIF('702-798'!$1:$1,T$3,'702-798'!8:8)</f>
        <v>-10476.239999999996</v>
      </c>
      <c r="U60" s="128">
        <f>SUMIF('702-798'!$1:$1,U$3,'702-798'!8:8)</f>
        <v>0</v>
      </c>
      <c r="V60" s="128">
        <f>SUMIF('702-798'!$1:$1,V$3,'702-798'!8:8)</f>
        <v>-5625</v>
      </c>
      <c r="W60" s="128">
        <f>SUMIF('702-798'!$1:$1,W$3,'702-798'!8:8)</f>
        <v>-24930.560000000009</v>
      </c>
      <c r="X60" s="128">
        <f>SUMIF('702-798'!$1:$1,X$3,'702-798'!8:8)</f>
        <v>-10256.959999999999</v>
      </c>
      <c r="Y60" s="164">
        <f>SUMIF('702-798'!$1:$1,Y$3,'702-798'!8:8)</f>
        <v>0</v>
      </c>
      <c r="Z60" s="128">
        <f>SUMIF('702-798'!$1:$1,Z$3,'702-798'!8:8)</f>
        <v>0</v>
      </c>
      <c r="AA60" s="128">
        <f>SUMIF('702-798'!$1:$1,AA$3,'702-798'!8:8)</f>
        <v>0</v>
      </c>
      <c r="AB60" s="128">
        <f>SUMIF('702-798'!$1:$1,AB$3,'702-798'!8:8)</f>
        <v>-459.26999999999981</v>
      </c>
      <c r="AC60" s="314">
        <f>SUMIF('702-798'!$1:$1,AC$3,'702-798'!8:8)</f>
        <v>0</v>
      </c>
      <c r="AD60" s="314">
        <f>SUMIF('702-798'!$1:$1,AD$3,'702-798'!8:8)</f>
        <v>0</v>
      </c>
      <c r="AE60" s="314">
        <f>SUMIF('702-798'!$1:$1,AE$3,'702-798'!8:8)</f>
        <v>0</v>
      </c>
      <c r="AF60" s="314">
        <f>SUMIF('702-798'!$1:$1,AF$3,'702-798'!8:8)</f>
        <v>0</v>
      </c>
      <c r="AG60" s="128">
        <f>SUMIF('702-798'!$1:$1,AG$3,'702-798'!8:8)</f>
        <v>610623.98</v>
      </c>
      <c r="AH60" s="128">
        <f>SUMIF('702-798'!$1:$1,AH$3,'702-798'!8:8)</f>
        <v>10922.9</v>
      </c>
      <c r="AI60" s="128">
        <f>SUMIF('702-798'!$1:$1,AI$3,'702-798'!8:8)</f>
        <v>249803.96</v>
      </c>
      <c r="AJ60" s="128">
        <f>SUMIF('702-798'!$1:$1,AJ$3,'702-798'!8:8)</f>
        <v>47774.399999999994</v>
      </c>
      <c r="AK60" s="128">
        <f>SUMIF('702-798'!$1:$1,AK$3,'702-798'!8:8)</f>
        <v>68254.84</v>
      </c>
      <c r="AL60" s="128">
        <f>SUMIF('702-798'!$1:$1,AL$3,'702-798'!8:8)</f>
        <v>38674.719999999994</v>
      </c>
      <c r="AM60" s="128">
        <f>SUMIF('702-798'!$1:$1,AM$3,'702-798'!8:8)</f>
        <v>72978.810000000012</v>
      </c>
      <c r="AN60" s="128">
        <f>SUMIF('702-798'!$1:$1,AN$3,'702-798'!8:8)</f>
        <v>5056.83</v>
      </c>
      <c r="AO60" s="128">
        <f>SUMIF('702-798'!$1:$1,AO$3,'702-798'!8:8)</f>
        <v>4477.9799999999996</v>
      </c>
      <c r="AP60" s="128">
        <f>SUMIF('702-798'!$1:$1,AP$3,'702-798'!8:8)</f>
        <v>4168.22</v>
      </c>
      <c r="AQ60" s="128">
        <f>SUMIF('702-798'!$1:$1,AQ$3,'702-798'!8:8)</f>
        <v>0</v>
      </c>
      <c r="AR60" s="128">
        <f>SUMIF('702-798'!$1:$1,AR$3,'702-798'!8:8)</f>
        <v>13297.88</v>
      </c>
      <c r="AS60" s="128">
        <f>SUMIF('702-798'!$1:$1,AS$3,'702-798'!8:8)</f>
        <v>947.11000000000013</v>
      </c>
      <c r="AT60" s="128">
        <f>SUMIF('702-798'!$1:$1,AT$3,'702-798'!8:8)</f>
        <v>1173.26</v>
      </c>
      <c r="AU60" s="128">
        <f>SUMIF('702-798'!$1:$1,AU$3,'702-798'!8:8)</f>
        <v>7687.9900000000007</v>
      </c>
      <c r="AV60" s="128">
        <f>SUMIF('702-798'!$1:$1,AV$3,'702-798'!8:8)</f>
        <v>24163.93</v>
      </c>
      <c r="AW60" s="128">
        <f>SUMIF('702-798'!$1:$1,AW$3,'702-798'!8:8)</f>
        <v>17090.75</v>
      </c>
      <c r="AX60" s="128">
        <f>SUMIF('702-798'!$1:$1,AX$3,'702-798'!8:8)</f>
        <v>5182.5599999999995</v>
      </c>
      <c r="AY60" s="128">
        <f>SUMIF('702-798'!$1:$1,AY$3,'702-798'!8:8)</f>
        <v>68725.740000000005</v>
      </c>
      <c r="AZ60" s="314">
        <f>SUMIF('702-798'!$1:$1,AZ$3,'702-798'!8:8)</f>
        <v>0</v>
      </c>
      <c r="BA60" s="128">
        <f>SUMIF('702-798'!$1:$1,BA$3,'702-798'!8:8)</f>
        <v>0</v>
      </c>
      <c r="BB60" s="128">
        <f>SUMIF('702-798'!$1:$1,BB$3,'702-798'!8:8)</f>
        <v>0</v>
      </c>
      <c r="BC60" s="128">
        <f>SUMIF('702-798'!$1:$1,BC$3,'702-798'!8:8)</f>
        <v>1886.8799999999999</v>
      </c>
      <c r="BD60" s="128">
        <f>SUMIF('702-798'!$1:$1,BD$3,'702-798'!8:8)</f>
        <v>6322.1</v>
      </c>
      <c r="BE60" s="128">
        <f>SUMIF('702-798'!$1:$1,BE$3,'702-798'!8:8)</f>
        <v>1535.92</v>
      </c>
      <c r="BF60" s="128">
        <f>SUMIF('702-798'!$1:$1,BF$3,'702-798'!8:8)</f>
        <v>216.76</v>
      </c>
      <c r="BG60" s="128">
        <f>SUMIF('702-798'!$1:$1,BG$3,'702-798'!8:8)</f>
        <v>5413.5</v>
      </c>
      <c r="BH60" s="128">
        <f>SUMIF('702-798'!$1:$1,BH$3,'702-798'!8:8)</f>
        <v>0</v>
      </c>
      <c r="BI60" s="128">
        <f>SUMIF('702-798'!$1:$1,BI$3,'702-798'!8:8)</f>
        <v>6429.7200000000012</v>
      </c>
      <c r="BJ60" s="128">
        <f>SUMIF('702-798'!$1:$1,BJ$3,'702-798'!8:8)</f>
        <v>10094.26</v>
      </c>
      <c r="BK60" s="128">
        <f>SUMIF('702-798'!$1:$1,BK$3,'702-798'!8:8)</f>
        <v>0</v>
      </c>
      <c r="BL60" s="128">
        <f>SUMIF('702-798'!$1:$1,BL$3,'702-798'!8:8)</f>
        <v>16915.870000000003</v>
      </c>
      <c r="BM60" s="128">
        <f>SUMIF('702-798'!$1:$1,BM$3,'702-798'!8:8)</f>
        <v>29330.84</v>
      </c>
      <c r="BN60" s="128">
        <f>SUMIF('702-798'!$1:$1,BN$3,'702-798'!8:8)</f>
        <v>27336.21</v>
      </c>
      <c r="BO60" s="128">
        <f>SUMIF('702-798'!$1:$1,BO$3,'702-798'!8:8)</f>
        <v>22966.280000000006</v>
      </c>
      <c r="BP60" s="128">
        <f>SUMIF('702-798'!$1:$1,BP$3,'702-798'!8:8)</f>
        <v>0</v>
      </c>
      <c r="BQ60" s="128">
        <f>SUMIF('702-798'!$1:$1,BQ$3,'702-798'!8:8)</f>
        <v>0</v>
      </c>
      <c r="BR60" s="128">
        <f>SUMIF('702-798'!$1:$1,BR$3,'702-798'!8:8)</f>
        <v>0</v>
      </c>
      <c r="BS60" s="128">
        <f>SUMIF('702-798'!$1:$1,BS$3,'702-798'!8:8)</f>
        <v>0</v>
      </c>
      <c r="BT60" s="128">
        <f>SUMIF('702-798'!$1:$1,BT$3,'702-798'!8:8)</f>
        <v>0</v>
      </c>
      <c r="BU60" s="128">
        <f>SUMIF('702-798'!$1:$1,BU$3,'702-798'!8:8)</f>
        <v>-6238.75</v>
      </c>
      <c r="BV60" s="128">
        <f>SUMIF('702-798'!$1:$1,BV$3,'702-798'!8:8)</f>
        <v>0</v>
      </c>
      <c r="BW60" s="128">
        <f>SUMIF('702-798'!$1:$1,BW$3,'702-798'!8:8)</f>
        <v>0</v>
      </c>
      <c r="BX60" s="128">
        <f>SUMIF('702-798'!$1:$1,BX$3,'702-798'!8:8)</f>
        <v>0</v>
      </c>
      <c r="BY60" s="128">
        <f>SUMIF('702-798'!$1:$1,BY$3,'702-798'!8:8)</f>
        <v>9611.5</v>
      </c>
      <c r="BZ60" s="128">
        <f>SUMIF('702-798'!$1:$1,BZ$3,'702-798'!8:8)</f>
        <v>0</v>
      </c>
      <c r="CA60" s="314">
        <f>SUMIF('702-798'!$1:$1,CA$3,'702-798'!8:8)</f>
        <v>0</v>
      </c>
      <c r="CB60" s="128">
        <f>SUMIF('702-798'!$1:$1,CB$3,'702-798'!8:8)</f>
        <v>0</v>
      </c>
      <c r="CC60" s="128">
        <f>SUMIF('702-798'!$1:$1,CC$3,'702-798'!8:8)</f>
        <v>0</v>
      </c>
      <c r="CD60" s="128">
        <f>SUMIF('702-798'!$1:$1,CD$3,'702-798'!8:8)</f>
        <v>2995</v>
      </c>
      <c r="CE60" s="128">
        <f>SUMIF('702-798'!$1:$1,CE$3,'702-798'!8:8)</f>
        <v>404</v>
      </c>
      <c r="CF60" s="128">
        <f>SUMIF('702-798'!$1:$1,CF$3,'702-798'!8:8)</f>
        <v>0</v>
      </c>
      <c r="CG60" s="257">
        <f t="shared" si="20"/>
        <v>-29645.820000000109</v>
      </c>
      <c r="CJ60" s="122"/>
      <c r="CK60" s="169">
        <f>INDEX(SAP!C:C,MATCH('Actuals mapped to CFR'!A60,SAP!H:H,FALSE),1)</f>
        <v>-29645.82</v>
      </c>
      <c r="CL60" s="59">
        <f t="shared" si="15"/>
        <v>0</v>
      </c>
      <c r="CN60" s="81">
        <f t="shared" si="21"/>
        <v>1396532.29</v>
      </c>
      <c r="CO60" s="81">
        <f t="shared" si="22"/>
        <v>1379454.2</v>
      </c>
      <c r="CP60" s="166">
        <f>VLOOKUP(B60,'2526 GBP Data input'!$A$4:$CA$230,38,FALSE)</f>
        <v>1418954</v>
      </c>
      <c r="CQ60" s="166">
        <f>VLOOKUP(B60,'2526 GBP Data input'!$A$4:$CA$230,73,FALSE)</f>
        <v>15927</v>
      </c>
      <c r="CR60" s="89">
        <f t="shared" si="25"/>
        <v>-22421.709999999963</v>
      </c>
      <c r="CS60" s="83">
        <f t="shared" si="26"/>
        <v>86.611050417529981</v>
      </c>
      <c r="CT60" s="82">
        <f t="shared" si="23"/>
        <v>21071.880000000121</v>
      </c>
      <c r="CU60" s="82">
        <f t="shared" si="24"/>
        <v>3116.16</v>
      </c>
      <c r="CV60" s="86">
        <f t="shared" si="27"/>
        <v>24188.040000000121</v>
      </c>
    </row>
    <row r="61" spans="1:100" ht="12.75" customHeight="1">
      <c r="A61" s="238">
        <v>107726</v>
      </c>
      <c r="B61" s="60">
        <v>726</v>
      </c>
      <c r="C61" s="239" t="s">
        <v>397</v>
      </c>
      <c r="D61" s="128">
        <f>SUMIF('702-798'!$1:$1,D$3,'702-798'!9:9)</f>
        <v>-177167.75</v>
      </c>
      <c r="E61" s="128">
        <f>SUMIF('702-798'!$1:$1,E$3,'702-798'!9:9)</f>
        <v>-27664.79</v>
      </c>
      <c r="F61" s="128">
        <f>SUMIF('702-798'!$1:$1,F$3,'702-798'!9:9)</f>
        <v>0</v>
      </c>
      <c r="G61" s="128">
        <f>SUMIF('702-798'!$1:$1,G$3,'702-798'!9:9)</f>
        <v>-19908.509999999998</v>
      </c>
      <c r="H61" s="128">
        <f>SUMIF('702-798'!$1:$1,H$3,'702-798'!9:9)</f>
        <v>0</v>
      </c>
      <c r="I61" s="128">
        <f>SUMIF('702-798'!$1:$1,I$3,'702-798'!9:9)</f>
        <v>0</v>
      </c>
      <c r="J61" s="128">
        <f>SUMIF('702-798'!$1:$1,J$3,'702-798'!9:9)</f>
        <v>0</v>
      </c>
      <c r="K61" s="128">
        <f>SUMIF('702-798'!$1:$1,K$3,'702-798'!9:9)</f>
        <v>-1839475.89</v>
      </c>
      <c r="L61" s="128">
        <f>SUMIF('702-798'!$1:$1,L$3,'702-798'!9:9)</f>
        <v>0</v>
      </c>
      <c r="M61" s="128">
        <f>SUMIF('702-798'!$1:$1,M$3,'702-798'!9:9)</f>
        <v>-110894</v>
      </c>
      <c r="N61" s="128">
        <f>SUMIF('702-798'!$1:$1,N$3,'702-798'!9:9)</f>
        <v>0</v>
      </c>
      <c r="O61" s="128">
        <f>SUMIF('702-798'!$1:$1,O$3,'702-798'!9:9)</f>
        <v>-130180</v>
      </c>
      <c r="P61" s="128">
        <f>SUMIF('702-798'!$1:$1,P$3,'702-798'!9:9)</f>
        <v>-67847.22</v>
      </c>
      <c r="Q61" s="128">
        <f>SUMIF('702-798'!$1:$1,Q$3,'702-798'!9:9)</f>
        <v>-438.8</v>
      </c>
      <c r="R61" s="128">
        <f>SUMIF('702-798'!$1:$1,R$3,'702-798'!9:9)</f>
        <v>-4727.5</v>
      </c>
      <c r="S61" s="128">
        <f>SUMIF('702-798'!$1:$1,S$3,'702-798'!9:9)</f>
        <v>-32371.02</v>
      </c>
      <c r="T61" s="128">
        <f>SUMIF('702-798'!$1:$1,T$3,'702-798'!9:9)</f>
        <v>-28592.999999999993</v>
      </c>
      <c r="U61" s="128">
        <f>SUMIF('702-798'!$1:$1,U$3,'702-798'!9:9)</f>
        <v>0</v>
      </c>
      <c r="V61" s="128">
        <f>SUMIF('702-798'!$1:$1,V$3,'702-798'!9:9)</f>
        <v>-3417</v>
      </c>
      <c r="W61" s="128">
        <f>SUMIF('702-798'!$1:$1,W$3,'702-798'!9:9)</f>
        <v>-21206.65</v>
      </c>
      <c r="X61" s="128">
        <f>SUMIF('702-798'!$1:$1,X$3,'702-798'!9:9)</f>
        <v>-1924.2400000000002</v>
      </c>
      <c r="Y61" s="164">
        <f>SUMIF('702-798'!$1:$1,Y$3,'702-798'!9:9)</f>
        <v>0</v>
      </c>
      <c r="Z61" s="128">
        <f>SUMIF('702-798'!$1:$1,Z$3,'702-798'!9:9)</f>
        <v>0</v>
      </c>
      <c r="AA61" s="128">
        <f>SUMIF('702-798'!$1:$1,AA$3,'702-798'!9:9)</f>
        <v>0</v>
      </c>
      <c r="AB61" s="128">
        <f>SUMIF('702-798'!$1:$1,AB$3,'702-798'!9:9)</f>
        <v>0</v>
      </c>
      <c r="AC61" s="314">
        <f>SUMIF('702-798'!$1:$1,AC$3,'702-798'!9:9)</f>
        <v>0</v>
      </c>
      <c r="AD61" s="314">
        <f>SUMIF('702-798'!$1:$1,AD$3,'702-798'!9:9)</f>
        <v>0</v>
      </c>
      <c r="AE61" s="314">
        <f>SUMIF('702-798'!$1:$1,AE$3,'702-798'!9:9)</f>
        <v>0</v>
      </c>
      <c r="AF61" s="314">
        <f>SUMIF('702-798'!$1:$1,AF$3,'702-798'!9:9)</f>
        <v>0</v>
      </c>
      <c r="AG61" s="128">
        <f>SUMIF('702-798'!$1:$1,AG$3,'702-798'!9:9)</f>
        <v>1009139.1000000001</v>
      </c>
      <c r="AH61" s="128">
        <f>SUMIF('702-798'!$1:$1,AH$3,'702-798'!9:9)</f>
        <v>2632.5699999999997</v>
      </c>
      <c r="AI61" s="128">
        <f>SUMIF('702-798'!$1:$1,AI$3,'702-798'!9:9)</f>
        <v>449094.23000000004</v>
      </c>
      <c r="AJ61" s="128">
        <f>SUMIF('702-798'!$1:$1,AJ$3,'702-798'!9:9)</f>
        <v>89600.98000000001</v>
      </c>
      <c r="AK61" s="128">
        <f>SUMIF('702-798'!$1:$1,AK$3,'702-798'!9:9)</f>
        <v>77326.77</v>
      </c>
      <c r="AL61" s="128">
        <f>SUMIF('702-798'!$1:$1,AL$3,'702-798'!9:9)</f>
        <v>70081.91</v>
      </c>
      <c r="AM61" s="128">
        <f>SUMIF('702-798'!$1:$1,AM$3,'702-798'!9:9)</f>
        <v>67483.25</v>
      </c>
      <c r="AN61" s="128">
        <f>SUMIF('702-798'!$1:$1,AN$3,'702-798'!9:9)</f>
        <v>237.11</v>
      </c>
      <c r="AO61" s="128">
        <f>SUMIF('702-798'!$1:$1,AO$3,'702-798'!9:9)</f>
        <v>7524.7599999999993</v>
      </c>
      <c r="AP61" s="128">
        <f>SUMIF('702-798'!$1:$1,AP$3,'702-798'!9:9)</f>
        <v>6312.4</v>
      </c>
      <c r="AQ61" s="128">
        <f>SUMIF('702-798'!$1:$1,AQ$3,'702-798'!9:9)</f>
        <v>3188.44</v>
      </c>
      <c r="AR61" s="128">
        <f>SUMIF('702-798'!$1:$1,AR$3,'702-798'!9:9)</f>
        <v>20581.489999999998</v>
      </c>
      <c r="AS61" s="128">
        <f>SUMIF('702-798'!$1:$1,AS$3,'702-798'!9:9)</f>
        <v>8134.3400000000011</v>
      </c>
      <c r="AT61" s="128">
        <f>SUMIF('702-798'!$1:$1,AT$3,'702-798'!9:9)</f>
        <v>6735.4099999999989</v>
      </c>
      <c r="AU61" s="128">
        <f>SUMIF('702-798'!$1:$1,AU$3,'702-798'!9:9)</f>
        <v>7703.03</v>
      </c>
      <c r="AV61" s="128">
        <f>SUMIF('702-798'!$1:$1,AV$3,'702-798'!9:9)</f>
        <v>22194.97</v>
      </c>
      <c r="AW61" s="128">
        <f>SUMIF('702-798'!$1:$1,AW$3,'702-798'!9:9)</f>
        <v>9742.93</v>
      </c>
      <c r="AX61" s="128">
        <f>SUMIF('702-798'!$1:$1,AX$3,'702-798'!9:9)</f>
        <v>5409.33</v>
      </c>
      <c r="AY61" s="128">
        <f>SUMIF('702-798'!$1:$1,AY$3,'702-798'!9:9)</f>
        <v>82994.409999999989</v>
      </c>
      <c r="AZ61" s="314">
        <f>SUMIF('702-798'!$1:$1,AZ$3,'702-798'!9:9)</f>
        <v>0</v>
      </c>
      <c r="BA61" s="128">
        <f>SUMIF('702-798'!$1:$1,BA$3,'702-798'!9:9)</f>
        <v>0</v>
      </c>
      <c r="BB61" s="128">
        <f>SUMIF('702-798'!$1:$1,BB$3,'702-798'!9:9)</f>
        <v>0</v>
      </c>
      <c r="BC61" s="128">
        <f>SUMIF('702-798'!$1:$1,BC$3,'702-798'!9:9)</f>
        <v>769.65000000000009</v>
      </c>
      <c r="BD61" s="128">
        <f>SUMIF('702-798'!$1:$1,BD$3,'702-798'!9:9)</f>
        <v>4526.5</v>
      </c>
      <c r="BE61" s="128">
        <f>SUMIF('702-798'!$1:$1,BE$3,'702-798'!9:9)</f>
        <v>3721.1800000000003</v>
      </c>
      <c r="BF61" s="128">
        <f>SUMIF('702-798'!$1:$1,BF$3,'702-798'!9:9)</f>
        <v>0</v>
      </c>
      <c r="BG61" s="128">
        <f>SUMIF('702-798'!$1:$1,BG$3,'702-798'!9:9)</f>
        <v>8206</v>
      </c>
      <c r="BH61" s="128">
        <f>SUMIF('702-798'!$1:$1,BH$3,'702-798'!9:9)</f>
        <v>0</v>
      </c>
      <c r="BI61" s="128">
        <f>SUMIF('702-798'!$1:$1,BI$3,'702-798'!9:9)</f>
        <v>5153.5</v>
      </c>
      <c r="BJ61" s="128">
        <f>SUMIF('702-798'!$1:$1,BJ$3,'702-798'!9:9)</f>
        <v>16625.839999999997</v>
      </c>
      <c r="BK61" s="128">
        <f>SUMIF('702-798'!$1:$1,BK$3,'702-798'!9:9)</f>
        <v>0</v>
      </c>
      <c r="BL61" s="128">
        <f>SUMIF('702-798'!$1:$1,BL$3,'702-798'!9:9)</f>
        <v>46653.34</v>
      </c>
      <c r="BM61" s="128">
        <f>SUMIF('702-798'!$1:$1,BM$3,'702-798'!9:9)</f>
        <v>56410.800000000017</v>
      </c>
      <c r="BN61" s="128">
        <f>SUMIF('702-798'!$1:$1,BN$3,'702-798'!9:9)</f>
        <v>50005.37999999999</v>
      </c>
      <c r="BO61" s="128">
        <f>SUMIF('702-798'!$1:$1,BO$3,'702-798'!9:9)</f>
        <v>39140.200000000004</v>
      </c>
      <c r="BP61" s="128">
        <f>SUMIF('702-798'!$1:$1,BP$3,'702-798'!9:9)</f>
        <v>0</v>
      </c>
      <c r="BQ61" s="128">
        <f>SUMIF('702-798'!$1:$1,BQ$3,'702-798'!9:9)</f>
        <v>0</v>
      </c>
      <c r="BR61" s="128">
        <f>SUMIF('702-798'!$1:$1,BR$3,'702-798'!9:9)</f>
        <v>0</v>
      </c>
      <c r="BS61" s="128">
        <f>SUMIF('702-798'!$1:$1,BS$3,'702-798'!9:9)</f>
        <v>0</v>
      </c>
      <c r="BT61" s="128">
        <f>SUMIF('702-798'!$1:$1,BT$3,'702-798'!9:9)</f>
        <v>0</v>
      </c>
      <c r="BU61" s="128">
        <f>SUMIF('702-798'!$1:$1,BU$3,'702-798'!9:9)</f>
        <v>-11678.75</v>
      </c>
      <c r="BV61" s="128">
        <f>SUMIF('702-798'!$1:$1,BV$3,'702-798'!9:9)</f>
        <v>0</v>
      </c>
      <c r="BW61" s="128">
        <f>SUMIF('702-798'!$1:$1,BW$3,'702-798'!9:9)</f>
        <v>0</v>
      </c>
      <c r="BX61" s="128">
        <f>SUMIF('702-798'!$1:$1,BX$3,'702-798'!9:9)</f>
        <v>0</v>
      </c>
      <c r="BY61" s="128">
        <f>SUMIF('702-798'!$1:$1,BY$3,'702-798'!9:9)</f>
        <v>7067.1500000000005</v>
      </c>
      <c r="BZ61" s="128">
        <f>SUMIF('702-798'!$1:$1,BZ$3,'702-798'!9:9)</f>
        <v>0</v>
      </c>
      <c r="CA61" s="314">
        <f>SUMIF('702-798'!$1:$1,CA$3,'702-798'!9:9)</f>
        <v>0</v>
      </c>
      <c r="CB61" s="128">
        <f>SUMIF('702-798'!$1:$1,CB$3,'702-798'!9:9)</f>
        <v>0</v>
      </c>
      <c r="CC61" s="128">
        <f>SUMIF('702-798'!$1:$1,CC$3,'702-798'!9:9)</f>
        <v>0</v>
      </c>
      <c r="CD61" s="128">
        <f>SUMIF('702-798'!$1:$1,CD$3,'702-798'!9:9)</f>
        <v>0</v>
      </c>
      <c r="CE61" s="128">
        <f>SUMIF('702-798'!$1:$1,CE$3,'702-798'!9:9)</f>
        <v>8640</v>
      </c>
      <c r="CF61" s="128">
        <f>SUMIF('702-798'!$1:$1,CF$3,'702-798'!9:9)</f>
        <v>0</v>
      </c>
      <c r="CG61" s="257">
        <f t="shared" si="20"/>
        <v>-284458.14999999997</v>
      </c>
      <c r="CJ61" s="122"/>
      <c r="CK61" s="169">
        <f>INDEX(SAP!C:C,MATCH('Actuals mapped to CFR'!A61,SAP!H:H,FALSE),1)</f>
        <v>-284458.15000000002</v>
      </c>
      <c r="CL61" s="59">
        <f t="shared" si="15"/>
        <v>0</v>
      </c>
      <c r="CN61" s="81">
        <f t="shared" si="21"/>
        <v>2241075.3199999998</v>
      </c>
      <c r="CO61" s="81">
        <f t="shared" si="22"/>
        <v>2177329.8200000003</v>
      </c>
      <c r="CP61" s="166">
        <f>VLOOKUP(B61,'2526 GBP Data input'!$A$4:$CA$230,38,FALSE)</f>
        <v>2148231</v>
      </c>
      <c r="CQ61" s="166">
        <f>VLOOKUP(B61,'2526 GBP Data input'!$A$4:$CA$230,73,FALSE)</f>
        <v>28444</v>
      </c>
      <c r="CR61" s="89">
        <f t="shared" si="25"/>
        <v>92844.319999999832</v>
      </c>
      <c r="CS61" s="83">
        <f t="shared" si="26"/>
        <v>76.547947546055411</v>
      </c>
      <c r="CT61" s="82">
        <f t="shared" si="23"/>
        <v>240913.24999999953</v>
      </c>
      <c r="CU61" s="82">
        <f t="shared" si="24"/>
        <v>24520.109999999997</v>
      </c>
      <c r="CV61" s="86">
        <f t="shared" si="27"/>
        <v>265433.35999999952</v>
      </c>
    </row>
    <row r="62" spans="1:100" ht="12.75" customHeight="1">
      <c r="A62" s="238">
        <v>107730</v>
      </c>
      <c r="B62" s="60">
        <v>730</v>
      </c>
      <c r="C62" s="60" t="s">
        <v>277</v>
      </c>
      <c r="D62" s="128">
        <f>SUMIF('702-798'!$1:$1,D$3,'702-798'!10:10)</f>
        <v>125912.35</v>
      </c>
      <c r="E62" s="128">
        <f>SUMIF('702-798'!$1:$1,E$3,'702-798'!10:10)</f>
        <v>-13720.24</v>
      </c>
      <c r="F62" s="128">
        <f>SUMIF('702-798'!$1:$1,F$3,'702-798'!10:10)</f>
        <v>0</v>
      </c>
      <c r="G62" s="128">
        <f>SUMIF('702-798'!$1:$1,G$3,'702-798'!10:10)</f>
        <v>-8001.58</v>
      </c>
      <c r="H62" s="128">
        <f>SUMIF('702-798'!$1:$1,H$3,'702-798'!10:10)</f>
        <v>0</v>
      </c>
      <c r="I62" s="128">
        <f>SUMIF('702-798'!$1:$1,I$3,'702-798'!10:10)</f>
        <v>0</v>
      </c>
      <c r="J62" s="128">
        <f>SUMIF('702-798'!$1:$1,J$3,'702-798'!10:10)</f>
        <v>0</v>
      </c>
      <c r="K62" s="128">
        <f>SUMIF('702-798'!$1:$1,K$3,'702-798'!10:10)</f>
        <v>-731518.66</v>
      </c>
      <c r="L62" s="128">
        <f>SUMIF('702-798'!$1:$1,L$3,'702-798'!10:10)</f>
        <v>0</v>
      </c>
      <c r="M62" s="128">
        <f>SUMIF('702-798'!$1:$1,M$3,'702-798'!10:10)</f>
        <v>-29712</v>
      </c>
      <c r="N62" s="128">
        <f>SUMIF('702-798'!$1:$1,N$3,'702-798'!10:10)</f>
        <v>0</v>
      </c>
      <c r="O62" s="128">
        <f>SUMIF('702-798'!$1:$1,O$3,'702-798'!10:10)</f>
        <v>-30950</v>
      </c>
      <c r="P62" s="128">
        <f>SUMIF('702-798'!$1:$1,P$3,'702-798'!10:10)</f>
        <v>-33731</v>
      </c>
      <c r="Q62" s="128">
        <f>SUMIF('702-798'!$1:$1,Q$3,'702-798'!10:10)</f>
        <v>0</v>
      </c>
      <c r="R62" s="128">
        <f>SUMIF('702-798'!$1:$1,R$3,'702-798'!10:10)</f>
        <v>0</v>
      </c>
      <c r="S62" s="128">
        <f>SUMIF('702-798'!$1:$1,S$3,'702-798'!10:10)</f>
        <v>-33276.369999999988</v>
      </c>
      <c r="T62" s="128">
        <f>SUMIF('702-798'!$1:$1,T$3,'702-798'!10:10)</f>
        <v>-1372.1599999999999</v>
      </c>
      <c r="U62" s="128">
        <f>SUMIF('702-798'!$1:$1,U$3,'702-798'!10:10)</f>
        <v>0</v>
      </c>
      <c r="V62" s="128">
        <f>SUMIF('702-798'!$1:$1,V$3,'702-798'!10:10)</f>
        <v>0</v>
      </c>
      <c r="W62" s="128">
        <f>SUMIF('702-798'!$1:$1,W$3,'702-798'!10:10)</f>
        <v>-8664.15</v>
      </c>
      <c r="X62" s="128">
        <f>SUMIF('702-798'!$1:$1,X$3,'702-798'!10:10)</f>
        <v>-1018.22</v>
      </c>
      <c r="Y62" s="164">
        <f>SUMIF('702-798'!$1:$1,Y$3,'702-798'!10:10)</f>
        <v>0</v>
      </c>
      <c r="Z62" s="128">
        <f>SUMIF('702-798'!$1:$1,Z$3,'702-798'!10:10)</f>
        <v>0</v>
      </c>
      <c r="AA62" s="128">
        <f>SUMIF('702-798'!$1:$1,AA$3,'702-798'!10:10)</f>
        <v>0</v>
      </c>
      <c r="AB62" s="128">
        <f>SUMIF('702-798'!$1:$1,AB$3,'702-798'!10:10)</f>
        <v>0</v>
      </c>
      <c r="AC62" s="314">
        <f>SUMIF('702-798'!$1:$1,AC$3,'702-798'!10:10)</f>
        <v>0</v>
      </c>
      <c r="AD62" s="314">
        <f>SUMIF('702-798'!$1:$1,AD$3,'702-798'!10:10)</f>
        <v>0</v>
      </c>
      <c r="AE62" s="314">
        <f>SUMIF('702-798'!$1:$1,AE$3,'702-798'!10:10)</f>
        <v>0</v>
      </c>
      <c r="AF62" s="314">
        <f>SUMIF('702-798'!$1:$1,AF$3,'702-798'!10:10)</f>
        <v>0</v>
      </c>
      <c r="AG62" s="128">
        <f>SUMIF('702-798'!$1:$1,AG$3,'702-798'!10:10)</f>
        <v>447542.08999999991</v>
      </c>
      <c r="AH62" s="128">
        <f>SUMIF('702-798'!$1:$1,AH$3,'702-798'!10:10)</f>
        <v>3863.9</v>
      </c>
      <c r="AI62" s="128">
        <f>SUMIF('702-798'!$1:$1,AI$3,'702-798'!10:10)</f>
        <v>98297.19</v>
      </c>
      <c r="AJ62" s="128">
        <f>SUMIF('702-798'!$1:$1,AJ$3,'702-798'!10:10)</f>
        <v>35558.76</v>
      </c>
      <c r="AK62" s="128">
        <f>SUMIF('702-798'!$1:$1,AK$3,'702-798'!10:10)</f>
        <v>50278.15</v>
      </c>
      <c r="AL62" s="128">
        <f>SUMIF('702-798'!$1:$1,AL$3,'702-798'!10:10)</f>
        <v>0</v>
      </c>
      <c r="AM62" s="128">
        <f>SUMIF('702-798'!$1:$1,AM$3,'702-798'!10:10)</f>
        <v>42962.659999999996</v>
      </c>
      <c r="AN62" s="128">
        <f>SUMIF('702-798'!$1:$1,AN$3,'702-798'!10:10)</f>
        <v>2512.62</v>
      </c>
      <c r="AO62" s="128">
        <f>SUMIF('702-798'!$1:$1,AO$3,'702-798'!10:10)</f>
        <v>4839</v>
      </c>
      <c r="AP62" s="128">
        <f>SUMIF('702-798'!$1:$1,AP$3,'702-798'!10:10)</f>
        <v>3982.18</v>
      </c>
      <c r="AQ62" s="128">
        <f>SUMIF('702-798'!$1:$1,AQ$3,'702-798'!10:10)</f>
        <v>0</v>
      </c>
      <c r="AR62" s="128">
        <f>SUMIF('702-798'!$1:$1,AR$3,'702-798'!10:10)</f>
        <v>7808.45</v>
      </c>
      <c r="AS62" s="128">
        <f>SUMIF('702-798'!$1:$1,AS$3,'702-798'!10:10)</f>
        <v>3508.7999999999993</v>
      </c>
      <c r="AT62" s="128">
        <f>SUMIF('702-798'!$1:$1,AT$3,'702-798'!10:10)</f>
        <v>2126.3000000000002</v>
      </c>
      <c r="AU62" s="128">
        <f>SUMIF('702-798'!$1:$1,AU$3,'702-798'!10:10)</f>
        <v>2806.61</v>
      </c>
      <c r="AV62" s="128">
        <f>SUMIF('702-798'!$1:$1,AV$3,'702-798'!10:10)</f>
        <v>23491.14</v>
      </c>
      <c r="AW62" s="128">
        <f>SUMIF('702-798'!$1:$1,AW$3,'702-798'!10:10)</f>
        <v>22205.5</v>
      </c>
      <c r="AX62" s="128">
        <f>SUMIF('702-798'!$1:$1,AX$3,'702-798'!10:10)</f>
        <v>3833.9</v>
      </c>
      <c r="AY62" s="128">
        <f>SUMIF('702-798'!$1:$1,AY$3,'702-798'!10:10)</f>
        <v>35447.26</v>
      </c>
      <c r="AZ62" s="314">
        <f>SUMIF('702-798'!$1:$1,AZ$3,'702-798'!10:10)</f>
        <v>0</v>
      </c>
      <c r="BA62" s="128">
        <f>SUMIF('702-798'!$1:$1,BA$3,'702-798'!10:10)</f>
        <v>2410.1999999999998</v>
      </c>
      <c r="BB62" s="128">
        <f>SUMIF('702-798'!$1:$1,BB$3,'702-798'!10:10)</f>
        <v>0</v>
      </c>
      <c r="BC62" s="128">
        <f>SUMIF('702-798'!$1:$1,BC$3,'702-798'!10:10)</f>
        <v>1954.6299999999999</v>
      </c>
      <c r="BD62" s="128">
        <f>SUMIF('702-798'!$1:$1,BD$3,'702-798'!10:10)</f>
        <v>7527</v>
      </c>
      <c r="BE62" s="128">
        <f>SUMIF('702-798'!$1:$1,BE$3,'702-798'!10:10)</f>
        <v>0</v>
      </c>
      <c r="BF62" s="128">
        <f>SUMIF('702-798'!$1:$1,BF$3,'702-798'!10:10)</f>
        <v>0</v>
      </c>
      <c r="BG62" s="128">
        <f>SUMIF('702-798'!$1:$1,BG$3,'702-798'!10:10)</f>
        <v>3707.5</v>
      </c>
      <c r="BH62" s="128">
        <f>SUMIF('702-798'!$1:$1,BH$3,'702-798'!10:10)</f>
        <v>0</v>
      </c>
      <c r="BI62" s="128">
        <f>SUMIF('702-798'!$1:$1,BI$3,'702-798'!10:10)</f>
        <v>3719.9299999999994</v>
      </c>
      <c r="BJ62" s="128">
        <f>SUMIF('702-798'!$1:$1,BJ$3,'702-798'!10:10)</f>
        <v>6207.7</v>
      </c>
      <c r="BK62" s="128">
        <f>SUMIF('702-798'!$1:$1,BK$3,'702-798'!10:10)</f>
        <v>0</v>
      </c>
      <c r="BL62" s="128">
        <f>SUMIF('702-798'!$1:$1,BL$3,'702-798'!10:10)</f>
        <v>28422.42</v>
      </c>
      <c r="BM62" s="128">
        <f>SUMIF('702-798'!$1:$1,BM$3,'702-798'!10:10)</f>
        <v>32238.020000000004</v>
      </c>
      <c r="BN62" s="128">
        <f>SUMIF('702-798'!$1:$1,BN$3,'702-798'!10:10)</f>
        <v>21014.58</v>
      </c>
      <c r="BO62" s="128">
        <f>SUMIF('702-798'!$1:$1,BO$3,'702-798'!10:10)</f>
        <v>13760.940000000002</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-5372.5</v>
      </c>
      <c r="BV62" s="128">
        <f>SUMIF('702-798'!$1:$1,BV$3,'702-798'!10:10)</f>
        <v>0</v>
      </c>
      <c r="BW62" s="128">
        <f>SUMIF('702-798'!$1:$1,BW$3,'702-798'!10:10)</f>
        <v>0</v>
      </c>
      <c r="BX62" s="128">
        <f>SUMIF('702-798'!$1:$1,BX$3,'702-798'!10:10)</f>
        <v>0</v>
      </c>
      <c r="BY62" s="128">
        <f>SUMIF('702-798'!$1:$1,BY$3,'702-798'!10:10)</f>
        <v>7682.5</v>
      </c>
      <c r="BZ62" s="128">
        <f>SUMIF('702-798'!$1:$1,BZ$3,'702-798'!10:10)</f>
        <v>0</v>
      </c>
      <c r="CA62" s="314">
        <f>SUMIF('702-798'!$1:$1,CA$3,'702-798'!10:10)</f>
        <v>0</v>
      </c>
      <c r="CB62" s="128">
        <f>SUMIF('702-798'!$1:$1,CB$3,'702-798'!10:10)</f>
        <v>0</v>
      </c>
      <c r="CC62" s="128">
        <f>SUMIF('702-798'!$1:$1,CC$3,'702-798'!10:10)</f>
        <v>0</v>
      </c>
      <c r="CD62" s="128">
        <f>SUMIF('702-798'!$1:$1,CD$3,'702-798'!10:10)</f>
        <v>0</v>
      </c>
      <c r="CE62" s="128">
        <f>SUMIF('702-798'!$1:$1,CE$3,'702-798'!10:10)</f>
        <v>3529.99</v>
      </c>
      <c r="CF62" s="128">
        <f>SUMIF('702-798'!$1:$1,CF$3,'702-798'!10:10)</f>
        <v>0</v>
      </c>
      <c r="CG62" s="257">
        <f t="shared" si="20"/>
        <v>151815.3899999999</v>
      </c>
      <c r="CJ62" s="122"/>
      <c r="CK62" s="169">
        <f>INDEX(SAP!C:C,MATCH('Actuals mapped to CFR'!A62,SAP!H:H,FALSE),1)</f>
        <v>151815.39000000001</v>
      </c>
      <c r="CL62" s="59">
        <f t="shared" si="15"/>
        <v>0</v>
      </c>
      <c r="CN62" s="81">
        <f t="shared" si="21"/>
        <v>870242.56</v>
      </c>
      <c r="CO62" s="81">
        <f t="shared" si="22"/>
        <v>912027.43000000017</v>
      </c>
      <c r="CP62" s="166">
        <f>VLOOKUP(B62,'2526 GBP Data input'!$A$4:$CA$230,38,FALSE)</f>
        <v>829093</v>
      </c>
      <c r="CQ62" s="166">
        <f>VLOOKUP(B62,'2526 GBP Data input'!$A$4:$CA$230,73,FALSE)</f>
        <v>11323</v>
      </c>
      <c r="CR62" s="89">
        <f t="shared" si="25"/>
        <v>41149.560000000056</v>
      </c>
      <c r="CS62" s="83">
        <f t="shared" si="26"/>
        <v>80.546447937825675</v>
      </c>
      <c r="CT62" s="82">
        <f t="shared" si="23"/>
        <v>-167697.22000000009</v>
      </c>
      <c r="CU62" s="82">
        <f t="shared" si="24"/>
        <v>5691.58</v>
      </c>
      <c r="CV62" s="86">
        <f t="shared" si="27"/>
        <v>-162005.6400000001</v>
      </c>
    </row>
    <row r="63" spans="1:100" ht="12.75" customHeight="1">
      <c r="A63" s="238">
        <v>107731</v>
      </c>
      <c r="B63" s="60">
        <v>731</v>
      </c>
      <c r="C63" s="60" t="s">
        <v>398</v>
      </c>
      <c r="D63" s="128">
        <f>SUMIF('702-798'!$1:$1,D$3,'702-798'!11:11)</f>
        <v>-147658.17000000001</v>
      </c>
      <c r="E63" s="128">
        <f>SUMIF('702-798'!$1:$1,E$3,'702-798'!11:11)</f>
        <v>-891.77</v>
      </c>
      <c r="F63" s="128">
        <f>SUMIF('702-798'!$1:$1,F$3,'702-798'!11:11)</f>
        <v>0</v>
      </c>
      <c r="G63" s="128">
        <f>SUMIF('702-798'!$1:$1,G$3,'702-798'!11:11)</f>
        <v>0</v>
      </c>
      <c r="H63" s="128">
        <f>SUMIF('702-798'!$1:$1,H$3,'702-798'!11:11)</f>
        <v>0</v>
      </c>
      <c r="I63" s="128">
        <f>SUMIF('702-798'!$1:$1,I$3,'702-798'!11:11)</f>
        <v>0</v>
      </c>
      <c r="J63" s="128">
        <f>SUMIF('702-798'!$1:$1,J$3,'702-798'!11:11)</f>
        <v>0</v>
      </c>
      <c r="K63" s="128">
        <f>SUMIF('702-798'!$1:$1,K$3,'702-798'!11:11)</f>
        <v>-656855.59</v>
      </c>
      <c r="L63" s="128">
        <f>SUMIF('702-798'!$1:$1,L$3,'702-798'!11:11)</f>
        <v>0</v>
      </c>
      <c r="M63" s="128">
        <f>SUMIF('702-798'!$1:$1,M$3,'702-798'!11:11)</f>
        <v>-46581</v>
      </c>
      <c r="N63" s="128">
        <f>SUMIF('702-798'!$1:$1,N$3,'702-798'!11:11)</f>
        <v>0</v>
      </c>
      <c r="O63" s="128">
        <f>SUMIF('702-798'!$1:$1,O$3,'702-798'!11:11)</f>
        <v>-9090</v>
      </c>
      <c r="P63" s="128">
        <f>SUMIF('702-798'!$1:$1,P$3,'702-798'!11:11)</f>
        <v>-69306.959999999992</v>
      </c>
      <c r="Q63" s="128">
        <f>SUMIF('702-798'!$1:$1,Q$3,'702-798'!11:11)</f>
        <v>0</v>
      </c>
      <c r="R63" s="128">
        <f>SUMIF('702-798'!$1:$1,R$3,'702-798'!11:11)</f>
        <v>0</v>
      </c>
      <c r="S63" s="128">
        <f>SUMIF('702-798'!$1:$1,S$3,'702-798'!11:11)</f>
        <v>-35189.870000000003</v>
      </c>
      <c r="T63" s="128">
        <f>SUMIF('702-798'!$1:$1,T$3,'702-798'!11:11)</f>
        <v>3.49</v>
      </c>
      <c r="U63" s="128">
        <f>SUMIF('702-798'!$1:$1,U$3,'702-798'!11:11)</f>
        <v>0</v>
      </c>
      <c r="V63" s="128">
        <f>SUMIF('702-798'!$1:$1,V$3,'702-798'!11:11)</f>
        <v>0</v>
      </c>
      <c r="W63" s="128">
        <f>SUMIF('702-798'!$1:$1,W$3,'702-798'!11:11)</f>
        <v>-18015.359999999997</v>
      </c>
      <c r="X63" s="128">
        <f>SUMIF('702-798'!$1:$1,X$3,'702-798'!11:11)</f>
        <v>-6669.52</v>
      </c>
      <c r="Y63" s="164">
        <f>SUMIF('702-798'!$1:$1,Y$3,'702-798'!11:11)</f>
        <v>0</v>
      </c>
      <c r="Z63" s="128">
        <f>SUMIF('702-798'!$1:$1,Z$3,'702-798'!11:11)</f>
        <v>0</v>
      </c>
      <c r="AA63" s="128">
        <f>SUMIF('702-798'!$1:$1,AA$3,'702-798'!11:11)</f>
        <v>0</v>
      </c>
      <c r="AB63" s="128">
        <f>SUMIF('702-798'!$1:$1,AB$3,'702-798'!11:11)</f>
        <v>0</v>
      </c>
      <c r="AC63" s="314">
        <f>SUMIF('702-798'!$1:$1,AC$3,'702-798'!11:11)</f>
        <v>0</v>
      </c>
      <c r="AD63" s="314">
        <f>SUMIF('702-798'!$1:$1,AD$3,'702-798'!11:11)</f>
        <v>0</v>
      </c>
      <c r="AE63" s="314">
        <f>SUMIF('702-798'!$1:$1,AE$3,'702-798'!11:11)</f>
        <v>0</v>
      </c>
      <c r="AF63" s="314">
        <f>SUMIF('702-798'!$1:$1,AF$3,'702-798'!11:11)</f>
        <v>0</v>
      </c>
      <c r="AG63" s="128">
        <f>SUMIF('702-798'!$1:$1,AG$3,'702-798'!11:11)</f>
        <v>365908.77</v>
      </c>
      <c r="AH63" s="128">
        <f>SUMIF('702-798'!$1:$1,AH$3,'702-798'!11:11)</f>
        <v>20364.899999999998</v>
      </c>
      <c r="AI63" s="128">
        <f>SUMIF('702-798'!$1:$1,AI$3,'702-798'!11:11)</f>
        <v>104386.41000000002</v>
      </c>
      <c r="AJ63" s="128">
        <f>SUMIF('702-798'!$1:$1,AJ$3,'702-798'!11:11)</f>
        <v>17903.170000000002</v>
      </c>
      <c r="AK63" s="128">
        <f>SUMIF('702-798'!$1:$1,AK$3,'702-798'!11:11)</f>
        <v>49966.049999999996</v>
      </c>
      <c r="AL63" s="128">
        <f>SUMIF('702-798'!$1:$1,AL$3,'702-798'!11:11)</f>
        <v>0</v>
      </c>
      <c r="AM63" s="128">
        <f>SUMIF('702-798'!$1:$1,AM$3,'702-798'!11:11)</f>
        <v>39190.880000000005</v>
      </c>
      <c r="AN63" s="128">
        <f>SUMIF('702-798'!$1:$1,AN$3,'702-798'!11:11)</f>
        <v>431.04</v>
      </c>
      <c r="AO63" s="128">
        <f>SUMIF('702-798'!$1:$1,AO$3,'702-798'!11:11)</f>
        <v>7425.8</v>
      </c>
      <c r="AP63" s="128">
        <f>SUMIF('702-798'!$1:$1,AP$3,'702-798'!11:11)</f>
        <v>6864.35</v>
      </c>
      <c r="AQ63" s="128">
        <f>SUMIF('702-798'!$1:$1,AQ$3,'702-798'!11:11)</f>
        <v>120</v>
      </c>
      <c r="AR63" s="128">
        <f>SUMIF('702-798'!$1:$1,AR$3,'702-798'!11:11)</f>
        <v>19519.120000000003</v>
      </c>
      <c r="AS63" s="128">
        <f>SUMIF('702-798'!$1:$1,AS$3,'702-798'!11:11)</f>
        <v>645.57999999999993</v>
      </c>
      <c r="AT63" s="128">
        <f>SUMIF('702-798'!$1:$1,AT$3,'702-798'!11:11)</f>
        <v>1364.8</v>
      </c>
      <c r="AU63" s="128">
        <f>SUMIF('702-798'!$1:$1,AU$3,'702-798'!11:11)</f>
        <v>1589.8400000000001</v>
      </c>
      <c r="AV63" s="128">
        <f>SUMIF('702-798'!$1:$1,AV$3,'702-798'!11:11)</f>
        <v>6721.76</v>
      </c>
      <c r="AW63" s="128">
        <f>SUMIF('702-798'!$1:$1,AW$3,'702-798'!11:11)</f>
        <v>1621.75</v>
      </c>
      <c r="AX63" s="128">
        <f>SUMIF('702-798'!$1:$1,AX$3,'702-798'!11:11)</f>
        <v>4961.76</v>
      </c>
      <c r="AY63" s="128">
        <f>SUMIF('702-798'!$1:$1,AY$3,'702-798'!11:11)</f>
        <v>35863.579999999994</v>
      </c>
      <c r="AZ63" s="314">
        <f>SUMIF('702-798'!$1:$1,AZ$3,'702-798'!11:11)</f>
        <v>0</v>
      </c>
      <c r="BA63" s="128">
        <f>SUMIF('702-798'!$1:$1,BA$3,'702-798'!11:11)</f>
        <v>10148.700000000001</v>
      </c>
      <c r="BB63" s="128">
        <f>SUMIF('702-798'!$1:$1,BB$3,'702-798'!11:11)</f>
        <v>0</v>
      </c>
      <c r="BC63" s="128">
        <f>SUMIF('702-798'!$1:$1,BC$3,'702-798'!11:11)</f>
        <v>683.87</v>
      </c>
      <c r="BD63" s="128">
        <f>SUMIF('702-798'!$1:$1,BD$3,'702-798'!11:11)</f>
        <v>3437.9</v>
      </c>
      <c r="BE63" s="128">
        <f>SUMIF('702-798'!$1:$1,BE$3,'702-798'!11:11)</f>
        <v>0</v>
      </c>
      <c r="BF63" s="128">
        <f>SUMIF('702-798'!$1:$1,BF$3,'702-798'!11:11)</f>
        <v>143.70999999999998</v>
      </c>
      <c r="BG63" s="128">
        <f>SUMIF('702-798'!$1:$1,BG$3,'702-798'!11:11)</f>
        <v>2835.5</v>
      </c>
      <c r="BH63" s="128">
        <f>SUMIF('702-798'!$1:$1,BH$3,'702-798'!11:11)</f>
        <v>0</v>
      </c>
      <c r="BI63" s="128">
        <f>SUMIF('702-798'!$1:$1,BI$3,'702-798'!11:11)</f>
        <v>1881.0400000000002</v>
      </c>
      <c r="BJ63" s="128">
        <f>SUMIF('702-798'!$1:$1,BJ$3,'702-798'!11:11)</f>
        <v>5775.8600000000006</v>
      </c>
      <c r="BK63" s="128">
        <f>SUMIF('702-798'!$1:$1,BK$3,'702-798'!11:11)</f>
        <v>0</v>
      </c>
      <c r="BL63" s="128">
        <f>SUMIF('702-798'!$1:$1,BL$3,'702-798'!11:11)</f>
        <v>23144.670000000002</v>
      </c>
      <c r="BM63" s="128">
        <f>SUMIF('702-798'!$1:$1,BM$3,'702-798'!11:11)</f>
        <v>1160</v>
      </c>
      <c r="BN63" s="128">
        <f>SUMIF('702-798'!$1:$1,BN$3,'702-798'!11:11)</f>
        <v>41406.589999999997</v>
      </c>
      <c r="BO63" s="128">
        <f>SUMIF('702-798'!$1:$1,BO$3,'702-798'!11:11)</f>
        <v>41474.520000000011</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4">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7">
        <f t="shared" si="20"/>
        <v>-173312.8299999999</v>
      </c>
      <c r="CJ63" s="122"/>
      <c r="CK63" s="169">
        <f>INDEX(SAP!C:C,MATCH('Actuals mapped to CFR'!A63,SAP!H:H,FALSE),1)</f>
        <v>-173312.83</v>
      </c>
      <c r="CL63" s="59">
        <f t="shared" si="15"/>
        <v>0</v>
      </c>
      <c r="CN63" s="81">
        <f t="shared" ref="CN63:CN91" si="28">SUM(K63:AF63)*-1</f>
        <v>841704.80999999994</v>
      </c>
      <c r="CO63" s="81">
        <f t="shared" ref="CO63:CO91" si="29">SUM(AG63:BT63)</f>
        <v>816941.92</v>
      </c>
      <c r="CP63" s="166">
        <f>VLOOKUP(B63,'2526 GBP Data input'!$A$4:$CA$230,38,FALSE)</f>
        <v>800420</v>
      </c>
      <c r="CQ63" s="166">
        <f>VLOOKUP(B63,'2526 GBP Data input'!$A$4:$CA$230,73,FALSE)</f>
        <v>21905</v>
      </c>
      <c r="CR63" s="89">
        <f t="shared" si="25"/>
        <v>41284.809999999939</v>
      </c>
      <c r="CS63" s="83">
        <f t="shared" si="26"/>
        <v>37.294769230769234</v>
      </c>
      <c r="CT63" s="82">
        <f t="shared" ref="CT63:CT91" si="30">SUM(D63+F63)*-1+CN63-CO63</f>
        <v>172421.05999999994</v>
      </c>
      <c r="CU63" s="82">
        <f t="shared" ref="CU63:CU91" si="31">SUM(G63+H63+I63+BU63+BV63+BW63)*-1-BX63-BY63-BZ63-CF63</f>
        <v>0</v>
      </c>
      <c r="CV63" s="86">
        <f t="shared" si="27"/>
        <v>172421.05999999994</v>
      </c>
    </row>
    <row r="64" spans="1:100" ht="12.75" customHeight="1">
      <c r="A64" s="238">
        <v>107733</v>
      </c>
      <c r="B64" s="60">
        <v>733</v>
      </c>
      <c r="C64" s="60" t="s">
        <v>199</v>
      </c>
      <c r="D64" s="128">
        <f>SUMIF('702-798'!$1:$1,D$3,'702-798'!12:12)</f>
        <v>-106836.18</v>
      </c>
      <c r="E64" s="128">
        <f>SUMIF('702-798'!$1:$1,E$3,'702-798'!12:12)</f>
        <v>-878.37</v>
      </c>
      <c r="F64" s="128">
        <f>SUMIF('702-798'!$1:$1,F$3,'702-798'!12:12)</f>
        <v>0</v>
      </c>
      <c r="G64" s="128">
        <f>SUMIF('702-798'!$1:$1,G$3,'702-798'!12:12)</f>
        <v>-11423.39</v>
      </c>
      <c r="H64" s="128">
        <f>SUMIF('702-798'!$1:$1,H$3,'702-798'!12:12)</f>
        <v>0</v>
      </c>
      <c r="I64" s="128">
        <f>SUMIF('702-798'!$1:$1,I$3,'702-798'!12:12)</f>
        <v>0</v>
      </c>
      <c r="J64" s="128">
        <f>SUMIF('702-798'!$1:$1,J$3,'702-798'!12:12)</f>
        <v>-22557.42</v>
      </c>
      <c r="K64" s="128">
        <f>SUMIF('702-798'!$1:$1,K$3,'702-798'!12:12)</f>
        <v>-833107.38</v>
      </c>
      <c r="L64" s="128">
        <f>SUMIF('702-798'!$1:$1,L$3,'702-798'!12:12)</f>
        <v>0</v>
      </c>
      <c r="M64" s="128">
        <f>SUMIF('702-798'!$1:$1,M$3,'702-798'!12:12)</f>
        <v>-79880</v>
      </c>
      <c r="N64" s="128">
        <f>SUMIF('702-798'!$1:$1,N$3,'702-798'!12:12)</f>
        <v>0</v>
      </c>
      <c r="O64" s="128">
        <f>SUMIF('702-798'!$1:$1,O$3,'702-798'!12:12)</f>
        <v>-19750</v>
      </c>
      <c r="P64" s="128">
        <f>SUMIF('702-798'!$1:$1,P$3,'702-798'!12:12)</f>
        <v>-43048</v>
      </c>
      <c r="Q64" s="128">
        <f>SUMIF('702-798'!$1:$1,Q$3,'702-798'!12:12)</f>
        <v>-3384</v>
      </c>
      <c r="R64" s="128">
        <f>SUMIF('702-798'!$1:$1,R$3,'702-798'!12:12)</f>
        <v>0</v>
      </c>
      <c r="S64" s="128">
        <f>SUMIF('702-798'!$1:$1,S$3,'702-798'!12:12)</f>
        <v>-46735.700000000004</v>
      </c>
      <c r="T64" s="128">
        <f>SUMIF('702-798'!$1:$1,T$3,'702-798'!12:12)</f>
        <v>-15120.150000000007</v>
      </c>
      <c r="U64" s="128">
        <f>SUMIF('702-798'!$1:$1,U$3,'702-798'!12:12)</f>
        <v>0</v>
      </c>
      <c r="V64" s="128">
        <f>SUMIF('702-798'!$1:$1,V$3,'702-798'!12:12)</f>
        <v>0</v>
      </c>
      <c r="W64" s="128">
        <f>SUMIF('702-798'!$1:$1,W$3,'702-798'!12:12)</f>
        <v>-12543.14</v>
      </c>
      <c r="X64" s="128">
        <f>SUMIF('702-798'!$1:$1,X$3,'702-798'!12:12)</f>
        <v>-13083.85</v>
      </c>
      <c r="Y64" s="164">
        <f>SUMIF('702-798'!$1:$1,Y$3,'702-798'!12:12)</f>
        <v>0</v>
      </c>
      <c r="Z64" s="128">
        <f>SUMIF('702-798'!$1:$1,Z$3,'702-798'!12:12)</f>
        <v>0</v>
      </c>
      <c r="AA64" s="128">
        <f>SUMIF('702-798'!$1:$1,AA$3,'702-798'!12:12)</f>
        <v>-78049.640000000014</v>
      </c>
      <c r="AB64" s="128">
        <f>SUMIF('702-798'!$1:$1,AB$3,'702-798'!12:12)</f>
        <v>-20690.860000000004</v>
      </c>
      <c r="AC64" s="314">
        <f>SUMIF('702-798'!$1:$1,AC$3,'702-798'!12:12)</f>
        <v>0</v>
      </c>
      <c r="AD64" s="314">
        <f>SUMIF('702-798'!$1:$1,AD$3,'702-798'!12:12)</f>
        <v>0</v>
      </c>
      <c r="AE64" s="314">
        <f>SUMIF('702-798'!$1:$1,AE$3,'702-798'!12:12)</f>
        <v>0</v>
      </c>
      <c r="AF64" s="314">
        <f>SUMIF('702-798'!$1:$1,AF$3,'702-798'!12:12)</f>
        <v>0</v>
      </c>
      <c r="AG64" s="128">
        <f>SUMIF('702-798'!$1:$1,AG$3,'702-798'!12:12)</f>
        <v>538607.59</v>
      </c>
      <c r="AH64" s="128">
        <f>SUMIF('702-798'!$1:$1,AH$3,'702-798'!12:12)</f>
        <v>384</v>
      </c>
      <c r="AI64" s="128">
        <f>SUMIF('702-798'!$1:$1,AI$3,'702-798'!12:12)</f>
        <v>222833.95</v>
      </c>
      <c r="AJ64" s="128">
        <f>SUMIF('702-798'!$1:$1,AJ$3,'702-798'!12:12)</f>
        <v>0</v>
      </c>
      <c r="AK64" s="128">
        <f>SUMIF('702-798'!$1:$1,AK$3,'702-798'!12:12)</f>
        <v>59625.69999999999</v>
      </c>
      <c r="AL64" s="128">
        <f>SUMIF('702-798'!$1:$1,AL$3,'702-798'!12:12)</f>
        <v>0</v>
      </c>
      <c r="AM64" s="128">
        <f>SUMIF('702-798'!$1:$1,AM$3,'702-798'!12:12)</f>
        <v>34790.01</v>
      </c>
      <c r="AN64" s="128">
        <f>SUMIF('702-798'!$1:$1,AN$3,'702-798'!12:12)</f>
        <v>3371</v>
      </c>
      <c r="AO64" s="128">
        <f>SUMIF('702-798'!$1:$1,AO$3,'702-798'!12:12)</f>
        <v>5783.58</v>
      </c>
      <c r="AP64" s="128">
        <f>SUMIF('702-798'!$1:$1,AP$3,'702-798'!12:12)</f>
        <v>454.45</v>
      </c>
      <c r="AQ64" s="128">
        <f>SUMIF('702-798'!$1:$1,AQ$3,'702-798'!12:12)</f>
        <v>0</v>
      </c>
      <c r="AR64" s="128">
        <f>SUMIF('702-798'!$1:$1,AR$3,'702-798'!12:12)</f>
        <v>8091.920000000001</v>
      </c>
      <c r="AS64" s="128">
        <f>SUMIF('702-798'!$1:$1,AS$3,'702-798'!12:12)</f>
        <v>1859.7899999999995</v>
      </c>
      <c r="AT64" s="128">
        <f>SUMIF('702-798'!$1:$1,AT$3,'702-798'!12:12)</f>
        <v>20164.840000000004</v>
      </c>
      <c r="AU64" s="128">
        <f>SUMIF('702-798'!$1:$1,AU$3,'702-798'!12:12)</f>
        <v>4559.2400000000007</v>
      </c>
      <c r="AV64" s="128">
        <f>SUMIF('702-798'!$1:$1,AV$3,'702-798'!12:12)</f>
        <v>9271.34</v>
      </c>
      <c r="AW64" s="128">
        <f>SUMIF('702-798'!$1:$1,AW$3,'702-798'!12:12)</f>
        <v>4890.2</v>
      </c>
      <c r="AX64" s="128">
        <f>SUMIF('702-798'!$1:$1,AX$3,'702-798'!12:12)</f>
        <v>9129.33</v>
      </c>
      <c r="AY64" s="128">
        <f>SUMIF('702-798'!$1:$1,AY$3,'702-798'!12:12)</f>
        <v>68591.430000000008</v>
      </c>
      <c r="AZ64" s="314">
        <f>SUMIF('702-798'!$1:$1,AZ$3,'702-798'!12:12)</f>
        <v>0</v>
      </c>
      <c r="BA64" s="128">
        <f>SUMIF('702-798'!$1:$1,BA$3,'702-798'!12:12)</f>
        <v>3738</v>
      </c>
      <c r="BB64" s="128">
        <f>SUMIF('702-798'!$1:$1,BB$3,'702-798'!12:12)</f>
        <v>0</v>
      </c>
      <c r="BC64" s="128">
        <f>SUMIF('702-798'!$1:$1,BC$3,'702-798'!12:12)</f>
        <v>2446</v>
      </c>
      <c r="BD64" s="128">
        <f>SUMIF('702-798'!$1:$1,BD$3,'702-798'!12:12)</f>
        <v>0</v>
      </c>
      <c r="BE64" s="128">
        <f>SUMIF('702-798'!$1:$1,BE$3,'702-798'!12:12)</f>
        <v>0</v>
      </c>
      <c r="BF64" s="128">
        <f>SUMIF('702-798'!$1:$1,BF$3,'702-798'!12:12)</f>
        <v>0</v>
      </c>
      <c r="BG64" s="128">
        <f>SUMIF('702-798'!$1:$1,BG$3,'702-798'!12:12)</f>
        <v>1564.5</v>
      </c>
      <c r="BH64" s="128">
        <f>SUMIF('702-798'!$1:$1,BH$3,'702-798'!12:12)</f>
        <v>0</v>
      </c>
      <c r="BI64" s="128">
        <f>SUMIF('702-798'!$1:$1,BI$3,'702-798'!12:12)</f>
        <v>2057.8599999999997</v>
      </c>
      <c r="BJ64" s="128">
        <f>SUMIF('702-798'!$1:$1,BJ$3,'702-798'!12:12)</f>
        <v>8043.0199999999995</v>
      </c>
      <c r="BK64" s="128">
        <f>SUMIF('702-798'!$1:$1,BK$3,'702-798'!12:12)</f>
        <v>178.55</v>
      </c>
      <c r="BL64" s="128">
        <f>SUMIF('702-798'!$1:$1,BL$3,'702-798'!12:12)</f>
        <v>33895.919999999998</v>
      </c>
      <c r="BM64" s="128">
        <f>SUMIF('702-798'!$1:$1,BM$3,'702-798'!12:12)</f>
        <v>6475</v>
      </c>
      <c r="BN64" s="128">
        <f>SUMIF('702-798'!$1:$1,BN$3,'702-798'!12:12)</f>
        <v>1546</v>
      </c>
      <c r="BO64" s="128">
        <f>SUMIF('702-798'!$1:$1,BO$3,'702-798'!12:12)</f>
        <v>18762.010000000002</v>
      </c>
      <c r="BP64" s="128">
        <f>SUMIF('702-798'!$1:$1,BP$3,'702-798'!12:12)</f>
        <v>0</v>
      </c>
      <c r="BQ64" s="128">
        <f>SUMIF('702-798'!$1:$1,BQ$3,'702-798'!12:12)</f>
        <v>0</v>
      </c>
      <c r="BR64" s="128">
        <f>SUMIF('702-798'!$1:$1,BR$3,'702-798'!12:12)</f>
        <v>0</v>
      </c>
      <c r="BS64" s="128">
        <f>SUMIF('702-798'!$1:$1,BS$3,'702-798'!12:12)</f>
        <v>71616.959999999992</v>
      </c>
      <c r="BT64" s="128">
        <f>SUMIF('702-798'!$1:$1,BT$3,'702-798'!12:12)</f>
        <v>4886.92</v>
      </c>
      <c r="BU64" s="128">
        <f>SUMIF('702-798'!$1:$1,BU$3,'702-798'!12:12)</f>
        <v>-5710</v>
      </c>
      <c r="BV64" s="128">
        <f>SUMIF('702-798'!$1:$1,BV$3,'702-798'!12:12)</f>
        <v>0</v>
      </c>
      <c r="BW64" s="128">
        <f>SUMIF('702-798'!$1:$1,BW$3,'702-798'!12:12)</f>
        <v>0</v>
      </c>
      <c r="BX64" s="128">
        <f>SUMIF('702-798'!$1:$1,BX$3,'702-798'!12:12)</f>
        <v>0</v>
      </c>
      <c r="BY64" s="128">
        <f>SUMIF('702-798'!$1:$1,BY$3,'702-798'!12:12)</f>
        <v>5855.06</v>
      </c>
      <c r="BZ64" s="128">
        <f>SUMIF('702-798'!$1:$1,BZ$3,'702-798'!12:12)</f>
        <v>0</v>
      </c>
      <c r="CA64" s="314">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7">
        <f t="shared" ref="CG64:CG91" si="32">SUM(D64:CF64)</f>
        <v>-159323.90999999974</v>
      </c>
      <c r="CJ64" s="122"/>
      <c r="CK64" s="169">
        <f>INDEX(SAP!C:C,MATCH('Actuals mapped to CFR'!A64,SAP!H:H,FALSE),1)</f>
        <v>-159323.91</v>
      </c>
      <c r="CL64" s="59">
        <f t="shared" si="15"/>
        <v>0</v>
      </c>
      <c r="CN64" s="81">
        <f t="shared" si="28"/>
        <v>1165392.72</v>
      </c>
      <c r="CO64" s="81">
        <f t="shared" si="29"/>
        <v>1147619.1099999999</v>
      </c>
      <c r="CP64" s="166">
        <f>VLOOKUP(B64,'2526 GBP Data input'!$A$4:$CA$230,38,FALSE)</f>
        <v>1043893</v>
      </c>
      <c r="CQ64" s="166">
        <f>VLOOKUP(B64,'2526 GBP Data input'!$A$4:$CA$230,73,FALSE)</f>
        <v>12262</v>
      </c>
      <c r="CR64" s="89">
        <f t="shared" si="25"/>
        <v>121499.71999999997</v>
      </c>
      <c r="CS64" s="83">
        <f t="shared" si="26"/>
        <v>93.591511172728744</v>
      </c>
      <c r="CT64" s="82">
        <f t="shared" si="30"/>
        <v>124609.79000000004</v>
      </c>
      <c r="CU64" s="82">
        <f t="shared" si="31"/>
        <v>11278.329999999998</v>
      </c>
      <c r="CV64" s="86">
        <f t="shared" si="27"/>
        <v>135888.12000000002</v>
      </c>
    </row>
    <row r="65" spans="1:108" ht="12.75" customHeight="1">
      <c r="A65" s="238">
        <v>107735</v>
      </c>
      <c r="B65" s="60">
        <v>735</v>
      </c>
      <c r="C65" s="60" t="s">
        <v>211</v>
      </c>
      <c r="D65" s="128">
        <f>SUMIF('702-798'!$1:$1,D$3,'702-798'!13:13)</f>
        <v>-38148.58</v>
      </c>
      <c r="E65" s="128">
        <f>SUMIF('702-798'!$1:$1,E$3,'702-798'!13:13)</f>
        <v>-3817</v>
      </c>
      <c r="F65" s="128">
        <f>SUMIF('702-798'!$1:$1,F$3,'702-798'!13:13)</f>
        <v>0</v>
      </c>
      <c r="G65" s="128">
        <f>SUMIF('702-798'!$1:$1,G$3,'702-798'!13:13)</f>
        <v>0</v>
      </c>
      <c r="H65" s="128">
        <f>SUMIF('702-798'!$1:$1,H$3,'702-798'!13:13)</f>
        <v>0</v>
      </c>
      <c r="I65" s="128">
        <f>SUMIF('702-798'!$1:$1,I$3,'702-798'!13:13)</f>
        <v>0</v>
      </c>
      <c r="J65" s="128">
        <f>SUMIF('702-798'!$1:$1,J$3,'702-798'!13:13)</f>
        <v>0</v>
      </c>
      <c r="K65" s="128">
        <f>SUMIF('702-798'!$1:$1,K$3,'702-798'!13:13)</f>
        <v>-369527.16</v>
      </c>
      <c r="L65" s="128">
        <f>SUMIF('702-798'!$1:$1,L$3,'702-798'!13:13)</f>
        <v>0</v>
      </c>
      <c r="M65" s="128">
        <f>SUMIF('702-798'!$1:$1,M$3,'702-798'!13:13)</f>
        <v>-7161</v>
      </c>
      <c r="N65" s="128">
        <f>SUMIF('702-798'!$1:$1,N$3,'702-798'!13:13)</f>
        <v>0</v>
      </c>
      <c r="O65" s="128">
        <f>SUMIF('702-798'!$1:$1,O$3,'702-798'!13:13)</f>
        <v>-9090</v>
      </c>
      <c r="P65" s="128">
        <f>SUMIF('702-798'!$1:$1,P$3,'702-798'!13:13)</f>
        <v>-23850</v>
      </c>
      <c r="Q65" s="128">
        <f>SUMIF('702-798'!$1:$1,Q$3,'702-798'!13:13)</f>
        <v>0</v>
      </c>
      <c r="R65" s="128">
        <f>SUMIF('702-798'!$1:$1,R$3,'702-798'!13:13)</f>
        <v>0</v>
      </c>
      <c r="S65" s="128">
        <f>SUMIF('702-798'!$1:$1,S$3,'702-798'!13:13)</f>
        <v>-3362.18</v>
      </c>
      <c r="T65" s="128">
        <f>SUMIF('702-798'!$1:$1,T$3,'702-798'!13:13)</f>
        <v>-2207.8000000000002</v>
      </c>
      <c r="U65" s="128">
        <f>SUMIF('702-798'!$1:$1,U$3,'702-798'!13:13)</f>
        <v>0</v>
      </c>
      <c r="V65" s="128">
        <f>SUMIF('702-798'!$1:$1,V$3,'702-798'!13:13)</f>
        <v>0</v>
      </c>
      <c r="W65" s="128">
        <f>SUMIF('702-798'!$1:$1,W$3,'702-798'!13:13)</f>
        <v>-3863.9099999999994</v>
      </c>
      <c r="X65" s="128">
        <f>SUMIF('702-798'!$1:$1,X$3,'702-798'!13:13)</f>
        <v>-920.05</v>
      </c>
      <c r="Y65" s="164">
        <f>SUMIF('702-798'!$1:$1,Y$3,'702-798'!13:13)</f>
        <v>0</v>
      </c>
      <c r="Z65" s="128">
        <f>SUMIF('702-798'!$1:$1,Z$3,'702-798'!13:13)</f>
        <v>0</v>
      </c>
      <c r="AA65" s="128">
        <f>SUMIF('702-798'!$1:$1,AA$3,'702-798'!13:13)</f>
        <v>0</v>
      </c>
      <c r="AB65" s="128">
        <f>SUMIF('702-798'!$1:$1,AB$3,'702-798'!13:13)</f>
        <v>0</v>
      </c>
      <c r="AC65" s="314">
        <f>SUMIF('702-798'!$1:$1,AC$3,'702-798'!13:13)</f>
        <v>0</v>
      </c>
      <c r="AD65" s="314">
        <f>SUMIF('702-798'!$1:$1,AD$3,'702-798'!13:13)</f>
        <v>0</v>
      </c>
      <c r="AE65" s="314">
        <f>SUMIF('702-798'!$1:$1,AE$3,'702-798'!13:13)</f>
        <v>0</v>
      </c>
      <c r="AF65" s="314">
        <f>SUMIF('702-798'!$1:$1,AF$3,'702-798'!13:13)</f>
        <v>0</v>
      </c>
      <c r="AG65" s="128">
        <f>SUMIF('702-798'!$1:$1,AG$3,'702-798'!13:13)</f>
        <v>197166.19000000006</v>
      </c>
      <c r="AH65" s="128">
        <f>SUMIF('702-798'!$1:$1,AH$3,'702-798'!13:13)</f>
        <v>11948.740000000002</v>
      </c>
      <c r="AI65" s="128">
        <f>SUMIF('702-798'!$1:$1,AI$3,'702-798'!13:13)</f>
        <v>78161.750000000015</v>
      </c>
      <c r="AJ65" s="128">
        <f>SUMIF('702-798'!$1:$1,AJ$3,'702-798'!13:13)</f>
        <v>0</v>
      </c>
      <c r="AK65" s="128">
        <f>SUMIF('702-798'!$1:$1,AK$3,'702-798'!13:13)</f>
        <v>28688.97</v>
      </c>
      <c r="AL65" s="128">
        <f>SUMIF('702-798'!$1:$1,AL$3,'702-798'!13:13)</f>
        <v>0</v>
      </c>
      <c r="AM65" s="128">
        <f>SUMIF('702-798'!$1:$1,AM$3,'702-798'!13:13)</f>
        <v>12220.820000000003</v>
      </c>
      <c r="AN65" s="128">
        <f>SUMIF('702-798'!$1:$1,AN$3,'702-798'!13:13)</f>
        <v>293.20000000000005</v>
      </c>
      <c r="AO65" s="128">
        <f>SUMIF('702-798'!$1:$1,AO$3,'702-798'!13:13)</f>
        <v>529</v>
      </c>
      <c r="AP65" s="128">
        <f>SUMIF('702-798'!$1:$1,AP$3,'702-798'!13:13)</f>
        <v>1274.8</v>
      </c>
      <c r="AQ65" s="128">
        <f>SUMIF('702-798'!$1:$1,AQ$3,'702-798'!13:13)</f>
        <v>582.4</v>
      </c>
      <c r="AR65" s="128">
        <f>SUMIF('702-798'!$1:$1,AR$3,'702-798'!13:13)</f>
        <v>3940.1500000000005</v>
      </c>
      <c r="AS65" s="128">
        <f>SUMIF('702-798'!$1:$1,AS$3,'702-798'!13:13)</f>
        <v>0</v>
      </c>
      <c r="AT65" s="128">
        <f>SUMIF('702-798'!$1:$1,AT$3,'702-798'!13:13)</f>
        <v>7233.2900000000009</v>
      </c>
      <c r="AU65" s="128">
        <f>SUMIF('702-798'!$1:$1,AU$3,'702-798'!13:13)</f>
        <v>758.42</v>
      </c>
      <c r="AV65" s="128">
        <f>SUMIF('702-798'!$1:$1,AV$3,'702-798'!13:13)</f>
        <v>6891.1099999999988</v>
      </c>
      <c r="AW65" s="128">
        <f>SUMIF('702-798'!$1:$1,AW$3,'702-798'!13:13)</f>
        <v>558.17999999999995</v>
      </c>
      <c r="AX65" s="128">
        <f>SUMIF('702-798'!$1:$1,AX$3,'702-798'!13:13)</f>
        <v>1013.67</v>
      </c>
      <c r="AY65" s="128">
        <f>SUMIF('702-798'!$1:$1,AY$3,'702-798'!13:13)</f>
        <v>16709.55</v>
      </c>
      <c r="AZ65" s="314">
        <f>SUMIF('702-798'!$1:$1,AZ$3,'702-798'!13:13)</f>
        <v>0</v>
      </c>
      <c r="BA65" s="128">
        <f>SUMIF('702-798'!$1:$1,BA$3,'702-798'!13:13)</f>
        <v>4507.9699999999993</v>
      </c>
      <c r="BB65" s="128">
        <f>SUMIF('702-798'!$1:$1,BB$3,'702-798'!13:13)</f>
        <v>0</v>
      </c>
      <c r="BC65" s="128">
        <f>SUMIF('702-798'!$1:$1,BC$3,'702-798'!13:13)</f>
        <v>662.72</v>
      </c>
      <c r="BD65" s="128">
        <f>SUMIF('702-798'!$1:$1,BD$3,'702-798'!13:13)</f>
        <v>2345.25</v>
      </c>
      <c r="BE65" s="128">
        <f>SUMIF('702-798'!$1:$1,BE$3,'702-798'!13:13)</f>
        <v>264.19</v>
      </c>
      <c r="BF65" s="128">
        <f>SUMIF('702-798'!$1:$1,BF$3,'702-798'!13:13)</f>
        <v>0</v>
      </c>
      <c r="BG65" s="128">
        <f>SUMIF('702-798'!$1:$1,BG$3,'702-798'!13:13)</f>
        <v>2420.81</v>
      </c>
      <c r="BH65" s="128">
        <f>SUMIF('702-798'!$1:$1,BH$3,'702-798'!13:13)</f>
        <v>0</v>
      </c>
      <c r="BI65" s="128">
        <f>SUMIF('702-798'!$1:$1,BI$3,'702-798'!13:13)</f>
        <v>1847.9799999999998</v>
      </c>
      <c r="BJ65" s="128">
        <f>SUMIF('702-798'!$1:$1,BJ$3,'702-798'!13:13)</f>
        <v>1943.28</v>
      </c>
      <c r="BK65" s="128">
        <f>SUMIF('702-798'!$1:$1,BK$3,'702-798'!13:13)</f>
        <v>0</v>
      </c>
      <c r="BL65" s="128">
        <f>SUMIF('702-798'!$1:$1,BL$3,'702-798'!13:13)</f>
        <v>8541.25</v>
      </c>
      <c r="BM65" s="128">
        <f>SUMIF('702-798'!$1:$1,BM$3,'702-798'!13:13)</f>
        <v>476</v>
      </c>
      <c r="BN65" s="128">
        <f>SUMIF('702-798'!$1:$1,BN$3,'702-798'!13:13)</f>
        <v>26316.239999999998</v>
      </c>
      <c r="BO65" s="128">
        <f>SUMIF('702-798'!$1:$1,BO$3,'702-798'!13:13)</f>
        <v>7818.4</v>
      </c>
      <c r="BP65" s="128">
        <f>SUMIF('702-798'!$1:$1,BP$3,'702-798'!13:13)</f>
        <v>0</v>
      </c>
      <c r="BQ65" s="128">
        <f>SUMIF('702-798'!$1:$1,BQ$3,'702-798'!13:13)</f>
        <v>0</v>
      </c>
      <c r="BR65" s="128">
        <f>SUMIF('702-798'!$1:$1,BR$3,'702-798'!13:13)</f>
        <v>0</v>
      </c>
      <c r="BS65" s="128">
        <f>SUMIF('702-798'!$1:$1,BS$3,'702-798'!13:13)</f>
        <v>0</v>
      </c>
      <c r="BT65" s="128">
        <f>SUMIF('702-798'!$1:$1,BT$3,'702-798'!13:13)</f>
        <v>0</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4">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7">
        <f t="shared" si="32"/>
        <v>-36833.349999999889</v>
      </c>
      <c r="CJ65" s="122"/>
      <c r="CK65" s="169">
        <f>INDEX(SAP!C:C,MATCH('Actuals mapped to CFR'!A65,SAP!H:H,FALSE),1)</f>
        <v>-36833.35</v>
      </c>
      <c r="CL65" s="59">
        <f t="shared" si="15"/>
        <v>0</v>
      </c>
      <c r="CN65" s="81">
        <f t="shared" si="28"/>
        <v>419982.09999999992</v>
      </c>
      <c r="CO65" s="81">
        <f t="shared" si="29"/>
        <v>425114.32999999996</v>
      </c>
      <c r="CP65" s="166">
        <f>VLOOKUP(B65,'2526 GBP Data input'!$A$4:$CA$230,38,FALSE)</f>
        <v>396247</v>
      </c>
      <c r="CQ65" s="166">
        <f>VLOOKUP(B65,'2526 GBP Data input'!$A$4:$CA$230,73,FALSE)</f>
        <v>9739</v>
      </c>
      <c r="CR65" s="89">
        <f t="shared" si="25"/>
        <v>23735.099999999919</v>
      </c>
      <c r="CS65" s="83">
        <f t="shared" si="26"/>
        <v>43.65071670602731</v>
      </c>
      <c r="CT65" s="82">
        <f t="shared" si="30"/>
        <v>33016.349999999977</v>
      </c>
      <c r="CU65" s="82">
        <f t="shared" si="31"/>
        <v>0</v>
      </c>
      <c r="CV65" s="86">
        <f t="shared" si="27"/>
        <v>33016.349999999977</v>
      </c>
    </row>
    <row r="66" spans="1:108" ht="12.75" customHeight="1">
      <c r="A66" s="238">
        <v>107742</v>
      </c>
      <c r="B66" s="60">
        <v>742</v>
      </c>
      <c r="C66" s="60" t="s">
        <v>400</v>
      </c>
      <c r="D66" s="128">
        <f>SUMIF('702-798'!$1:$1,D$3,'702-798'!14:14)</f>
        <v>-13712.87</v>
      </c>
      <c r="E66" s="128">
        <f>SUMIF('702-798'!$1:$1,E$3,'702-798'!14:14)</f>
        <v>-32788.14</v>
      </c>
      <c r="F66" s="128">
        <f>SUMIF('702-798'!$1:$1,F$3,'702-798'!14:14)</f>
        <v>0</v>
      </c>
      <c r="G66" s="128">
        <f>SUMIF('702-798'!$1:$1,G$3,'702-798'!14:14)</f>
        <v>-7961.34</v>
      </c>
      <c r="H66" s="128">
        <f>SUMIF('702-798'!$1:$1,H$3,'702-798'!14:14)</f>
        <v>0</v>
      </c>
      <c r="I66" s="128">
        <f>SUMIF('702-798'!$1:$1,I$3,'702-798'!14:14)</f>
        <v>0</v>
      </c>
      <c r="J66" s="128">
        <f>SUMIF('702-798'!$1:$1,J$3,'702-798'!14:14)</f>
        <v>0</v>
      </c>
      <c r="K66" s="128">
        <f>SUMIF('702-798'!$1:$1,K$3,'702-798'!14:14)</f>
        <v>-799997.43999999994</v>
      </c>
      <c r="L66" s="128">
        <f>SUMIF('702-798'!$1:$1,L$3,'702-798'!14:14)</f>
        <v>0</v>
      </c>
      <c r="M66" s="128">
        <f>SUMIF('702-798'!$1:$1,M$3,'702-798'!14:14)</f>
        <v>-12350</v>
      </c>
      <c r="N66" s="128">
        <f>SUMIF('702-798'!$1:$1,N$3,'702-798'!14:14)</f>
        <v>0</v>
      </c>
      <c r="O66" s="128">
        <f>SUMIF('702-798'!$1:$1,O$3,'702-798'!14:14)</f>
        <v>-27620</v>
      </c>
      <c r="P66" s="128">
        <f>SUMIF('702-798'!$1:$1,P$3,'702-798'!14:14)</f>
        <v>-37756.93</v>
      </c>
      <c r="Q66" s="128">
        <f>SUMIF('702-798'!$1:$1,Q$3,'702-798'!14:14)</f>
        <v>0</v>
      </c>
      <c r="R66" s="128">
        <f>SUMIF('702-798'!$1:$1,R$3,'702-798'!14:14)</f>
        <v>-3035</v>
      </c>
      <c r="S66" s="128">
        <f>SUMIF('702-798'!$1:$1,S$3,'702-798'!14:14)</f>
        <v>-36531.14</v>
      </c>
      <c r="T66" s="128">
        <f>SUMIF('702-798'!$1:$1,T$3,'702-798'!14:14)</f>
        <v>0.62</v>
      </c>
      <c r="U66" s="128">
        <f>SUMIF('702-798'!$1:$1,U$3,'702-798'!14:14)</f>
        <v>-1755</v>
      </c>
      <c r="V66" s="128">
        <f>SUMIF('702-798'!$1:$1,V$3,'702-798'!14:14)</f>
        <v>0</v>
      </c>
      <c r="W66" s="128">
        <f>SUMIF('702-798'!$1:$1,W$3,'702-798'!14:14)</f>
        <v>-12480.929999999995</v>
      </c>
      <c r="X66" s="128">
        <f>SUMIF('702-798'!$1:$1,X$3,'702-798'!14:14)</f>
        <v>-6327.52</v>
      </c>
      <c r="Y66" s="164">
        <f>SUMIF('702-798'!$1:$1,Y$3,'702-798'!14:14)</f>
        <v>0</v>
      </c>
      <c r="Z66" s="128">
        <f>SUMIF('702-798'!$1:$1,Z$3,'702-798'!14:14)</f>
        <v>0</v>
      </c>
      <c r="AA66" s="128">
        <f>SUMIF('702-798'!$1:$1,AA$3,'702-798'!14:14)</f>
        <v>0</v>
      </c>
      <c r="AB66" s="128">
        <f>SUMIF('702-798'!$1:$1,AB$3,'702-798'!14:14)</f>
        <v>0</v>
      </c>
      <c r="AC66" s="314">
        <f>SUMIF('702-798'!$1:$1,AC$3,'702-798'!14:14)</f>
        <v>0</v>
      </c>
      <c r="AD66" s="314">
        <f>SUMIF('702-798'!$1:$1,AD$3,'702-798'!14:14)</f>
        <v>0</v>
      </c>
      <c r="AE66" s="314">
        <f>SUMIF('702-798'!$1:$1,AE$3,'702-798'!14:14)</f>
        <v>0</v>
      </c>
      <c r="AF66" s="314">
        <f>SUMIF('702-798'!$1:$1,AF$3,'702-798'!14:14)</f>
        <v>0</v>
      </c>
      <c r="AG66" s="128">
        <f>SUMIF('702-798'!$1:$1,AG$3,'702-798'!14:14)</f>
        <v>580559.52</v>
      </c>
      <c r="AH66" s="128">
        <f>SUMIF('702-798'!$1:$1,AH$3,'702-798'!14:14)</f>
        <v>4346.2300000000005</v>
      </c>
      <c r="AI66" s="128">
        <f>SUMIF('702-798'!$1:$1,AI$3,'702-798'!14:14)</f>
        <v>76178.37</v>
      </c>
      <c r="AJ66" s="128">
        <f>SUMIF('702-798'!$1:$1,AJ$3,'702-798'!14:14)</f>
        <v>0</v>
      </c>
      <c r="AK66" s="128">
        <f>SUMIF('702-798'!$1:$1,AK$3,'702-798'!14:14)</f>
        <v>45773.09</v>
      </c>
      <c r="AL66" s="128">
        <f>SUMIF('702-798'!$1:$1,AL$3,'702-798'!14:14)</f>
        <v>0</v>
      </c>
      <c r="AM66" s="128">
        <f>SUMIF('702-798'!$1:$1,AM$3,'702-798'!14:14)</f>
        <v>37831.43</v>
      </c>
      <c r="AN66" s="128">
        <f>SUMIF('702-798'!$1:$1,AN$3,'702-798'!14:14)</f>
        <v>2815.8</v>
      </c>
      <c r="AO66" s="128">
        <f>SUMIF('702-798'!$1:$1,AO$3,'702-798'!14:14)</f>
        <v>3336.49</v>
      </c>
      <c r="AP66" s="128">
        <f>SUMIF('702-798'!$1:$1,AP$3,'702-798'!14:14)</f>
        <v>2561.0500000000002</v>
      </c>
      <c r="AQ66" s="128">
        <f>SUMIF('702-798'!$1:$1,AQ$3,'702-798'!14:14)</f>
        <v>0</v>
      </c>
      <c r="AR66" s="128">
        <f>SUMIF('702-798'!$1:$1,AR$3,'702-798'!14:14)</f>
        <v>2932.41</v>
      </c>
      <c r="AS66" s="128">
        <f>SUMIF('702-798'!$1:$1,AS$3,'702-798'!14:14)</f>
        <v>5801.2100000000009</v>
      </c>
      <c r="AT66" s="128">
        <f>SUMIF('702-798'!$1:$1,AT$3,'702-798'!14:14)</f>
        <v>24059.670000000002</v>
      </c>
      <c r="AU66" s="128">
        <f>SUMIF('702-798'!$1:$1,AU$3,'702-798'!14:14)</f>
        <v>2451.21</v>
      </c>
      <c r="AV66" s="128">
        <f>SUMIF('702-798'!$1:$1,AV$3,'702-798'!14:14)</f>
        <v>15265.93</v>
      </c>
      <c r="AW66" s="128">
        <f>SUMIF('702-798'!$1:$1,AW$3,'702-798'!14:14)</f>
        <v>18662.599999999999</v>
      </c>
      <c r="AX66" s="128">
        <f>SUMIF('702-798'!$1:$1,AX$3,'702-798'!14:14)</f>
        <v>2366.2399999999998</v>
      </c>
      <c r="AY66" s="128">
        <f>SUMIF('702-798'!$1:$1,AY$3,'702-798'!14:14)</f>
        <v>46746.680000000008</v>
      </c>
      <c r="AZ66" s="314">
        <f>SUMIF('702-798'!$1:$1,AZ$3,'702-798'!14:14)</f>
        <v>0</v>
      </c>
      <c r="BA66" s="128">
        <f>SUMIF('702-798'!$1:$1,BA$3,'702-798'!14:14)</f>
        <v>1923</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1480.5</v>
      </c>
      <c r="BH66" s="128">
        <f>SUMIF('702-798'!$1:$1,BH$3,'702-798'!14:14)</f>
        <v>0</v>
      </c>
      <c r="BI66" s="128">
        <f>SUMIF('702-798'!$1:$1,BI$3,'702-798'!14:14)</f>
        <v>1993.7099999999998</v>
      </c>
      <c r="BJ66" s="128">
        <f>SUMIF('702-798'!$1:$1,BJ$3,'702-798'!14:14)</f>
        <v>7611.18</v>
      </c>
      <c r="BK66" s="128">
        <f>SUMIF('702-798'!$1:$1,BK$3,'702-798'!14:14)</f>
        <v>0</v>
      </c>
      <c r="BL66" s="128">
        <f>SUMIF('702-798'!$1:$1,BL$3,'702-798'!14:14)</f>
        <v>34263.699999999997</v>
      </c>
      <c r="BM66" s="128">
        <f>SUMIF('702-798'!$1:$1,BM$3,'702-798'!14:14)</f>
        <v>9527</v>
      </c>
      <c r="BN66" s="128">
        <f>SUMIF('702-798'!$1:$1,BN$3,'702-798'!14:14)</f>
        <v>2826.97</v>
      </c>
      <c r="BO66" s="128">
        <f>SUMIF('702-798'!$1:$1,BO$3,'702-798'!14:14)</f>
        <v>13713.010000000002</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-5653.75</v>
      </c>
      <c r="BV66" s="128">
        <f>SUMIF('702-798'!$1:$1,BV$3,'702-798'!14:14)</f>
        <v>0</v>
      </c>
      <c r="BW66" s="128">
        <f>SUMIF('702-798'!$1:$1,BW$3,'702-798'!14:14)</f>
        <v>0</v>
      </c>
      <c r="BX66" s="128">
        <f>SUMIF('702-798'!$1:$1,BX$3,'702-798'!14:14)</f>
        <v>0</v>
      </c>
      <c r="BY66" s="128">
        <f>SUMIF('702-798'!$1:$1,BY$3,'702-798'!14:14)</f>
        <v>4021.13</v>
      </c>
      <c r="BZ66" s="128">
        <f>SUMIF('702-798'!$1:$1,BZ$3,'702-798'!14:14)</f>
        <v>0</v>
      </c>
      <c r="CA66" s="314">
        <f>SUMIF('702-798'!$1:$1,CA$3,'702-798'!14:14)</f>
        <v>0</v>
      </c>
      <c r="CB66" s="128">
        <f>SUMIF('702-798'!$1:$1,CB$3,'702-798'!14:14)</f>
        <v>0</v>
      </c>
      <c r="CC66" s="128">
        <f>SUMIF('702-798'!$1:$1,CC$3,'702-798'!14:14)</f>
        <v>3938</v>
      </c>
      <c r="CD66" s="128">
        <f>SUMIF('702-798'!$1:$1,CD$3,'702-798'!14:14)</f>
        <v>0</v>
      </c>
      <c r="CE66" s="128">
        <f>SUMIF('702-798'!$1:$1,CE$3,'702-798'!14:14)</f>
        <v>0</v>
      </c>
      <c r="CF66" s="128">
        <f>SUMIF('702-798'!$1:$1,CF$3,'702-798'!14:14)</f>
        <v>0</v>
      </c>
      <c r="CG66" s="257">
        <f t="shared" si="32"/>
        <v>-44983.310000000143</v>
      </c>
      <c r="CJ66" s="122"/>
      <c r="CK66" s="169">
        <f>INDEX(SAP!C:C,MATCH('Actuals mapped to CFR'!A66,SAP!H:H,FALSE),1)</f>
        <v>-44983.31</v>
      </c>
      <c r="CL66" s="59">
        <f t="shared" si="15"/>
        <v>0</v>
      </c>
      <c r="CN66" s="81">
        <f t="shared" si="28"/>
        <v>937853.34000000008</v>
      </c>
      <c r="CO66" s="81">
        <f t="shared" si="29"/>
        <v>945027.00000000012</v>
      </c>
      <c r="CP66" s="166">
        <f>VLOOKUP(B66,'2526 GBP Data input'!$A$4:$CA$230,38,FALSE)</f>
        <v>897032</v>
      </c>
      <c r="CQ66" s="166">
        <f>VLOOKUP(B66,'2526 GBP Data input'!$A$4:$CA$230,73,FALSE)</f>
        <v>13547</v>
      </c>
      <c r="CR66" s="89">
        <f t="shared" si="25"/>
        <v>40821.340000000084</v>
      </c>
      <c r="CS66" s="83">
        <f t="shared" si="26"/>
        <v>69.759134863807489</v>
      </c>
      <c r="CT66" s="82">
        <f t="shared" si="30"/>
        <v>6539.2099999999627</v>
      </c>
      <c r="CU66" s="82">
        <f t="shared" si="31"/>
        <v>9593.9599999999991</v>
      </c>
      <c r="CV66" s="86">
        <f t="shared" si="27"/>
        <v>16133.169999999962</v>
      </c>
    </row>
    <row r="67" spans="1:108">
      <c r="A67" s="238">
        <v>107743</v>
      </c>
      <c r="B67" s="60">
        <v>743</v>
      </c>
      <c r="C67" s="60" t="s">
        <v>254</v>
      </c>
      <c r="D67" s="128">
        <f>SUMIF('702-798'!$1:$1,D$3,'702-798'!15:15)</f>
        <v>-24937.32</v>
      </c>
      <c r="E67" s="128">
        <f>SUMIF('702-798'!$1:$1,E$3,'702-798'!15:15)</f>
        <v>-11615</v>
      </c>
      <c r="F67" s="128">
        <f>SUMIF('702-798'!$1:$1,F$3,'702-798'!15:15)</f>
        <v>0</v>
      </c>
      <c r="G67" s="128">
        <f>SUMIF('702-798'!$1:$1,G$3,'702-798'!15:15)</f>
        <v>-1120.3699999999999</v>
      </c>
      <c r="H67" s="128">
        <f>SUMIF('702-798'!$1:$1,H$3,'702-798'!15:15)</f>
        <v>0</v>
      </c>
      <c r="I67" s="128">
        <f>SUMIF('702-798'!$1:$1,I$3,'702-798'!15:15)</f>
        <v>0</v>
      </c>
      <c r="J67" s="128">
        <f>SUMIF('702-798'!$1:$1,J$3,'702-798'!15:15)</f>
        <v>0</v>
      </c>
      <c r="K67" s="128">
        <f>SUMIF('702-798'!$1:$1,K$3,'702-798'!15:15)</f>
        <v>-505705.37</v>
      </c>
      <c r="L67" s="128">
        <f>SUMIF('702-798'!$1:$1,L$3,'702-798'!15:15)</f>
        <v>0</v>
      </c>
      <c r="M67" s="128">
        <f>SUMIF('702-798'!$1:$1,M$3,'702-798'!15:15)</f>
        <v>-31625</v>
      </c>
      <c r="N67" s="128">
        <f>SUMIF('702-798'!$1:$1,N$3,'702-798'!15:15)</f>
        <v>0</v>
      </c>
      <c r="O67" s="128">
        <f>SUMIF('702-798'!$1:$1,O$3,'702-798'!15:15)</f>
        <v>-21210</v>
      </c>
      <c r="P67" s="128">
        <f>SUMIF('702-798'!$1:$1,P$3,'702-798'!15:15)</f>
        <v>-27889</v>
      </c>
      <c r="Q67" s="128">
        <f>SUMIF('702-798'!$1:$1,Q$3,'702-798'!15:15)</f>
        <v>0</v>
      </c>
      <c r="R67" s="128">
        <f>SUMIF('702-798'!$1:$1,R$3,'702-798'!15:15)</f>
        <v>-516</v>
      </c>
      <c r="S67" s="128">
        <f>SUMIF('702-798'!$1:$1,S$3,'702-798'!15:15)</f>
        <v>-5191.13</v>
      </c>
      <c r="T67" s="128">
        <f>SUMIF('702-798'!$1:$1,T$3,'702-798'!15:15)</f>
        <v>2.71</v>
      </c>
      <c r="U67" s="128">
        <f>SUMIF('702-798'!$1:$1,U$3,'702-798'!15:15)</f>
        <v>-500</v>
      </c>
      <c r="V67" s="128">
        <f>SUMIF('702-798'!$1:$1,V$3,'702-798'!15:15)</f>
        <v>0</v>
      </c>
      <c r="W67" s="128">
        <f>SUMIF('702-798'!$1:$1,W$3,'702-798'!15:15)</f>
        <v>-10085.9</v>
      </c>
      <c r="X67" s="128">
        <f>SUMIF('702-798'!$1:$1,X$3,'702-798'!15:15)</f>
        <v>253.94</v>
      </c>
      <c r="Y67" s="164">
        <f>SUMIF('702-798'!$1:$1,Y$3,'702-798'!15:15)</f>
        <v>0</v>
      </c>
      <c r="Z67" s="128">
        <f>SUMIF('702-798'!$1:$1,Z$3,'702-798'!15:15)</f>
        <v>0</v>
      </c>
      <c r="AA67" s="128">
        <f>SUMIF('702-798'!$1:$1,AA$3,'702-798'!15:15)</f>
        <v>0</v>
      </c>
      <c r="AB67" s="128">
        <f>SUMIF('702-798'!$1:$1,AB$3,'702-798'!15:15)</f>
        <v>0</v>
      </c>
      <c r="AC67" s="314">
        <f>SUMIF('702-798'!$1:$1,AC$3,'702-798'!15:15)</f>
        <v>0</v>
      </c>
      <c r="AD67" s="314">
        <f>SUMIF('702-798'!$1:$1,AD$3,'702-798'!15:15)</f>
        <v>0</v>
      </c>
      <c r="AE67" s="314">
        <f>SUMIF('702-798'!$1:$1,AE$3,'702-798'!15:15)</f>
        <v>0</v>
      </c>
      <c r="AF67" s="314">
        <f>SUMIF('702-798'!$1:$1,AF$3,'702-798'!15:15)</f>
        <v>0</v>
      </c>
      <c r="AG67" s="128">
        <f>SUMIF('702-798'!$1:$1,AG$3,'702-798'!15:15)</f>
        <v>293908.16000000009</v>
      </c>
      <c r="AH67" s="128">
        <f>SUMIF('702-798'!$1:$1,AH$3,'702-798'!15:15)</f>
        <v>0</v>
      </c>
      <c r="AI67" s="128">
        <f>SUMIF('702-798'!$1:$1,AI$3,'702-798'!15:15)</f>
        <v>127864.30000000002</v>
      </c>
      <c r="AJ67" s="128">
        <f>SUMIF('702-798'!$1:$1,AJ$3,'702-798'!15:15)</f>
        <v>14662.640000000001</v>
      </c>
      <c r="AK67" s="128">
        <f>SUMIF('702-798'!$1:$1,AK$3,'702-798'!15:15)</f>
        <v>38519.980000000003</v>
      </c>
      <c r="AL67" s="128">
        <f>SUMIF('702-798'!$1:$1,AL$3,'702-798'!15:15)</f>
        <v>0</v>
      </c>
      <c r="AM67" s="128">
        <f>SUMIF('702-798'!$1:$1,AM$3,'702-798'!15:15)</f>
        <v>15646.070000000003</v>
      </c>
      <c r="AN67" s="128">
        <f>SUMIF('702-798'!$1:$1,AN$3,'702-798'!15:15)</f>
        <v>1183.53</v>
      </c>
      <c r="AO67" s="128">
        <f>SUMIF('702-798'!$1:$1,AO$3,'702-798'!15:15)</f>
        <v>645</v>
      </c>
      <c r="AP67" s="128">
        <f>SUMIF('702-798'!$1:$1,AP$3,'702-798'!15:15)</f>
        <v>195.2</v>
      </c>
      <c r="AQ67" s="128">
        <f>SUMIF('702-798'!$1:$1,AQ$3,'702-798'!15:15)</f>
        <v>0</v>
      </c>
      <c r="AR67" s="128">
        <f>SUMIF('702-798'!$1:$1,AR$3,'702-798'!15:15)</f>
        <v>11026.65</v>
      </c>
      <c r="AS67" s="128">
        <f>SUMIF('702-798'!$1:$1,AS$3,'702-798'!15:15)</f>
        <v>1480.5</v>
      </c>
      <c r="AT67" s="128">
        <f>SUMIF('702-798'!$1:$1,AT$3,'702-798'!15:15)</f>
        <v>2329.1800000000003</v>
      </c>
      <c r="AU67" s="128">
        <f>SUMIF('702-798'!$1:$1,AU$3,'702-798'!15:15)</f>
        <v>1393.11</v>
      </c>
      <c r="AV67" s="128">
        <f>SUMIF('702-798'!$1:$1,AV$3,'702-798'!15:15)</f>
        <v>7916.98</v>
      </c>
      <c r="AW67" s="128">
        <f>SUMIF('702-798'!$1:$1,AW$3,'702-798'!15:15)</f>
        <v>7360.25</v>
      </c>
      <c r="AX67" s="128">
        <f>SUMIF('702-798'!$1:$1,AX$3,'702-798'!15:15)</f>
        <v>1568.5300000000002</v>
      </c>
      <c r="AY67" s="128">
        <f>SUMIF('702-798'!$1:$1,AY$3,'702-798'!15:15)</f>
        <v>26333.23</v>
      </c>
      <c r="AZ67" s="314">
        <f>SUMIF('702-798'!$1:$1,AZ$3,'702-798'!15:15)</f>
        <v>0</v>
      </c>
      <c r="BA67" s="128">
        <f>SUMIF('702-798'!$1:$1,BA$3,'702-798'!15:15)</f>
        <v>2241.5700000000006</v>
      </c>
      <c r="BB67" s="128">
        <f>SUMIF('702-798'!$1:$1,BB$3,'702-798'!15:15)</f>
        <v>335</v>
      </c>
      <c r="BC67" s="128">
        <f>SUMIF('702-798'!$1:$1,BC$3,'702-798'!15:15)</f>
        <v>281.05</v>
      </c>
      <c r="BD67" s="128">
        <f>SUMIF('702-798'!$1:$1,BD$3,'702-798'!15:15)</f>
        <v>2088.09</v>
      </c>
      <c r="BE67" s="128">
        <f>SUMIF('702-798'!$1:$1,BE$3,'702-798'!15:15)</f>
        <v>255</v>
      </c>
      <c r="BF67" s="128">
        <f>SUMIF('702-798'!$1:$1,BF$3,'702-798'!15:15)</f>
        <v>0</v>
      </c>
      <c r="BG67" s="128">
        <f>SUMIF('702-798'!$1:$1,BG$3,'702-798'!15:15)</f>
        <v>3772</v>
      </c>
      <c r="BH67" s="128">
        <f>SUMIF('702-798'!$1:$1,BH$3,'702-798'!15:15)</f>
        <v>0</v>
      </c>
      <c r="BI67" s="128">
        <f>SUMIF('702-798'!$1:$1,BI$3,'702-798'!15:15)</f>
        <v>1957.78</v>
      </c>
      <c r="BJ67" s="128">
        <f>SUMIF('702-798'!$1:$1,BJ$3,'702-798'!15:15)</f>
        <v>3454.7200000000003</v>
      </c>
      <c r="BK67" s="128">
        <f>SUMIF('702-798'!$1:$1,BK$3,'702-798'!15:15)</f>
        <v>0</v>
      </c>
      <c r="BL67" s="128">
        <f>SUMIF('702-798'!$1:$1,BL$3,'702-798'!15:15)</f>
        <v>21170.57</v>
      </c>
      <c r="BM67" s="128">
        <f>SUMIF('702-798'!$1:$1,BM$3,'702-798'!15:15)</f>
        <v>5055</v>
      </c>
      <c r="BN67" s="128">
        <f>SUMIF('702-798'!$1:$1,BN$3,'702-798'!15:15)</f>
        <v>8512</v>
      </c>
      <c r="BO67" s="128">
        <f>SUMIF('702-798'!$1:$1,BO$3,'702-798'!15:15)</f>
        <v>7511.54</v>
      </c>
      <c r="BP67" s="128">
        <f>SUMIF('702-798'!$1:$1,BP$3,'702-798'!15:15)</f>
        <v>0</v>
      </c>
      <c r="BQ67" s="128">
        <f>SUMIF('702-798'!$1:$1,BQ$3,'702-798'!15:15)</f>
        <v>0</v>
      </c>
      <c r="BR67" s="128">
        <f>SUMIF('702-798'!$1:$1,BR$3,'702-798'!15:15)</f>
        <v>0</v>
      </c>
      <c r="BS67" s="128">
        <f>SUMIF('702-798'!$1:$1,BS$3,'702-798'!15:15)</f>
        <v>0</v>
      </c>
      <c r="BT67" s="128">
        <f>SUMIF('702-798'!$1:$1,BT$3,'702-798'!15:15)</f>
        <v>0</v>
      </c>
      <c r="BU67" s="128">
        <f>SUMIF('702-798'!$1:$1,BU$3,'702-798'!15:15)</f>
        <v>-4641.25</v>
      </c>
      <c r="BV67" s="128">
        <f>SUMIF('702-798'!$1:$1,BV$3,'702-798'!15:15)</f>
        <v>0</v>
      </c>
      <c r="BW67" s="128">
        <f>SUMIF('702-798'!$1:$1,BW$3,'702-798'!15:15)</f>
        <v>0</v>
      </c>
      <c r="BX67" s="128">
        <f>SUMIF('702-798'!$1:$1,BX$3,'702-798'!15:15)</f>
        <v>0</v>
      </c>
      <c r="BY67" s="128">
        <f>SUMIF('702-798'!$1:$1,BY$3,'702-798'!15:15)</f>
        <v>5627.5</v>
      </c>
      <c r="BZ67" s="128">
        <f>SUMIF('702-798'!$1:$1,BZ$3,'702-798'!15:15)</f>
        <v>0</v>
      </c>
      <c r="CA67" s="314">
        <f>SUMIF('702-798'!$1:$1,CA$3,'702-798'!15:15)</f>
        <v>0</v>
      </c>
      <c r="CB67" s="128">
        <f>SUMIF('702-798'!$1:$1,CB$3,'702-798'!15:15)</f>
        <v>0</v>
      </c>
      <c r="CC67" s="128">
        <f>SUMIF('702-798'!$1:$1,CC$3,'702-798'!15:15)</f>
        <v>0</v>
      </c>
      <c r="CD67" s="128">
        <f>SUMIF('702-798'!$1:$1,CD$3,'702-798'!15:15)</f>
        <v>0</v>
      </c>
      <c r="CE67" s="128">
        <f>SUMIF('702-798'!$1:$1,CE$3,'702-798'!15:15)</f>
        <v>529</v>
      </c>
      <c r="CF67" s="128">
        <f>SUMIF('702-798'!$1:$1,CF$3,'702-798'!15:15)</f>
        <v>0</v>
      </c>
      <c r="CG67" s="257">
        <f t="shared" si="32"/>
        <v>-29955.560000000056</v>
      </c>
      <c r="CJ67" s="122"/>
      <c r="CK67" s="169">
        <f>INDEX(SAP!C:C,MATCH('Actuals mapped to CFR'!A67,SAP!H:H,FALSE),1)</f>
        <v>-29955.56</v>
      </c>
      <c r="CL67" s="59">
        <f t="shared" si="15"/>
        <v>0</v>
      </c>
      <c r="CN67" s="81">
        <f t="shared" si="28"/>
        <v>602465.75000000012</v>
      </c>
      <c r="CO67" s="81">
        <f t="shared" si="29"/>
        <v>608667.63</v>
      </c>
      <c r="CP67" s="166">
        <f>VLOOKUP(B67,'2526 GBP Data input'!$A$4:$CA$230,38,FALSE)</f>
        <v>575535</v>
      </c>
      <c r="CQ67" s="166">
        <f>VLOOKUP(B67,'2526 GBP Data input'!$A$4:$CA$230,73,FALSE)</f>
        <v>9022</v>
      </c>
      <c r="CR67" s="89">
        <f t="shared" si="25"/>
        <v>26930.750000000116</v>
      </c>
      <c r="CS67" s="83">
        <f t="shared" si="26"/>
        <v>67.464822655730444</v>
      </c>
      <c r="CT67" s="82">
        <f t="shared" si="30"/>
        <v>18735.440000000061</v>
      </c>
      <c r="CU67" s="82">
        <f t="shared" si="31"/>
        <v>134.11999999999989</v>
      </c>
      <c r="CV67" s="86">
        <f t="shared" si="27"/>
        <v>18869.56000000006</v>
      </c>
    </row>
    <row r="68" spans="1:108">
      <c r="A68" s="238">
        <v>107749</v>
      </c>
      <c r="B68" s="60">
        <v>749</v>
      </c>
      <c r="C68" s="60" t="s">
        <v>184</v>
      </c>
      <c r="D68" s="128">
        <f>SUMIF('702-798'!$1:$1,D$3,'702-798'!16:16)</f>
        <v>-203869</v>
      </c>
      <c r="E68" s="128">
        <f>SUMIF('702-798'!$1:$1,E$3,'702-798'!16:16)</f>
        <v>-7807.1</v>
      </c>
      <c r="F68" s="128">
        <f>SUMIF('702-798'!$1:$1,F$3,'702-798'!16:16)</f>
        <v>0</v>
      </c>
      <c r="G68" s="128">
        <f>SUMIF('702-798'!$1:$1,G$3,'702-798'!16:16)</f>
        <v>-4322.13</v>
      </c>
      <c r="H68" s="128">
        <f>SUMIF('702-798'!$1:$1,H$3,'702-798'!16:16)</f>
        <v>0</v>
      </c>
      <c r="I68" s="128">
        <f>SUMIF('702-798'!$1:$1,I$3,'702-798'!16:16)</f>
        <v>0</v>
      </c>
      <c r="J68" s="128">
        <f>SUMIF('702-798'!$1:$1,J$3,'702-798'!16:16)</f>
        <v>0</v>
      </c>
      <c r="K68" s="128">
        <f>SUMIF('702-798'!$1:$1,K$3,'702-798'!16:16)</f>
        <v>-351970.72</v>
      </c>
      <c r="L68" s="128">
        <f>SUMIF('702-798'!$1:$1,L$3,'702-798'!16:16)</f>
        <v>0</v>
      </c>
      <c r="M68" s="128">
        <f>SUMIF('702-798'!$1:$1,M$3,'702-798'!16:16)</f>
        <v>-29355</v>
      </c>
      <c r="N68" s="128">
        <f>SUMIF('702-798'!$1:$1,N$3,'702-798'!16:16)</f>
        <v>0</v>
      </c>
      <c r="O68" s="128">
        <f>SUMIF('702-798'!$1:$1,O$3,'702-798'!16:16)</f>
        <v>-9585</v>
      </c>
      <c r="P68" s="128">
        <f>SUMIF('702-798'!$1:$1,P$3,'702-798'!16:16)</f>
        <v>-17852</v>
      </c>
      <c r="Q68" s="128">
        <f>SUMIF('702-798'!$1:$1,Q$3,'702-798'!16:16)</f>
        <v>0</v>
      </c>
      <c r="R68" s="128">
        <f>SUMIF('702-798'!$1:$1,R$3,'702-798'!16:16)</f>
        <v>0</v>
      </c>
      <c r="S68" s="128">
        <f>SUMIF('702-798'!$1:$1,S$3,'702-798'!16:16)</f>
        <v>-15164.049999999996</v>
      </c>
      <c r="T68" s="128">
        <f>SUMIF('702-798'!$1:$1,T$3,'702-798'!16:16)</f>
        <v>10359.34</v>
      </c>
      <c r="U68" s="128">
        <f>SUMIF('702-798'!$1:$1,U$3,'702-798'!16:16)</f>
        <v>0</v>
      </c>
      <c r="V68" s="128">
        <f>SUMIF('702-798'!$1:$1,V$3,'702-798'!16:16)</f>
        <v>0</v>
      </c>
      <c r="W68" s="128">
        <f>SUMIF('702-798'!$1:$1,W$3,'702-798'!16:16)</f>
        <v>-3549.150000000001</v>
      </c>
      <c r="X68" s="128">
        <f>SUMIF('702-798'!$1:$1,X$3,'702-798'!16:16)</f>
        <v>-356.58</v>
      </c>
      <c r="Y68" s="164">
        <f>SUMIF('702-798'!$1:$1,Y$3,'702-798'!16:16)</f>
        <v>0</v>
      </c>
      <c r="Z68" s="128">
        <f>SUMIF('702-798'!$1:$1,Z$3,'702-798'!16:16)</f>
        <v>0</v>
      </c>
      <c r="AA68" s="128">
        <f>SUMIF('702-798'!$1:$1,AA$3,'702-798'!16:16)</f>
        <v>0</v>
      </c>
      <c r="AB68" s="128">
        <f>SUMIF('702-798'!$1:$1,AB$3,'702-798'!16:16)</f>
        <v>0</v>
      </c>
      <c r="AC68" s="314">
        <f>SUMIF('702-798'!$1:$1,AC$3,'702-798'!16:16)</f>
        <v>0</v>
      </c>
      <c r="AD68" s="314">
        <f>SUMIF('702-798'!$1:$1,AD$3,'702-798'!16:16)</f>
        <v>0</v>
      </c>
      <c r="AE68" s="314">
        <f>SUMIF('702-798'!$1:$1,AE$3,'702-798'!16:16)</f>
        <v>0</v>
      </c>
      <c r="AF68" s="314">
        <f>SUMIF('702-798'!$1:$1,AF$3,'702-798'!16:16)</f>
        <v>0</v>
      </c>
      <c r="AG68" s="128">
        <f>SUMIF('702-798'!$1:$1,AG$3,'702-798'!16:16)</f>
        <v>176339.56</v>
      </c>
      <c r="AH68" s="128">
        <f>SUMIF('702-798'!$1:$1,AH$3,'702-798'!16:16)</f>
        <v>420.35</v>
      </c>
      <c r="AI68" s="128">
        <f>SUMIF('702-798'!$1:$1,AI$3,'702-798'!16:16)</f>
        <v>39642.850000000006</v>
      </c>
      <c r="AJ68" s="128">
        <f>SUMIF('702-798'!$1:$1,AJ$3,'702-798'!16:16)</f>
        <v>13871.840000000002</v>
      </c>
      <c r="AK68" s="128">
        <f>SUMIF('702-798'!$1:$1,AK$3,'702-798'!16:16)</f>
        <v>31989.489999999994</v>
      </c>
      <c r="AL68" s="128">
        <f>SUMIF('702-798'!$1:$1,AL$3,'702-798'!16:16)</f>
        <v>12921.250000000002</v>
      </c>
      <c r="AM68" s="128">
        <f>SUMIF('702-798'!$1:$1,AM$3,'702-798'!16:16)</f>
        <v>4086.5700000000006</v>
      </c>
      <c r="AN68" s="128">
        <f>SUMIF('702-798'!$1:$1,AN$3,'702-798'!16:16)</f>
        <v>783.81000000000006</v>
      </c>
      <c r="AO68" s="128">
        <f>SUMIF('702-798'!$1:$1,AO$3,'702-798'!16:16)</f>
        <v>1253.92</v>
      </c>
      <c r="AP68" s="128">
        <f>SUMIF('702-798'!$1:$1,AP$3,'702-798'!16:16)</f>
        <v>1318</v>
      </c>
      <c r="AQ68" s="128">
        <f>SUMIF('702-798'!$1:$1,AQ$3,'702-798'!16:16)</f>
        <v>0</v>
      </c>
      <c r="AR68" s="128">
        <f>SUMIF('702-798'!$1:$1,AR$3,'702-798'!16:16)</f>
        <v>8018.7999999999993</v>
      </c>
      <c r="AS68" s="128">
        <f>SUMIF('702-798'!$1:$1,AS$3,'702-798'!16:16)</f>
        <v>2175.7399999999998</v>
      </c>
      <c r="AT68" s="128">
        <f>SUMIF('702-798'!$1:$1,AT$3,'702-798'!16:16)</f>
        <v>1166.22</v>
      </c>
      <c r="AU68" s="128">
        <f>SUMIF('702-798'!$1:$1,AU$3,'702-798'!16:16)</f>
        <v>1025.3800000000001</v>
      </c>
      <c r="AV68" s="128">
        <f>SUMIF('702-798'!$1:$1,AV$3,'702-798'!16:16)</f>
        <v>11589.720000000001</v>
      </c>
      <c r="AW68" s="128">
        <f>SUMIF('702-798'!$1:$1,AW$3,'702-798'!16:16)</f>
        <v>7353.5</v>
      </c>
      <c r="AX68" s="128">
        <f>SUMIF('702-798'!$1:$1,AX$3,'702-798'!16:16)</f>
        <v>362.36999999999995</v>
      </c>
      <c r="AY68" s="128">
        <f>SUMIF('702-798'!$1:$1,AY$3,'702-798'!16:16)</f>
        <v>34402.380000000005</v>
      </c>
      <c r="AZ68" s="314">
        <f>SUMIF('702-798'!$1:$1,AZ$3,'702-798'!16:16)</f>
        <v>0</v>
      </c>
      <c r="BA68" s="128">
        <f>SUMIF('702-798'!$1:$1,BA$3,'702-798'!16:16)</f>
        <v>1809</v>
      </c>
      <c r="BB68" s="128">
        <f>SUMIF('702-798'!$1:$1,BB$3,'702-798'!16:16)</f>
        <v>0</v>
      </c>
      <c r="BC68" s="128">
        <f>SUMIF('702-798'!$1:$1,BC$3,'702-798'!16:16)</f>
        <v>0</v>
      </c>
      <c r="BD68" s="128">
        <f>SUMIF('702-798'!$1:$1,BD$3,'702-798'!16:16)</f>
        <v>1478.69</v>
      </c>
      <c r="BE68" s="128">
        <f>SUMIF('702-798'!$1:$1,BE$3,'702-798'!16:16)</f>
        <v>1638.81</v>
      </c>
      <c r="BF68" s="128">
        <f>SUMIF('702-798'!$1:$1,BF$3,'702-798'!16:16)</f>
        <v>0</v>
      </c>
      <c r="BG68" s="128">
        <f>SUMIF('702-798'!$1:$1,BG$3,'702-798'!16:16)</f>
        <v>1950</v>
      </c>
      <c r="BH68" s="128">
        <f>SUMIF('702-798'!$1:$1,BH$3,'702-798'!16:16)</f>
        <v>0</v>
      </c>
      <c r="BI68" s="128">
        <f>SUMIF('702-798'!$1:$1,BI$3,'702-798'!16:16)</f>
        <v>1981.7400000000002</v>
      </c>
      <c r="BJ68" s="128">
        <f>SUMIF('702-798'!$1:$1,BJ$3,'702-798'!16:16)</f>
        <v>1511.44</v>
      </c>
      <c r="BK68" s="128">
        <f>SUMIF('702-798'!$1:$1,BK$3,'702-798'!16:16)</f>
        <v>0</v>
      </c>
      <c r="BL68" s="128">
        <f>SUMIF('702-798'!$1:$1,BL$3,'702-798'!16:16)</f>
        <v>710</v>
      </c>
      <c r="BM68" s="128">
        <f>SUMIF('702-798'!$1:$1,BM$3,'702-798'!16:16)</f>
        <v>23552.91</v>
      </c>
      <c r="BN68" s="128">
        <f>SUMIF('702-798'!$1:$1,BN$3,'702-798'!16:16)</f>
        <v>5025</v>
      </c>
      <c r="BO68" s="128">
        <f>SUMIF('702-798'!$1:$1,BO$3,'702-798'!16:16)</f>
        <v>27877.069999999996</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-4438.75</v>
      </c>
      <c r="BV68" s="128">
        <f>SUMIF('702-798'!$1:$1,BV$3,'702-798'!16:16)</f>
        <v>0</v>
      </c>
      <c r="BW68" s="128">
        <f>SUMIF('702-798'!$1:$1,BW$3,'702-798'!16:16)</f>
        <v>0</v>
      </c>
      <c r="BX68" s="128">
        <f>SUMIF('702-798'!$1:$1,BX$3,'702-798'!16:16)</f>
        <v>0</v>
      </c>
      <c r="BY68" s="128">
        <f>SUMIF('702-798'!$1:$1,BY$3,'702-798'!16:16)</f>
        <v>0</v>
      </c>
      <c r="BZ68" s="128">
        <f>SUMIF('702-798'!$1:$1,BZ$3,'702-798'!16:16)</f>
        <v>0</v>
      </c>
      <c r="CA68" s="314">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7">
        <f t="shared" si="32"/>
        <v>-221653.73</v>
      </c>
      <c r="CJ68" s="122"/>
      <c r="CK68" s="169">
        <f>INDEX(SAP!C:C,MATCH('Actuals mapped to CFR'!A68,SAP!H:H,FALSE),1)</f>
        <v>-221653.73</v>
      </c>
      <c r="CL68" s="59">
        <f t="shared" si="15"/>
        <v>0</v>
      </c>
      <c r="CN68" s="81">
        <f t="shared" si="28"/>
        <v>417473.16</v>
      </c>
      <c r="CO68" s="81">
        <f t="shared" si="29"/>
        <v>416256.41</v>
      </c>
      <c r="CP68" s="166">
        <f>VLOOKUP(B68,'2526 GBP Data input'!$A$4:$CA$230,38,FALSE)</f>
        <v>393086</v>
      </c>
      <c r="CQ68" s="166">
        <f>VLOOKUP(B68,'2526 GBP Data input'!$A$4:$CA$230,73,FALSE)</f>
        <v>19971</v>
      </c>
      <c r="CR68" s="89">
        <f t="shared" si="25"/>
        <v>24387.159999999974</v>
      </c>
      <c r="CS68" s="83">
        <f t="shared" si="26"/>
        <v>20.843042912222721</v>
      </c>
      <c r="CT68" s="82">
        <f t="shared" si="30"/>
        <v>205085.74999999994</v>
      </c>
      <c r="CU68" s="82">
        <f t="shared" si="31"/>
        <v>8760.880000000001</v>
      </c>
      <c r="CV68" s="86">
        <f t="shared" si="27"/>
        <v>213846.62999999995</v>
      </c>
    </row>
    <row r="69" spans="1:108">
      <c r="A69" s="238">
        <v>107754</v>
      </c>
      <c r="B69" s="60">
        <v>754</v>
      </c>
      <c r="C69" s="60" t="s">
        <v>401</v>
      </c>
      <c r="D69" s="128">
        <f>SUMIF('702-798'!$1:$1,D$3,'702-798'!17:17)</f>
        <v>-20350.740000000002</v>
      </c>
      <c r="E69" s="128">
        <f>SUMIF('702-798'!$1:$1,E$3,'702-798'!17:17)</f>
        <v>-3217</v>
      </c>
      <c r="F69" s="128">
        <f>SUMIF('702-798'!$1:$1,F$3,'702-798'!17:17)</f>
        <v>0</v>
      </c>
      <c r="G69" s="128">
        <f>SUMIF('702-798'!$1:$1,G$3,'702-798'!17:17)</f>
        <v>0</v>
      </c>
      <c r="H69" s="128">
        <f>SUMIF('702-798'!$1:$1,H$3,'702-798'!17:17)</f>
        <v>0</v>
      </c>
      <c r="I69" s="128">
        <f>SUMIF('702-798'!$1:$1,I$3,'702-798'!17:17)</f>
        <v>0</v>
      </c>
      <c r="J69" s="128">
        <f>SUMIF('702-798'!$1:$1,J$3,'702-798'!17:17)</f>
        <v>0</v>
      </c>
      <c r="K69" s="128">
        <f>SUMIF('702-798'!$1:$1,K$3,'702-798'!17:17)</f>
        <v>-1400180.89</v>
      </c>
      <c r="L69" s="128">
        <f>SUMIF('702-798'!$1:$1,L$3,'702-798'!17:17)</f>
        <v>0</v>
      </c>
      <c r="M69" s="128">
        <f>SUMIF('702-798'!$1:$1,M$3,'702-798'!17:17)</f>
        <v>-94020</v>
      </c>
      <c r="N69" s="128">
        <f>SUMIF('702-798'!$1:$1,N$3,'702-798'!17:17)</f>
        <v>0</v>
      </c>
      <c r="O69" s="128">
        <f>SUMIF('702-798'!$1:$1,O$3,'702-798'!17:17)</f>
        <v>-69575</v>
      </c>
      <c r="P69" s="128">
        <f>SUMIF('702-798'!$1:$1,P$3,'702-798'!17:17)</f>
        <v>-17127</v>
      </c>
      <c r="Q69" s="128">
        <f>SUMIF('702-798'!$1:$1,Q$3,'702-798'!17:17)</f>
        <v>-350</v>
      </c>
      <c r="R69" s="128">
        <f>SUMIF('702-798'!$1:$1,R$3,'702-798'!17:17)</f>
        <v>0</v>
      </c>
      <c r="S69" s="128">
        <f>SUMIF('702-798'!$1:$1,S$3,'702-798'!17:17)</f>
        <v>-46605.68</v>
      </c>
      <c r="T69" s="128">
        <f>SUMIF('702-798'!$1:$1,T$3,'702-798'!17:17)</f>
        <v>20.100000000000001</v>
      </c>
      <c r="U69" s="128">
        <f>SUMIF('702-798'!$1:$1,U$3,'702-798'!17:17)</f>
        <v>0</v>
      </c>
      <c r="V69" s="128">
        <f>SUMIF('702-798'!$1:$1,V$3,'702-798'!17:17)</f>
        <v>0</v>
      </c>
      <c r="W69" s="128">
        <f>SUMIF('702-798'!$1:$1,W$3,'702-798'!17:17)</f>
        <v>-34583.51999999999</v>
      </c>
      <c r="X69" s="128">
        <f>SUMIF('702-798'!$1:$1,X$3,'702-798'!17:17)</f>
        <v>-3557.58</v>
      </c>
      <c r="Y69" s="164">
        <f>SUMIF('702-798'!$1:$1,Y$3,'702-798'!17:17)</f>
        <v>0</v>
      </c>
      <c r="Z69" s="128">
        <f>SUMIF('702-798'!$1:$1,Z$3,'702-798'!17:17)</f>
        <v>0</v>
      </c>
      <c r="AA69" s="128">
        <f>SUMIF('702-798'!$1:$1,AA$3,'702-798'!17:17)</f>
        <v>0</v>
      </c>
      <c r="AB69" s="128">
        <f>SUMIF('702-798'!$1:$1,AB$3,'702-798'!17:17)</f>
        <v>0</v>
      </c>
      <c r="AC69" s="314">
        <f>SUMIF('702-798'!$1:$1,AC$3,'702-798'!17:17)</f>
        <v>0</v>
      </c>
      <c r="AD69" s="314">
        <f>SUMIF('702-798'!$1:$1,AD$3,'702-798'!17:17)</f>
        <v>0</v>
      </c>
      <c r="AE69" s="314">
        <f>SUMIF('702-798'!$1:$1,AE$3,'702-798'!17:17)</f>
        <v>0</v>
      </c>
      <c r="AF69" s="314">
        <f>SUMIF('702-798'!$1:$1,AF$3,'702-798'!17:17)</f>
        <v>0</v>
      </c>
      <c r="AG69" s="128">
        <f>SUMIF('702-798'!$1:$1,AG$3,'702-798'!17:17)</f>
        <v>903083.05999999982</v>
      </c>
      <c r="AH69" s="128">
        <f>SUMIF('702-798'!$1:$1,AH$3,'702-798'!17:17)</f>
        <v>33727.17</v>
      </c>
      <c r="AI69" s="128">
        <f>SUMIF('702-798'!$1:$1,AI$3,'702-798'!17:17)</f>
        <v>290880.12000000005</v>
      </c>
      <c r="AJ69" s="128">
        <f>SUMIF('702-798'!$1:$1,AJ$3,'702-798'!17:17)</f>
        <v>10950.31</v>
      </c>
      <c r="AK69" s="128">
        <f>SUMIF('702-798'!$1:$1,AK$3,'702-798'!17:17)</f>
        <v>74869.42</v>
      </c>
      <c r="AL69" s="128">
        <f>SUMIF('702-798'!$1:$1,AL$3,'702-798'!17:17)</f>
        <v>0</v>
      </c>
      <c r="AM69" s="128">
        <f>SUMIF('702-798'!$1:$1,AM$3,'702-798'!17:17)</f>
        <v>76156.140000000029</v>
      </c>
      <c r="AN69" s="128">
        <f>SUMIF('702-798'!$1:$1,AN$3,'702-798'!17:17)</f>
        <v>1161.23</v>
      </c>
      <c r="AO69" s="128">
        <f>SUMIF('702-798'!$1:$1,AO$3,'702-798'!17:17)</f>
        <v>4084</v>
      </c>
      <c r="AP69" s="128">
        <f>SUMIF('702-798'!$1:$1,AP$3,'702-798'!17:17)</f>
        <v>808.25</v>
      </c>
      <c r="AQ69" s="128">
        <f>SUMIF('702-798'!$1:$1,AQ$3,'702-798'!17:17)</f>
        <v>0</v>
      </c>
      <c r="AR69" s="128">
        <f>SUMIF('702-798'!$1:$1,AR$3,'702-798'!17:17)</f>
        <v>19899.950000000004</v>
      </c>
      <c r="AS69" s="128">
        <f>SUMIF('702-798'!$1:$1,AS$3,'702-798'!17:17)</f>
        <v>4740.9799999999987</v>
      </c>
      <c r="AT69" s="128">
        <f>SUMIF('702-798'!$1:$1,AT$3,'702-798'!17:17)</f>
        <v>13888.319999999998</v>
      </c>
      <c r="AU69" s="128">
        <f>SUMIF('702-798'!$1:$1,AU$3,'702-798'!17:17)</f>
        <v>962.7600000000001</v>
      </c>
      <c r="AV69" s="128">
        <f>SUMIF('702-798'!$1:$1,AV$3,'702-798'!17:17)</f>
        <v>14792.949999999999</v>
      </c>
      <c r="AW69" s="128">
        <f>SUMIF('702-798'!$1:$1,AW$3,'702-798'!17:17)</f>
        <v>5039.8999999999996</v>
      </c>
      <c r="AX69" s="128">
        <f>SUMIF('702-798'!$1:$1,AX$3,'702-798'!17:17)</f>
        <v>3337.97</v>
      </c>
      <c r="AY69" s="128">
        <f>SUMIF('702-798'!$1:$1,AY$3,'702-798'!17:17)</f>
        <v>65728.550000000017</v>
      </c>
      <c r="AZ69" s="314">
        <f>SUMIF('702-798'!$1:$1,AZ$3,'702-798'!17:17)</f>
        <v>0</v>
      </c>
      <c r="BA69" s="128">
        <f>SUMIF('702-798'!$1:$1,BA$3,'702-798'!17:17)</f>
        <v>2132</v>
      </c>
      <c r="BB69" s="128">
        <f>SUMIF('702-798'!$1:$1,BB$3,'702-798'!17:17)</f>
        <v>0</v>
      </c>
      <c r="BC69" s="128">
        <f>SUMIF('702-798'!$1:$1,BC$3,'702-798'!17:17)</f>
        <v>3714.6299999999997</v>
      </c>
      <c r="BD69" s="128">
        <f>SUMIF('702-798'!$1:$1,BD$3,'702-798'!17:17)</f>
        <v>8554.98</v>
      </c>
      <c r="BE69" s="128">
        <f>SUMIF('702-798'!$1:$1,BE$3,'702-798'!17:17)</f>
        <v>0</v>
      </c>
      <c r="BF69" s="128">
        <f>SUMIF('702-798'!$1:$1,BF$3,'702-798'!17:17)</f>
        <v>0</v>
      </c>
      <c r="BG69" s="128">
        <f>SUMIF('702-798'!$1:$1,BG$3,'702-798'!17:17)</f>
        <v>2797.5</v>
      </c>
      <c r="BH69" s="128">
        <f>SUMIF('702-798'!$1:$1,BH$3,'702-798'!17:17)</f>
        <v>0</v>
      </c>
      <c r="BI69" s="128">
        <f>SUMIF('702-798'!$1:$1,BI$3,'702-798'!17:17)</f>
        <v>3761.91</v>
      </c>
      <c r="BJ69" s="128">
        <f>SUMIF('702-798'!$1:$1,BJ$3,'702-798'!17:17)</f>
        <v>14304.7</v>
      </c>
      <c r="BK69" s="128">
        <f>SUMIF('702-798'!$1:$1,BK$3,'702-798'!17:17)</f>
        <v>0</v>
      </c>
      <c r="BL69" s="128">
        <f>SUMIF('702-798'!$1:$1,BL$3,'702-798'!17:17)</f>
        <v>26156.25</v>
      </c>
      <c r="BM69" s="128">
        <f>SUMIF('702-798'!$1:$1,BM$3,'702-798'!17:17)</f>
        <v>11104</v>
      </c>
      <c r="BN69" s="128">
        <f>SUMIF('702-798'!$1:$1,BN$3,'702-798'!17:17)</f>
        <v>18913</v>
      </c>
      <c r="BO69" s="128">
        <f>SUMIF('702-798'!$1:$1,BO$3,'702-798'!17:17)</f>
        <v>15481.380000000003</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4">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7">
        <f t="shared" si="32"/>
        <v>-58515.879999999874</v>
      </c>
      <c r="CJ69" s="122"/>
      <c r="CK69" s="169">
        <f>INDEX(SAP!C:C,MATCH('Actuals mapped to CFR'!A69,SAP!H:H,FALSE),1)</f>
        <v>-58515.88</v>
      </c>
      <c r="CL69" s="59">
        <f t="shared" si="15"/>
        <v>0</v>
      </c>
      <c r="CN69" s="81">
        <f t="shared" si="28"/>
        <v>1665979.5699999998</v>
      </c>
      <c r="CO69" s="81">
        <f t="shared" si="29"/>
        <v>1631031.4299999995</v>
      </c>
      <c r="CP69" s="166">
        <f>VLOOKUP(B69,'2526 GBP Data input'!$A$4:$CA$230,38,FALSE)</f>
        <v>1589464</v>
      </c>
      <c r="CQ69" s="166">
        <f>VLOOKUP(B69,'2526 GBP Data input'!$A$4:$CA$230,73,FALSE)</f>
        <v>13505</v>
      </c>
      <c r="CR69" s="89">
        <f t="shared" si="25"/>
        <v>76515.569999999832</v>
      </c>
      <c r="CS69" s="83">
        <f t="shared" si="26"/>
        <v>120.77241243983705</v>
      </c>
      <c r="CT69" s="82">
        <f t="shared" si="30"/>
        <v>55298.880000000354</v>
      </c>
      <c r="CU69" s="82">
        <f t="shared" si="31"/>
        <v>0</v>
      </c>
      <c r="CV69" s="86">
        <f t="shared" si="27"/>
        <v>55298.880000000354</v>
      </c>
    </row>
    <row r="70" spans="1:108">
      <c r="A70" s="238">
        <v>107759</v>
      </c>
      <c r="B70" s="60">
        <v>759</v>
      </c>
      <c r="C70" s="60" t="s">
        <v>270</v>
      </c>
      <c r="D70" s="128">
        <f>SUMIF('702-798'!$1:$1,D$3,'702-798'!18:18)</f>
        <v>0</v>
      </c>
      <c r="E70" s="128">
        <f>SUMIF('702-798'!$1:$1,E$3,'702-798'!18:18)</f>
        <v>-5422</v>
      </c>
      <c r="F70" s="128">
        <f>SUMIF('702-798'!$1:$1,F$3,'702-798'!18:18)</f>
        <v>22128.49</v>
      </c>
      <c r="G70" s="128">
        <f>SUMIF('702-798'!$1:$1,G$3,'702-798'!18:18)</f>
        <v>-4639.5200000000004</v>
      </c>
      <c r="H70" s="128">
        <f>SUMIF('702-798'!$1:$1,H$3,'702-798'!18:18)</f>
        <v>0</v>
      </c>
      <c r="I70" s="128">
        <f>SUMIF('702-798'!$1:$1,I$3,'702-798'!18:18)</f>
        <v>0</v>
      </c>
      <c r="J70" s="128">
        <f>SUMIF('702-798'!$1:$1,J$3,'702-798'!18:18)</f>
        <v>0</v>
      </c>
      <c r="K70" s="128">
        <f>SUMIF('702-798'!$1:$1,K$3,'702-798'!18:18)</f>
        <v>-547534.21</v>
      </c>
      <c r="L70" s="128">
        <f>SUMIF('702-798'!$1:$1,L$3,'702-798'!18:18)</f>
        <v>0</v>
      </c>
      <c r="M70" s="128">
        <f>SUMIF('702-798'!$1:$1,M$3,'702-798'!18:18)</f>
        <v>-46058</v>
      </c>
      <c r="N70" s="128">
        <f>SUMIF('702-798'!$1:$1,N$3,'702-798'!18:18)</f>
        <v>0</v>
      </c>
      <c r="O70" s="128">
        <f>SUMIF('702-798'!$1:$1,O$3,'702-798'!18:18)</f>
        <v>-16265</v>
      </c>
      <c r="P70" s="128">
        <f>SUMIF('702-798'!$1:$1,P$3,'702-798'!18:18)</f>
        <v>-31334</v>
      </c>
      <c r="Q70" s="128">
        <f>SUMIF('702-798'!$1:$1,Q$3,'702-798'!18:18)</f>
        <v>0</v>
      </c>
      <c r="R70" s="128">
        <f>SUMIF('702-798'!$1:$1,R$3,'702-798'!18:18)</f>
        <v>0</v>
      </c>
      <c r="S70" s="128">
        <f>SUMIF('702-798'!$1:$1,S$3,'702-798'!18:18)</f>
        <v>-25449.33</v>
      </c>
      <c r="T70" s="128">
        <f>SUMIF('702-798'!$1:$1,T$3,'702-798'!18:18)</f>
        <v>-8425.84</v>
      </c>
      <c r="U70" s="128">
        <f>SUMIF('702-798'!$1:$1,U$3,'702-798'!18:18)</f>
        <v>0</v>
      </c>
      <c r="V70" s="128">
        <f>SUMIF('702-798'!$1:$1,V$3,'702-798'!18:18)</f>
        <v>0</v>
      </c>
      <c r="W70" s="128">
        <f>SUMIF('702-798'!$1:$1,W$3,'702-798'!18:18)</f>
        <v>-6084.2599999999984</v>
      </c>
      <c r="X70" s="128">
        <f>SUMIF('702-798'!$1:$1,X$3,'702-798'!18:18)</f>
        <v>-4345.0800000000017</v>
      </c>
      <c r="Y70" s="164">
        <f>SUMIF('702-798'!$1:$1,Y$3,'702-798'!18:18)</f>
        <v>0</v>
      </c>
      <c r="Z70" s="128">
        <f>SUMIF('702-798'!$1:$1,Z$3,'702-798'!18:18)</f>
        <v>0</v>
      </c>
      <c r="AA70" s="128">
        <f>SUMIF('702-798'!$1:$1,AA$3,'702-798'!18:18)</f>
        <v>0</v>
      </c>
      <c r="AB70" s="128">
        <f>SUMIF('702-798'!$1:$1,AB$3,'702-798'!18:18)</f>
        <v>0</v>
      </c>
      <c r="AC70" s="314">
        <f>SUMIF('702-798'!$1:$1,AC$3,'702-798'!18:18)</f>
        <v>0</v>
      </c>
      <c r="AD70" s="314">
        <f>SUMIF('702-798'!$1:$1,AD$3,'702-798'!18:18)</f>
        <v>0</v>
      </c>
      <c r="AE70" s="314">
        <f>SUMIF('702-798'!$1:$1,AE$3,'702-798'!18:18)</f>
        <v>0</v>
      </c>
      <c r="AF70" s="314">
        <f>SUMIF('702-798'!$1:$1,AF$3,'702-798'!18:18)</f>
        <v>0</v>
      </c>
      <c r="AG70" s="128">
        <f>SUMIF('702-798'!$1:$1,AG$3,'702-798'!18:18)</f>
        <v>349449.98000000004</v>
      </c>
      <c r="AH70" s="128">
        <f>SUMIF('702-798'!$1:$1,AH$3,'702-798'!18:18)</f>
        <v>2846.3500000000004</v>
      </c>
      <c r="AI70" s="128">
        <f>SUMIF('702-798'!$1:$1,AI$3,'702-798'!18:18)</f>
        <v>142036.22</v>
      </c>
      <c r="AJ70" s="128">
        <f>SUMIF('702-798'!$1:$1,AJ$3,'702-798'!18:18)</f>
        <v>391.99</v>
      </c>
      <c r="AK70" s="128">
        <f>SUMIF('702-798'!$1:$1,AK$3,'702-798'!18:18)</f>
        <v>50448.28</v>
      </c>
      <c r="AL70" s="128">
        <f>SUMIF('702-798'!$1:$1,AL$3,'702-798'!18:18)</f>
        <v>16297.08</v>
      </c>
      <c r="AM70" s="128">
        <f>SUMIF('702-798'!$1:$1,AM$3,'702-798'!18:18)</f>
        <v>33815.42</v>
      </c>
      <c r="AN70" s="128">
        <f>SUMIF('702-798'!$1:$1,AN$3,'702-798'!18:18)</f>
        <v>2109</v>
      </c>
      <c r="AO70" s="128">
        <f>SUMIF('702-798'!$1:$1,AO$3,'702-798'!18:18)</f>
        <v>3433.95</v>
      </c>
      <c r="AP70" s="128">
        <f>SUMIF('702-798'!$1:$1,AP$3,'702-798'!18:18)</f>
        <v>262.3</v>
      </c>
      <c r="AQ70" s="128">
        <f>SUMIF('702-798'!$1:$1,AQ$3,'702-798'!18:18)</f>
        <v>3799.23</v>
      </c>
      <c r="AR70" s="128">
        <f>SUMIF('702-798'!$1:$1,AR$3,'702-798'!18:18)</f>
        <v>16308.939999999997</v>
      </c>
      <c r="AS70" s="128">
        <f>SUMIF('702-798'!$1:$1,AS$3,'702-798'!18:18)</f>
        <v>0</v>
      </c>
      <c r="AT70" s="128">
        <f>SUMIF('702-798'!$1:$1,AT$3,'702-798'!18:18)</f>
        <v>14273.079999999998</v>
      </c>
      <c r="AU70" s="128">
        <f>SUMIF('702-798'!$1:$1,AU$3,'702-798'!18:18)</f>
        <v>2467.1699999999996</v>
      </c>
      <c r="AV70" s="128">
        <f>SUMIF('702-798'!$1:$1,AV$3,'702-798'!18:18)</f>
        <v>9609.880000000001</v>
      </c>
      <c r="AW70" s="128">
        <f>SUMIF('702-798'!$1:$1,AW$3,'702-798'!18:18)</f>
        <v>5613.75</v>
      </c>
      <c r="AX70" s="128">
        <f>SUMIF('702-798'!$1:$1,AX$3,'702-798'!18:18)</f>
        <v>3343.1800000000003</v>
      </c>
      <c r="AY70" s="128">
        <f>SUMIF('702-798'!$1:$1,AY$3,'702-798'!18:18)</f>
        <v>34435.64</v>
      </c>
      <c r="AZ70" s="314">
        <f>SUMIF('702-798'!$1:$1,AZ$3,'702-798'!18:18)</f>
        <v>198</v>
      </c>
      <c r="BA70" s="128">
        <f>SUMIF('702-798'!$1:$1,BA$3,'702-798'!18:18)</f>
        <v>0</v>
      </c>
      <c r="BB70" s="128">
        <f>SUMIF('702-798'!$1:$1,BB$3,'702-798'!18:18)</f>
        <v>0</v>
      </c>
      <c r="BC70" s="128">
        <f>SUMIF('702-798'!$1:$1,BC$3,'702-798'!18:18)</f>
        <v>0</v>
      </c>
      <c r="BD70" s="128">
        <f>SUMIF('702-798'!$1:$1,BD$3,'702-798'!18:18)</f>
        <v>7465.7699999999995</v>
      </c>
      <c r="BE70" s="128">
        <f>SUMIF('702-798'!$1:$1,BE$3,'702-798'!18:18)</f>
        <v>0</v>
      </c>
      <c r="BF70" s="128">
        <f>SUMIF('702-798'!$1:$1,BF$3,'702-798'!18:18)</f>
        <v>0</v>
      </c>
      <c r="BG70" s="128">
        <f>SUMIF('702-798'!$1:$1,BG$3,'702-798'!18:18)</f>
        <v>3403</v>
      </c>
      <c r="BH70" s="128">
        <f>SUMIF('702-798'!$1:$1,BH$3,'702-798'!18:18)</f>
        <v>0</v>
      </c>
      <c r="BI70" s="128">
        <f>SUMIF('702-798'!$1:$1,BI$3,'702-798'!18:18)</f>
        <v>792</v>
      </c>
      <c r="BJ70" s="128">
        <f>SUMIF('702-798'!$1:$1,BJ$3,'702-798'!18:18)</f>
        <v>4642.28</v>
      </c>
      <c r="BK70" s="128">
        <f>SUMIF('702-798'!$1:$1,BK$3,'702-798'!18:18)</f>
        <v>0</v>
      </c>
      <c r="BL70" s="128">
        <f>SUMIF('702-798'!$1:$1,BL$3,'702-798'!18:18)</f>
        <v>14488.579999999996</v>
      </c>
      <c r="BM70" s="128">
        <f>SUMIF('702-798'!$1:$1,BM$3,'702-798'!18:18)</f>
        <v>5859</v>
      </c>
      <c r="BN70" s="128">
        <f>SUMIF('702-798'!$1:$1,BN$3,'702-798'!18:18)</f>
        <v>12075.87</v>
      </c>
      <c r="BO70" s="128">
        <f>SUMIF('702-798'!$1:$1,BO$3,'702-798'!18:18)</f>
        <v>14573.649999999998</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-4922.5</v>
      </c>
      <c r="BV70" s="128">
        <f>SUMIF('702-798'!$1:$1,BV$3,'702-798'!18:18)</f>
        <v>0</v>
      </c>
      <c r="BW70" s="128">
        <f>SUMIF('702-798'!$1:$1,BW$3,'702-798'!18:18)</f>
        <v>0</v>
      </c>
      <c r="BX70" s="128">
        <f>SUMIF('702-798'!$1:$1,BX$3,'702-798'!18:18)</f>
        <v>0</v>
      </c>
      <c r="BY70" s="128">
        <f>SUMIF('702-798'!$1:$1,BY$3,'702-798'!18:18)</f>
        <v>0</v>
      </c>
      <c r="BZ70" s="128">
        <f>SUMIF('702-798'!$1:$1,BZ$3,'702-798'!18:18)</f>
        <v>0</v>
      </c>
      <c r="CA70" s="314">
        <f>SUMIF('702-798'!$1:$1,CA$3,'702-798'!18:18)</f>
        <v>0</v>
      </c>
      <c r="CB70" s="128">
        <f>SUMIF('702-798'!$1:$1,CB$3,'702-798'!18:18)</f>
        <v>0</v>
      </c>
      <c r="CC70" s="128">
        <f>SUMIF('702-798'!$1:$1,CC$3,'702-798'!18:18)</f>
        <v>0</v>
      </c>
      <c r="CD70" s="128">
        <f>SUMIF('702-798'!$1:$1,CD$3,'702-798'!18:18)</f>
        <v>0</v>
      </c>
      <c r="CE70" s="128">
        <f>SUMIF('702-798'!$1:$1,CE$3,'702-798'!18:18)</f>
        <v>592.48</v>
      </c>
      <c r="CF70" s="128">
        <f>SUMIF('702-798'!$1:$1,CF$3,'702-798'!18:18)</f>
        <v>0</v>
      </c>
      <c r="CG70" s="257">
        <f t="shared" si="32"/>
        <v>76680.820000000094</v>
      </c>
      <c r="CJ70" s="122"/>
      <c r="CK70" s="169">
        <f>INDEX(SAP!C:C,MATCH('Actuals mapped to CFR'!A70,SAP!H:H,FALSE),1)</f>
        <v>76680.820000000007</v>
      </c>
      <c r="CL70" s="59">
        <f t="shared" si="15"/>
        <v>0</v>
      </c>
      <c r="CN70" s="81">
        <f t="shared" si="28"/>
        <v>685495.71999999986</v>
      </c>
      <c r="CO70" s="81">
        <f t="shared" si="29"/>
        <v>754439.59000000008</v>
      </c>
      <c r="CP70" s="166">
        <f>VLOOKUP(B70,'2526 GBP Data input'!$A$4:$CA$230,38,FALSE)</f>
        <v>696709</v>
      </c>
      <c r="CQ70" s="166">
        <f>VLOOKUP(B70,'2526 GBP Data input'!$A$4:$CA$230,73,FALSE)</f>
        <v>7811</v>
      </c>
      <c r="CR70" s="89">
        <f t="shared" si="25"/>
        <v>-11213.280000000144</v>
      </c>
      <c r="CS70" s="83">
        <f t="shared" si="26"/>
        <v>96.586812187940097</v>
      </c>
      <c r="CT70" s="82">
        <f t="shared" si="30"/>
        <v>-91072.360000000219</v>
      </c>
      <c r="CU70" s="82">
        <f t="shared" si="31"/>
        <v>9562.02</v>
      </c>
      <c r="CV70" s="86">
        <f t="shared" si="27"/>
        <v>-81510.340000000215</v>
      </c>
    </row>
    <row r="71" spans="1:108">
      <c r="A71" s="238">
        <v>107763</v>
      </c>
      <c r="B71" s="60">
        <v>763</v>
      </c>
      <c r="C71" s="60" t="s">
        <v>261</v>
      </c>
      <c r="D71" s="128">
        <f>SUMIF('702-798'!$1:$1,D$3,'702-798'!19:19)</f>
        <v>-45300.87</v>
      </c>
      <c r="E71" s="128">
        <f>SUMIF('702-798'!$1:$1,E$3,'702-798'!19:19)</f>
        <v>2556</v>
      </c>
      <c r="F71" s="128">
        <f>SUMIF('702-798'!$1:$1,F$3,'702-798'!19:19)</f>
        <v>0</v>
      </c>
      <c r="G71" s="128">
        <f>SUMIF('702-798'!$1:$1,G$3,'702-798'!19:19)</f>
        <v>-7420.77</v>
      </c>
      <c r="H71" s="128">
        <f>SUMIF('702-798'!$1:$1,H$3,'702-798'!19:19)</f>
        <v>0</v>
      </c>
      <c r="I71" s="128">
        <f>SUMIF('702-798'!$1:$1,I$3,'702-798'!19:19)</f>
        <v>0</v>
      </c>
      <c r="J71" s="128">
        <f>SUMIF('702-798'!$1:$1,J$3,'702-798'!19:19)</f>
        <v>0</v>
      </c>
      <c r="K71" s="128">
        <f>SUMIF('702-798'!$1:$1,K$3,'702-798'!19:19)</f>
        <v>-941629.48</v>
      </c>
      <c r="L71" s="128">
        <f>SUMIF('702-798'!$1:$1,L$3,'702-798'!19:19)</f>
        <v>0</v>
      </c>
      <c r="M71" s="128">
        <f>SUMIF('702-798'!$1:$1,M$3,'702-798'!19:19)</f>
        <v>-76873</v>
      </c>
      <c r="N71" s="128">
        <f>SUMIF('702-798'!$1:$1,N$3,'702-798'!19:19)</f>
        <v>-4500</v>
      </c>
      <c r="O71" s="128">
        <f>SUMIF('702-798'!$1:$1,O$3,'702-798'!19:19)</f>
        <v>-26005</v>
      </c>
      <c r="P71" s="128">
        <f>SUMIF('702-798'!$1:$1,P$3,'702-798'!19:19)</f>
        <v>-42973.93</v>
      </c>
      <c r="Q71" s="128">
        <f>SUMIF('702-798'!$1:$1,Q$3,'702-798'!19:19)</f>
        <v>-3500</v>
      </c>
      <c r="R71" s="128">
        <f>SUMIF('702-798'!$1:$1,R$3,'702-798'!19:19)</f>
        <v>0</v>
      </c>
      <c r="S71" s="128">
        <f>SUMIF('702-798'!$1:$1,S$3,'702-798'!19:19)</f>
        <v>-19706.910000000003</v>
      </c>
      <c r="T71" s="128">
        <f>SUMIF('702-798'!$1:$1,T$3,'702-798'!19:19)</f>
        <v>-3565.2900000000004</v>
      </c>
      <c r="U71" s="128">
        <f>SUMIF('702-798'!$1:$1,U$3,'702-798'!19:19)</f>
        <v>0</v>
      </c>
      <c r="V71" s="128">
        <f>SUMIF('702-798'!$1:$1,V$3,'702-798'!19:19)</f>
        <v>0</v>
      </c>
      <c r="W71" s="128">
        <f>SUMIF('702-798'!$1:$1,W$3,'702-798'!19:19)</f>
        <v>-17741.599999999999</v>
      </c>
      <c r="X71" s="128">
        <f>SUMIF('702-798'!$1:$1,X$3,'702-798'!19:19)</f>
        <v>-35711.420000000006</v>
      </c>
      <c r="Y71" s="164">
        <f>SUMIF('702-798'!$1:$1,Y$3,'702-798'!19:19)</f>
        <v>0</v>
      </c>
      <c r="Z71" s="128">
        <f>SUMIF('702-798'!$1:$1,Z$3,'702-798'!19:19)</f>
        <v>0</v>
      </c>
      <c r="AA71" s="128">
        <f>SUMIF('702-798'!$1:$1,AA$3,'702-798'!19:19)</f>
        <v>0</v>
      </c>
      <c r="AB71" s="128">
        <f>SUMIF('702-798'!$1:$1,AB$3,'702-798'!19:19)</f>
        <v>0</v>
      </c>
      <c r="AC71" s="314">
        <f>SUMIF('702-798'!$1:$1,AC$3,'702-798'!19:19)</f>
        <v>0</v>
      </c>
      <c r="AD71" s="314">
        <f>SUMIF('702-798'!$1:$1,AD$3,'702-798'!19:19)</f>
        <v>0</v>
      </c>
      <c r="AE71" s="314">
        <f>SUMIF('702-798'!$1:$1,AE$3,'702-798'!19:19)</f>
        <v>0</v>
      </c>
      <c r="AF71" s="314">
        <f>SUMIF('702-798'!$1:$1,AF$3,'702-798'!19:19)</f>
        <v>0</v>
      </c>
      <c r="AG71" s="128">
        <f>SUMIF('702-798'!$1:$1,AG$3,'702-798'!19:19)</f>
        <v>638136.83000000007</v>
      </c>
      <c r="AH71" s="128">
        <f>SUMIF('702-798'!$1:$1,AH$3,'702-798'!19:19)</f>
        <v>26238.06</v>
      </c>
      <c r="AI71" s="128">
        <f>SUMIF('702-798'!$1:$1,AI$3,'702-798'!19:19)</f>
        <v>185975.93000000002</v>
      </c>
      <c r="AJ71" s="128">
        <f>SUMIF('702-798'!$1:$1,AJ$3,'702-798'!19:19)</f>
        <v>24113.439999999999</v>
      </c>
      <c r="AK71" s="128">
        <f>SUMIF('702-798'!$1:$1,AK$3,'702-798'!19:19)</f>
        <v>77027.509999999995</v>
      </c>
      <c r="AL71" s="128">
        <f>SUMIF('702-798'!$1:$1,AL$3,'702-798'!19:19)</f>
        <v>0</v>
      </c>
      <c r="AM71" s="128">
        <f>SUMIF('702-798'!$1:$1,AM$3,'702-798'!19:19)</f>
        <v>32815.21</v>
      </c>
      <c r="AN71" s="128">
        <f>SUMIF('702-798'!$1:$1,AN$3,'702-798'!19:19)</f>
        <v>3806.67</v>
      </c>
      <c r="AO71" s="128">
        <f>SUMIF('702-798'!$1:$1,AO$3,'702-798'!19:19)</f>
        <v>7284.15</v>
      </c>
      <c r="AP71" s="128">
        <f>SUMIF('702-798'!$1:$1,AP$3,'702-798'!19:19)</f>
        <v>3649.49</v>
      </c>
      <c r="AQ71" s="128">
        <f>SUMIF('702-798'!$1:$1,AQ$3,'702-798'!19:19)</f>
        <v>510</v>
      </c>
      <c r="AR71" s="128">
        <f>SUMIF('702-798'!$1:$1,AR$3,'702-798'!19:19)</f>
        <v>12451.94</v>
      </c>
      <c r="AS71" s="128">
        <f>SUMIF('702-798'!$1:$1,AS$3,'702-798'!19:19)</f>
        <v>18338.759999999998</v>
      </c>
      <c r="AT71" s="128">
        <f>SUMIF('702-798'!$1:$1,AT$3,'702-798'!19:19)</f>
        <v>2526.5000000000005</v>
      </c>
      <c r="AU71" s="128">
        <f>SUMIF('702-798'!$1:$1,AU$3,'702-798'!19:19)</f>
        <v>3686.12</v>
      </c>
      <c r="AV71" s="128">
        <f>SUMIF('702-798'!$1:$1,AV$3,'702-798'!19:19)</f>
        <v>19362.310000000001</v>
      </c>
      <c r="AW71" s="128">
        <f>SUMIF('702-798'!$1:$1,AW$3,'702-798'!19:19)</f>
        <v>11352.25</v>
      </c>
      <c r="AX71" s="128">
        <f>SUMIF('702-798'!$1:$1,AX$3,'702-798'!19:19)</f>
        <v>10236.89</v>
      </c>
      <c r="AY71" s="128">
        <f>SUMIF('702-798'!$1:$1,AY$3,'702-798'!19:19)</f>
        <v>40509.710000000006</v>
      </c>
      <c r="AZ71" s="314">
        <f>SUMIF('702-798'!$1:$1,AZ$3,'702-798'!19:19)</f>
        <v>0</v>
      </c>
      <c r="BA71" s="128">
        <f>SUMIF('702-798'!$1:$1,BA$3,'702-798'!19:19)</f>
        <v>1614.36</v>
      </c>
      <c r="BB71" s="128">
        <f>SUMIF('702-798'!$1:$1,BB$3,'702-798'!19:19)</f>
        <v>0</v>
      </c>
      <c r="BC71" s="128">
        <f>SUMIF('702-798'!$1:$1,BC$3,'702-798'!19:19)</f>
        <v>10644.57</v>
      </c>
      <c r="BD71" s="128">
        <f>SUMIF('702-798'!$1:$1,BD$3,'702-798'!19:19)</f>
        <v>12292.07</v>
      </c>
      <c r="BE71" s="128">
        <f>SUMIF('702-798'!$1:$1,BE$3,'702-798'!19:19)</f>
        <v>13140</v>
      </c>
      <c r="BF71" s="128">
        <f>SUMIF('702-798'!$1:$1,BF$3,'702-798'!19:19)</f>
        <v>1135.01</v>
      </c>
      <c r="BG71" s="128">
        <f>SUMIF('702-798'!$1:$1,BG$3,'702-798'!19:19)</f>
        <v>5693.75</v>
      </c>
      <c r="BH71" s="128">
        <f>SUMIF('702-798'!$1:$1,BH$3,'702-798'!19:19)</f>
        <v>0</v>
      </c>
      <c r="BI71" s="128">
        <f>SUMIF('702-798'!$1:$1,BI$3,'702-798'!19:19)</f>
        <v>7189.2</v>
      </c>
      <c r="BJ71" s="128">
        <f>SUMIF('702-798'!$1:$1,BJ$3,'702-798'!19:19)</f>
        <v>9716.4</v>
      </c>
      <c r="BK71" s="128">
        <f>SUMIF('702-798'!$1:$1,BK$3,'702-798'!19:19)</f>
        <v>0</v>
      </c>
      <c r="BL71" s="128">
        <f>SUMIF('702-798'!$1:$1,BL$3,'702-798'!19:19)</f>
        <v>33594.800000000003</v>
      </c>
      <c r="BM71" s="128">
        <f>SUMIF('702-798'!$1:$1,BM$3,'702-798'!19:19)</f>
        <v>8468.25</v>
      </c>
      <c r="BN71" s="128">
        <f>SUMIF('702-798'!$1:$1,BN$3,'702-798'!19:19)</f>
        <v>51276.509999999995</v>
      </c>
      <c r="BO71" s="128">
        <f>SUMIF('702-798'!$1:$1,BO$3,'702-798'!19:19)</f>
        <v>14483.260000000006</v>
      </c>
      <c r="BP71" s="128">
        <f>SUMIF('702-798'!$1:$1,BP$3,'702-798'!19:19)</f>
        <v>0</v>
      </c>
      <c r="BQ71" s="128">
        <f>SUMIF('702-798'!$1:$1,BQ$3,'702-798'!19:19)</f>
        <v>0</v>
      </c>
      <c r="BR71" s="128">
        <f>SUMIF('702-798'!$1:$1,BR$3,'702-798'!19:19)</f>
        <v>0</v>
      </c>
      <c r="BS71" s="128">
        <f>SUMIF('702-798'!$1:$1,BS$3,'702-798'!19:19)</f>
        <v>0</v>
      </c>
      <c r="BT71" s="128">
        <f>SUMIF('702-798'!$1:$1,BT$3,'702-798'!19:19)</f>
        <v>0</v>
      </c>
      <c r="BU71" s="128">
        <f>SUMIF('702-798'!$1:$1,BU$3,'702-798'!19:19)</f>
        <v>-6250</v>
      </c>
      <c r="BV71" s="128">
        <f>SUMIF('702-798'!$1:$1,BV$3,'702-798'!19:19)</f>
        <v>0</v>
      </c>
      <c r="BW71" s="128">
        <f>SUMIF('702-798'!$1:$1,BW$3,'702-798'!19:19)</f>
        <v>0</v>
      </c>
      <c r="BX71" s="128">
        <f>SUMIF('702-798'!$1:$1,BX$3,'702-798'!19:19)</f>
        <v>0</v>
      </c>
      <c r="BY71" s="128">
        <f>SUMIF('702-798'!$1:$1,BY$3,'702-798'!19:19)</f>
        <v>13150.029999999999</v>
      </c>
      <c r="BZ71" s="128">
        <f>SUMIF('702-798'!$1:$1,BZ$3,'702-798'!19:19)</f>
        <v>0</v>
      </c>
      <c r="CA71" s="314">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7">
        <f t="shared" si="32"/>
        <v>71797.710000000181</v>
      </c>
      <c r="CJ71" s="122"/>
      <c r="CK71" s="169">
        <f>INDEX(SAP!C:C,MATCH('Actuals mapped to CFR'!A71,SAP!H:H,FALSE),1)</f>
        <v>71797.710000000006</v>
      </c>
      <c r="CL71" s="59">
        <f t="shared" si="15"/>
        <v>0</v>
      </c>
      <c r="CN71" s="81">
        <f t="shared" si="28"/>
        <v>1172206.6299999999</v>
      </c>
      <c r="CO71" s="81">
        <f t="shared" si="29"/>
        <v>1287269.9500000002</v>
      </c>
      <c r="CP71" s="166">
        <f>VLOOKUP(B71,'2526 GBP Data input'!$A$4:$CA$230,38,FALSE)</f>
        <v>1112233</v>
      </c>
      <c r="CQ71" s="166">
        <f>VLOOKUP(B71,'2526 GBP Data input'!$A$4:$CA$230,73,FALSE)</f>
        <v>12718</v>
      </c>
      <c r="CR71" s="89">
        <f t="shared" si="25"/>
        <v>59973.629999999888</v>
      </c>
      <c r="CS71" s="83">
        <f t="shared" si="26"/>
        <v>101.21638229281335</v>
      </c>
      <c r="CT71" s="82">
        <f t="shared" si="30"/>
        <v>-69762.450000000186</v>
      </c>
      <c r="CU71" s="82">
        <f t="shared" si="31"/>
        <v>520.7400000000016</v>
      </c>
      <c r="CV71" s="86">
        <f t="shared" si="27"/>
        <v>-69241.710000000181</v>
      </c>
    </row>
    <row r="72" spans="1:108">
      <c r="A72" s="238">
        <v>107764</v>
      </c>
      <c r="B72" s="60">
        <v>764</v>
      </c>
      <c r="C72" s="60" t="s">
        <v>251</v>
      </c>
      <c r="D72" s="128">
        <f>SUMIF('702-798'!$1:$1,D$3,'702-798'!20:20)</f>
        <v>-14668.93</v>
      </c>
      <c r="E72" s="128">
        <f>SUMIF('702-798'!$1:$1,E$3,'702-798'!20:20)</f>
        <v>-5182.54</v>
      </c>
      <c r="F72" s="128">
        <f>SUMIF('702-798'!$1:$1,F$3,'702-798'!20:20)</f>
        <v>168841.15</v>
      </c>
      <c r="G72" s="128">
        <f>SUMIF('702-798'!$1:$1,G$3,'702-798'!20:20)</f>
        <v>-28630.37</v>
      </c>
      <c r="H72" s="128">
        <f>SUMIF('702-798'!$1:$1,H$3,'702-798'!20:20)</f>
        <v>0</v>
      </c>
      <c r="I72" s="128">
        <f>SUMIF('702-798'!$1:$1,I$3,'702-798'!20:20)</f>
        <v>0</v>
      </c>
      <c r="J72" s="128">
        <f>SUMIF('702-798'!$1:$1,J$3,'702-798'!20:20)</f>
        <v>0</v>
      </c>
      <c r="K72" s="128">
        <f>SUMIF('702-798'!$1:$1,K$3,'702-798'!20:20)</f>
        <v>-529629.40999999992</v>
      </c>
      <c r="L72" s="128">
        <f>SUMIF('702-798'!$1:$1,L$3,'702-798'!20:20)</f>
        <v>0</v>
      </c>
      <c r="M72" s="128">
        <f>SUMIF('702-798'!$1:$1,M$3,'702-798'!20:20)</f>
        <v>-26493</v>
      </c>
      <c r="N72" s="128">
        <f>SUMIF('702-798'!$1:$1,N$3,'702-798'!20:20)</f>
        <v>0</v>
      </c>
      <c r="O72" s="128">
        <f>SUMIF('702-798'!$1:$1,O$3,'702-798'!20:20)</f>
        <v>-9805</v>
      </c>
      <c r="P72" s="128">
        <f>SUMIF('702-798'!$1:$1,P$3,'702-798'!20:20)</f>
        <v>-35256</v>
      </c>
      <c r="Q72" s="128">
        <f>SUMIF('702-798'!$1:$1,Q$3,'702-798'!20:20)</f>
        <v>-2337.8000000000002</v>
      </c>
      <c r="R72" s="128">
        <f>SUMIF('702-798'!$1:$1,R$3,'702-798'!20:20)</f>
        <v>0</v>
      </c>
      <c r="S72" s="128">
        <f>SUMIF('702-798'!$1:$1,S$3,'702-798'!20:20)</f>
        <v>-38667.839999999997</v>
      </c>
      <c r="T72" s="128">
        <f>SUMIF('702-798'!$1:$1,T$3,'702-798'!20:20)</f>
        <v>5.42</v>
      </c>
      <c r="U72" s="128">
        <f>SUMIF('702-798'!$1:$1,U$3,'702-798'!20:20)</f>
        <v>0</v>
      </c>
      <c r="V72" s="128">
        <f>SUMIF('702-798'!$1:$1,V$3,'702-798'!20:20)</f>
        <v>0</v>
      </c>
      <c r="W72" s="128">
        <f>SUMIF('702-798'!$1:$1,W$3,'702-798'!20:20)</f>
        <v>-5962.17</v>
      </c>
      <c r="X72" s="128">
        <f>SUMIF('702-798'!$1:$1,X$3,'702-798'!20:20)</f>
        <v>-26796.43</v>
      </c>
      <c r="Y72" s="164">
        <f>SUMIF('702-798'!$1:$1,Y$3,'702-798'!20:20)</f>
        <v>0</v>
      </c>
      <c r="Z72" s="128">
        <f>SUMIF('702-798'!$1:$1,Z$3,'702-798'!20:20)</f>
        <v>0</v>
      </c>
      <c r="AA72" s="128">
        <f>SUMIF('702-798'!$1:$1,AA$3,'702-798'!20:20)</f>
        <v>0</v>
      </c>
      <c r="AB72" s="128">
        <f>SUMIF('702-798'!$1:$1,AB$3,'702-798'!20:20)</f>
        <v>0</v>
      </c>
      <c r="AC72" s="314">
        <f>SUMIF('702-798'!$1:$1,AC$3,'702-798'!20:20)</f>
        <v>0</v>
      </c>
      <c r="AD72" s="314">
        <f>SUMIF('702-798'!$1:$1,AD$3,'702-798'!20:20)</f>
        <v>0</v>
      </c>
      <c r="AE72" s="314">
        <f>SUMIF('702-798'!$1:$1,AE$3,'702-798'!20:20)</f>
        <v>0</v>
      </c>
      <c r="AF72" s="314">
        <f>SUMIF('702-798'!$1:$1,AF$3,'702-798'!20:20)</f>
        <v>0</v>
      </c>
      <c r="AG72" s="128">
        <f>SUMIF('702-798'!$1:$1,AG$3,'702-798'!20:20)</f>
        <v>307107.14999999997</v>
      </c>
      <c r="AH72" s="128">
        <f>SUMIF('702-798'!$1:$1,AH$3,'702-798'!20:20)</f>
        <v>10581.390000000001</v>
      </c>
      <c r="AI72" s="128">
        <f>SUMIF('702-798'!$1:$1,AI$3,'702-798'!20:20)</f>
        <v>103386.87999999999</v>
      </c>
      <c r="AJ72" s="128">
        <f>SUMIF('702-798'!$1:$1,AJ$3,'702-798'!20:20)</f>
        <v>0</v>
      </c>
      <c r="AK72" s="128">
        <f>SUMIF('702-798'!$1:$1,AK$3,'702-798'!20:20)</f>
        <v>35119.58</v>
      </c>
      <c r="AL72" s="128">
        <f>SUMIF('702-798'!$1:$1,AL$3,'702-798'!20:20)</f>
        <v>0</v>
      </c>
      <c r="AM72" s="128">
        <f>SUMIF('702-798'!$1:$1,AM$3,'702-798'!20:20)</f>
        <v>29751.409999999996</v>
      </c>
      <c r="AN72" s="128">
        <f>SUMIF('702-798'!$1:$1,AN$3,'702-798'!20:20)</f>
        <v>2060.77</v>
      </c>
      <c r="AO72" s="128">
        <f>SUMIF('702-798'!$1:$1,AO$3,'702-798'!20:20)</f>
        <v>4157.1399999999994</v>
      </c>
      <c r="AP72" s="128">
        <f>SUMIF('702-798'!$1:$1,AP$3,'702-798'!20:20)</f>
        <v>207.4</v>
      </c>
      <c r="AQ72" s="128">
        <f>SUMIF('702-798'!$1:$1,AQ$3,'702-798'!20:20)</f>
        <v>0</v>
      </c>
      <c r="AR72" s="128">
        <f>SUMIF('702-798'!$1:$1,AR$3,'702-798'!20:20)</f>
        <v>4859.67</v>
      </c>
      <c r="AS72" s="128">
        <f>SUMIF('702-798'!$1:$1,AS$3,'702-798'!20:20)</f>
        <v>2519.9599999999996</v>
      </c>
      <c r="AT72" s="128">
        <f>SUMIF('702-798'!$1:$1,AT$3,'702-798'!20:20)</f>
        <v>13233.669999999996</v>
      </c>
      <c r="AU72" s="128">
        <f>SUMIF('702-798'!$1:$1,AU$3,'702-798'!20:20)</f>
        <v>716.67000000000007</v>
      </c>
      <c r="AV72" s="128">
        <f>SUMIF('702-798'!$1:$1,AV$3,'702-798'!20:20)</f>
        <v>4594.7400000000007</v>
      </c>
      <c r="AW72" s="128">
        <f>SUMIF('702-798'!$1:$1,AW$3,'702-798'!20:20)</f>
        <v>5364.25</v>
      </c>
      <c r="AX72" s="128">
        <f>SUMIF('702-798'!$1:$1,AX$3,'702-798'!20:20)</f>
        <v>17539.95</v>
      </c>
      <c r="AY72" s="128">
        <f>SUMIF('702-798'!$1:$1,AY$3,'702-798'!20:20)</f>
        <v>24846.690000000006</v>
      </c>
      <c r="AZ72" s="314">
        <f>SUMIF('702-798'!$1:$1,AZ$3,'702-798'!20:20)</f>
        <v>0</v>
      </c>
      <c r="BA72" s="128">
        <f>SUMIF('702-798'!$1:$1,BA$3,'702-798'!20:20)</f>
        <v>1061.8600000000001</v>
      </c>
      <c r="BB72" s="128">
        <f>SUMIF('702-798'!$1:$1,BB$3,'702-798'!20:20)</f>
        <v>0</v>
      </c>
      <c r="BC72" s="128">
        <f>SUMIF('702-798'!$1:$1,BC$3,'702-798'!20:20)</f>
        <v>6197.99</v>
      </c>
      <c r="BD72" s="128">
        <f>SUMIF('702-798'!$1:$1,BD$3,'702-798'!20:20)</f>
        <v>6186.13</v>
      </c>
      <c r="BE72" s="128">
        <f>SUMIF('702-798'!$1:$1,BE$3,'702-798'!20:20)</f>
        <v>4502.5</v>
      </c>
      <c r="BF72" s="128">
        <f>SUMIF('702-798'!$1:$1,BF$3,'702-798'!20:20)</f>
        <v>21.35</v>
      </c>
      <c r="BG72" s="128">
        <f>SUMIF('702-798'!$1:$1,BG$3,'702-798'!20:20)</f>
        <v>4127.7199999999993</v>
      </c>
      <c r="BH72" s="128">
        <f>SUMIF('702-798'!$1:$1,BH$3,'702-798'!20:20)</f>
        <v>0</v>
      </c>
      <c r="BI72" s="128">
        <f>SUMIF('702-798'!$1:$1,BI$3,'702-798'!20:20)</f>
        <v>2168.3999999999996</v>
      </c>
      <c r="BJ72" s="128">
        <f>SUMIF('702-798'!$1:$1,BJ$3,'702-798'!20:20)</f>
        <v>3670.64</v>
      </c>
      <c r="BK72" s="128">
        <f>SUMIF('702-798'!$1:$1,BK$3,'702-798'!20:20)</f>
        <v>0</v>
      </c>
      <c r="BL72" s="128">
        <f>SUMIF('702-798'!$1:$1,BL$3,'702-798'!20:20)</f>
        <v>21987.93</v>
      </c>
      <c r="BM72" s="128">
        <f>SUMIF('702-798'!$1:$1,BM$3,'702-798'!20:20)</f>
        <v>430</v>
      </c>
      <c r="BN72" s="128">
        <f>SUMIF('702-798'!$1:$1,BN$3,'702-798'!20:20)</f>
        <v>40595.9</v>
      </c>
      <c r="BO72" s="128">
        <f>SUMIF('702-798'!$1:$1,BO$3,'702-798'!20:20)</f>
        <v>10402.099999999999</v>
      </c>
      <c r="BP72" s="128">
        <f>SUMIF('702-798'!$1:$1,BP$3,'702-798'!20:20)</f>
        <v>0</v>
      </c>
      <c r="BQ72" s="128">
        <f>SUMIF('702-798'!$1:$1,BQ$3,'702-798'!20:20)</f>
        <v>0</v>
      </c>
      <c r="BR72" s="128">
        <f>SUMIF('702-798'!$1:$1,BR$3,'702-798'!20:20)</f>
        <v>0</v>
      </c>
      <c r="BS72" s="128">
        <f>SUMIF('702-798'!$1:$1,BS$3,'702-798'!20:20)</f>
        <v>0</v>
      </c>
      <c r="BT72" s="128">
        <f>SUMIF('702-798'!$1:$1,BT$3,'702-798'!20:20)</f>
        <v>0</v>
      </c>
      <c r="BU72" s="128">
        <f>SUMIF('702-798'!$1:$1,BU$3,'702-798'!20:20)</f>
        <v>-4686.25</v>
      </c>
      <c r="BV72" s="128">
        <f>SUMIF('702-798'!$1:$1,BV$3,'702-798'!20:20)</f>
        <v>0</v>
      </c>
      <c r="BW72" s="128">
        <f>SUMIF('702-798'!$1:$1,BW$3,'702-798'!20:20)</f>
        <v>0</v>
      </c>
      <c r="BX72" s="128">
        <f>SUMIF('702-798'!$1:$1,BX$3,'702-798'!20:20)</f>
        <v>0</v>
      </c>
      <c r="BY72" s="128">
        <f>SUMIF('702-798'!$1:$1,BY$3,'702-798'!20:20)</f>
        <v>0</v>
      </c>
      <c r="BZ72" s="128">
        <f>SUMIF('702-798'!$1:$1,BZ$3,'702-798'!20:20)</f>
        <v>0</v>
      </c>
      <c r="CA72" s="314">
        <f>SUMIF('702-798'!$1:$1,CA$3,'702-798'!20:20)</f>
        <v>0</v>
      </c>
      <c r="CB72" s="128">
        <f>SUMIF('702-798'!$1:$1,CB$3,'702-798'!20:20)</f>
        <v>0</v>
      </c>
      <c r="CC72" s="128">
        <f>SUMIF('702-798'!$1:$1,CC$3,'702-798'!20:20)</f>
        <v>0</v>
      </c>
      <c r="CD72" s="128">
        <f>SUMIF('702-798'!$1:$1,CD$3,'702-798'!20:20)</f>
        <v>0</v>
      </c>
      <c r="CE72" s="128">
        <f>SUMIF('702-798'!$1:$1,CE$3,'702-798'!20:20)</f>
        <v>3981.9399999999996</v>
      </c>
      <c r="CF72" s="128">
        <f>SUMIF('702-798'!$1:$1,CF$3,'702-798'!20:20)</f>
        <v>0</v>
      </c>
      <c r="CG72" s="257">
        <f t="shared" si="32"/>
        <v>112112.61000000004</v>
      </c>
      <c r="CJ72" s="122"/>
      <c r="CK72" s="169">
        <f>INDEX(SAP!C:C,MATCH('Actuals mapped to CFR'!A72,SAP!H:H,FALSE),1)</f>
        <v>112112.61</v>
      </c>
      <c r="CL72" s="59">
        <f t="shared" si="15"/>
        <v>0</v>
      </c>
      <c r="CN72" s="81">
        <f t="shared" si="28"/>
        <v>674942.23</v>
      </c>
      <c r="CO72" s="81">
        <f t="shared" si="29"/>
        <v>667399.84000000008</v>
      </c>
      <c r="CP72" s="166">
        <f>VLOOKUP(B72,'2526 GBP Data input'!$A$4:$CA$230,38,FALSE)</f>
        <v>620558</v>
      </c>
      <c r="CQ72" s="166">
        <f>VLOOKUP(B72,'2526 GBP Data input'!$A$4:$CA$230,73,FALSE)</f>
        <v>10434</v>
      </c>
      <c r="CR72" s="89">
        <f t="shared" si="25"/>
        <v>54384.229999999981</v>
      </c>
      <c r="CS72" s="83">
        <f t="shared" si="26"/>
        <v>63.963948629480555</v>
      </c>
      <c r="CT72" s="82">
        <f t="shared" si="30"/>
        <v>-146629.83000000007</v>
      </c>
      <c r="CU72" s="82">
        <f t="shared" si="31"/>
        <v>33316.619999999995</v>
      </c>
      <c r="CV72" s="86">
        <f t="shared" si="27"/>
        <v>-113313.21000000008</v>
      </c>
    </row>
    <row r="73" spans="1:108">
      <c r="A73" s="238">
        <v>107765</v>
      </c>
      <c r="B73" s="60">
        <v>765</v>
      </c>
      <c r="C73" s="60" t="s">
        <v>236</v>
      </c>
      <c r="D73" s="128">
        <f>SUMIF('702-798'!$1:$1,D$3,'702-798'!21:21)</f>
        <v>-71355.86</v>
      </c>
      <c r="E73" s="128">
        <f>SUMIF('702-798'!$1:$1,E$3,'702-798'!21:21)</f>
        <v>-52383.19</v>
      </c>
      <c r="F73" s="128">
        <f>SUMIF('702-798'!$1:$1,F$3,'702-798'!21:21)</f>
        <v>0</v>
      </c>
      <c r="G73" s="128">
        <f>SUMIF('702-798'!$1:$1,G$3,'702-798'!21:21)</f>
        <v>-25.78</v>
      </c>
      <c r="H73" s="128">
        <f>SUMIF('702-798'!$1:$1,H$3,'702-798'!21:21)</f>
        <v>0</v>
      </c>
      <c r="I73" s="128">
        <f>SUMIF('702-798'!$1:$1,I$3,'702-798'!21:21)</f>
        <v>-26302</v>
      </c>
      <c r="J73" s="128">
        <f>SUMIF('702-798'!$1:$1,J$3,'702-798'!21:21)</f>
        <v>0</v>
      </c>
      <c r="K73" s="128">
        <f>SUMIF('702-798'!$1:$1,K$3,'702-798'!21:21)</f>
        <v>-593737.42999999993</v>
      </c>
      <c r="L73" s="128">
        <f>SUMIF('702-798'!$1:$1,L$3,'702-798'!21:21)</f>
        <v>0</v>
      </c>
      <c r="M73" s="128">
        <f>SUMIF('702-798'!$1:$1,M$3,'702-798'!21:21)</f>
        <v>-83179</v>
      </c>
      <c r="N73" s="128">
        <f>SUMIF('702-798'!$1:$1,N$3,'702-798'!21:21)</f>
        <v>0</v>
      </c>
      <c r="O73" s="128">
        <f>SUMIF('702-798'!$1:$1,O$3,'702-798'!21:21)</f>
        <v>-24590</v>
      </c>
      <c r="P73" s="128">
        <f>SUMIF('702-798'!$1:$1,P$3,'702-798'!21:21)</f>
        <v>-21902</v>
      </c>
      <c r="Q73" s="128">
        <f>SUMIF('702-798'!$1:$1,Q$3,'702-798'!21:21)</f>
        <v>-1075</v>
      </c>
      <c r="R73" s="128">
        <f>SUMIF('702-798'!$1:$1,R$3,'702-798'!21:21)</f>
        <v>0</v>
      </c>
      <c r="S73" s="128">
        <f>SUMIF('702-798'!$1:$1,S$3,'702-798'!21:21)</f>
        <v>-17173.409999999996</v>
      </c>
      <c r="T73" s="128">
        <f>SUMIF('702-798'!$1:$1,T$3,'702-798'!21:21)</f>
        <v>39.26</v>
      </c>
      <c r="U73" s="128">
        <f>SUMIF('702-798'!$1:$1,U$3,'702-798'!21:21)</f>
        <v>0</v>
      </c>
      <c r="V73" s="128">
        <f>SUMIF('702-798'!$1:$1,V$3,'702-798'!21:21)</f>
        <v>0</v>
      </c>
      <c r="W73" s="128">
        <f>SUMIF('702-798'!$1:$1,W$3,'702-798'!21:21)</f>
        <v>-2464.690000000001</v>
      </c>
      <c r="X73" s="128">
        <f>SUMIF('702-798'!$1:$1,X$3,'702-798'!21:21)</f>
        <v>-4237.4100000000008</v>
      </c>
      <c r="Y73" s="164">
        <f>SUMIF('702-798'!$1:$1,Y$3,'702-798'!21:21)</f>
        <v>0</v>
      </c>
      <c r="Z73" s="128">
        <f>SUMIF('702-798'!$1:$1,Z$3,'702-798'!21:21)</f>
        <v>0</v>
      </c>
      <c r="AA73" s="128">
        <f>SUMIF('702-798'!$1:$1,AA$3,'702-798'!21:21)</f>
        <v>0</v>
      </c>
      <c r="AB73" s="128">
        <f>SUMIF('702-798'!$1:$1,AB$3,'702-798'!21:21)</f>
        <v>0</v>
      </c>
      <c r="AC73" s="314">
        <f>SUMIF('702-798'!$1:$1,AC$3,'702-798'!21:21)</f>
        <v>0</v>
      </c>
      <c r="AD73" s="314">
        <f>SUMIF('702-798'!$1:$1,AD$3,'702-798'!21:21)</f>
        <v>0</v>
      </c>
      <c r="AE73" s="314">
        <f>SUMIF('702-798'!$1:$1,AE$3,'702-798'!21:21)</f>
        <v>0</v>
      </c>
      <c r="AF73" s="314">
        <f>SUMIF('702-798'!$1:$1,AF$3,'702-798'!21:21)</f>
        <v>0</v>
      </c>
      <c r="AG73" s="128">
        <f>SUMIF('702-798'!$1:$1,AG$3,'702-798'!21:21)</f>
        <v>354997.60000000003</v>
      </c>
      <c r="AH73" s="128">
        <f>SUMIF('702-798'!$1:$1,AH$3,'702-798'!21:21)</f>
        <v>3673.7599999999993</v>
      </c>
      <c r="AI73" s="128">
        <f>SUMIF('702-798'!$1:$1,AI$3,'702-798'!21:21)</f>
        <v>171332.77000000002</v>
      </c>
      <c r="AJ73" s="128">
        <f>SUMIF('702-798'!$1:$1,AJ$3,'702-798'!21:21)</f>
        <v>6998.6900000000005</v>
      </c>
      <c r="AK73" s="128">
        <f>SUMIF('702-798'!$1:$1,AK$3,'702-798'!21:21)</f>
        <v>51581.82</v>
      </c>
      <c r="AL73" s="128">
        <f>SUMIF('702-798'!$1:$1,AL$3,'702-798'!21:21)</f>
        <v>0</v>
      </c>
      <c r="AM73" s="128">
        <f>SUMIF('702-798'!$1:$1,AM$3,'702-798'!21:21)</f>
        <v>19887.080000000005</v>
      </c>
      <c r="AN73" s="128">
        <f>SUMIF('702-798'!$1:$1,AN$3,'702-798'!21:21)</f>
        <v>2296.69</v>
      </c>
      <c r="AO73" s="128">
        <f>SUMIF('702-798'!$1:$1,AO$3,'702-798'!21:21)</f>
        <v>5109.7999999999993</v>
      </c>
      <c r="AP73" s="128">
        <f>SUMIF('702-798'!$1:$1,AP$3,'702-798'!21:21)</f>
        <v>4180.42</v>
      </c>
      <c r="AQ73" s="128">
        <f>SUMIF('702-798'!$1:$1,AQ$3,'702-798'!21:21)</f>
        <v>0</v>
      </c>
      <c r="AR73" s="128">
        <f>SUMIF('702-798'!$1:$1,AR$3,'702-798'!21:21)</f>
        <v>39799.840000000004</v>
      </c>
      <c r="AS73" s="128">
        <f>SUMIF('702-798'!$1:$1,AS$3,'702-798'!21:21)</f>
        <v>4530.8300000000008</v>
      </c>
      <c r="AT73" s="128">
        <f>SUMIF('702-798'!$1:$1,AT$3,'702-798'!21:21)</f>
        <v>18333.64</v>
      </c>
      <c r="AU73" s="128">
        <f>SUMIF('702-798'!$1:$1,AU$3,'702-798'!21:21)</f>
        <v>1209.5899999999999</v>
      </c>
      <c r="AV73" s="128">
        <f>SUMIF('702-798'!$1:$1,AV$3,'702-798'!21:21)</f>
        <v>19350.48</v>
      </c>
      <c r="AW73" s="128">
        <f>SUMIF('702-798'!$1:$1,AW$3,'702-798'!21:21)</f>
        <v>8857.25</v>
      </c>
      <c r="AX73" s="128">
        <f>SUMIF('702-798'!$1:$1,AX$3,'702-798'!21:21)</f>
        <v>2313.2299999999996</v>
      </c>
      <c r="AY73" s="128">
        <f>SUMIF('702-798'!$1:$1,AY$3,'702-798'!21:21)</f>
        <v>23187.709999999995</v>
      </c>
      <c r="AZ73" s="314">
        <f>SUMIF('702-798'!$1:$1,AZ$3,'702-798'!21:21)</f>
        <v>0</v>
      </c>
      <c r="BA73" s="128">
        <f>SUMIF('702-798'!$1:$1,BA$3,'702-798'!21:21)</f>
        <v>3806</v>
      </c>
      <c r="BB73" s="128">
        <f>SUMIF('702-798'!$1:$1,BB$3,'702-798'!21:21)</f>
        <v>0</v>
      </c>
      <c r="BC73" s="128">
        <f>SUMIF('702-798'!$1:$1,BC$3,'702-798'!21:21)</f>
        <v>790.45999999999992</v>
      </c>
      <c r="BD73" s="128">
        <f>SUMIF('702-798'!$1:$1,BD$3,'702-798'!21:21)</f>
        <v>4526.5599999999995</v>
      </c>
      <c r="BE73" s="128">
        <f>SUMIF('702-798'!$1:$1,BE$3,'702-798'!21:21)</f>
        <v>1306.99</v>
      </c>
      <c r="BF73" s="128">
        <f>SUMIF('702-798'!$1:$1,BF$3,'702-798'!21:21)</f>
        <v>0</v>
      </c>
      <c r="BG73" s="128">
        <f>SUMIF('702-798'!$1:$1,BG$3,'702-798'!21:21)</f>
        <v>4079</v>
      </c>
      <c r="BH73" s="128">
        <f>SUMIF('702-798'!$1:$1,BH$3,'702-798'!21:21)</f>
        <v>0</v>
      </c>
      <c r="BI73" s="128">
        <f>SUMIF('702-798'!$1:$1,BI$3,'702-798'!21:21)</f>
        <v>7521.2099999999991</v>
      </c>
      <c r="BJ73" s="128">
        <f>SUMIF('702-798'!$1:$1,BJ$3,'702-798'!21:21)</f>
        <v>3778.6000000000004</v>
      </c>
      <c r="BK73" s="128">
        <f>SUMIF('702-798'!$1:$1,BK$3,'702-798'!21:21)</f>
        <v>0</v>
      </c>
      <c r="BL73" s="128">
        <f>SUMIF('702-798'!$1:$1,BL$3,'702-798'!21:21)</f>
        <v>15864.29</v>
      </c>
      <c r="BM73" s="128">
        <f>SUMIF('702-798'!$1:$1,BM$3,'702-798'!21:21)</f>
        <v>10354.799999999999</v>
      </c>
      <c r="BN73" s="128">
        <f>SUMIF('702-798'!$1:$1,BN$3,'702-798'!21:21)</f>
        <v>12133.009999999998</v>
      </c>
      <c r="BO73" s="128">
        <f>SUMIF('702-798'!$1:$1,BO$3,'702-798'!21:21)</f>
        <v>15140.26</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-4978.75</v>
      </c>
      <c r="BV73" s="128">
        <f>SUMIF('702-798'!$1:$1,BV$3,'702-798'!21:21)</f>
        <v>0</v>
      </c>
      <c r="BW73" s="128">
        <f>SUMIF('702-798'!$1:$1,BW$3,'702-798'!21:21)</f>
        <v>0</v>
      </c>
      <c r="BX73" s="128">
        <f>SUMIF('702-798'!$1:$1,BX$3,'702-798'!21:21)</f>
        <v>0</v>
      </c>
      <c r="BY73" s="128">
        <f>SUMIF('702-798'!$1:$1,BY$3,'702-798'!21:21)</f>
        <v>3235.19</v>
      </c>
      <c r="BZ73" s="128">
        <f>SUMIF('702-798'!$1:$1,BZ$3,'702-798'!21:21)</f>
        <v>198.5</v>
      </c>
      <c r="CA73" s="314">
        <f>SUMIF('702-798'!$1:$1,CA$3,'702-798'!21:21)</f>
        <v>0</v>
      </c>
      <c r="CB73" s="128">
        <f>SUMIF('702-798'!$1:$1,CB$3,'702-798'!21:21)</f>
        <v>1275</v>
      </c>
      <c r="CC73" s="128">
        <f>SUMIF('702-798'!$1:$1,CC$3,'702-798'!21:21)</f>
        <v>0</v>
      </c>
      <c r="CD73" s="128">
        <f>SUMIF('702-798'!$1:$1,CD$3,'702-798'!21:21)</f>
        <v>0</v>
      </c>
      <c r="CE73" s="128">
        <f>SUMIF('702-798'!$1:$1,CE$3,'702-798'!21:21)</f>
        <v>484.99</v>
      </c>
      <c r="CF73" s="128">
        <f>SUMIF('702-798'!$1:$1,CF$3,'702-798'!21:21)</f>
        <v>0</v>
      </c>
      <c r="CG73" s="257">
        <f t="shared" si="32"/>
        <v>-81229.199999999895</v>
      </c>
      <c r="CJ73" s="122"/>
      <c r="CK73" s="169">
        <f>INDEX(SAP!C:C,MATCH('Actuals mapped to CFR'!A73,SAP!H:H,FALSE),1)</f>
        <v>-81229.2</v>
      </c>
      <c r="CL73" s="59">
        <f t="shared" si="15"/>
        <v>0</v>
      </c>
      <c r="CN73" s="81">
        <f t="shared" si="28"/>
        <v>748319.67999999993</v>
      </c>
      <c r="CO73" s="81">
        <f t="shared" si="29"/>
        <v>816942.37999999989</v>
      </c>
      <c r="CP73" s="166">
        <f>VLOOKUP(B73,'2526 GBP Data input'!$A$4:$CA$230,38,FALSE)</f>
        <v>730084</v>
      </c>
      <c r="CQ73" s="166">
        <f>VLOOKUP(B73,'2526 GBP Data input'!$A$4:$CA$230,73,FALSE)</f>
        <v>16696</v>
      </c>
      <c r="CR73" s="89">
        <f t="shared" si="25"/>
        <v>18235.679999999935</v>
      </c>
      <c r="CS73" s="83">
        <f t="shared" si="26"/>
        <v>48.930425251557253</v>
      </c>
      <c r="CT73" s="82">
        <f t="shared" si="30"/>
        <v>2733.1600000000326</v>
      </c>
      <c r="CU73" s="82">
        <f t="shared" si="31"/>
        <v>27872.84</v>
      </c>
      <c r="CV73" s="86">
        <f t="shared" si="27"/>
        <v>30606.000000000033</v>
      </c>
    </row>
    <row r="74" spans="1:108">
      <c r="A74" s="238">
        <v>107766</v>
      </c>
      <c r="B74" s="60">
        <v>766</v>
      </c>
      <c r="C74" s="60" t="s">
        <v>264</v>
      </c>
      <c r="D74" s="128">
        <f>SUMIF('702-798'!$1:$1,D$3,'702-798'!22:22)</f>
        <v>-7235.03</v>
      </c>
      <c r="E74" s="128">
        <f>SUMIF('702-798'!$1:$1,E$3,'702-798'!22:22)</f>
        <v>-185.4</v>
      </c>
      <c r="F74" s="128">
        <f>SUMIF('702-798'!$1:$1,F$3,'702-798'!22:22)</f>
        <v>0</v>
      </c>
      <c r="G74" s="128">
        <f>SUMIF('702-798'!$1:$1,G$3,'702-798'!22:22)</f>
        <v>-8.16</v>
      </c>
      <c r="H74" s="128">
        <f>SUMIF('702-798'!$1:$1,H$3,'702-798'!22:22)</f>
        <v>0</v>
      </c>
      <c r="I74" s="128">
        <f>SUMIF('702-798'!$1:$1,I$3,'702-798'!22:22)</f>
        <v>0</v>
      </c>
      <c r="J74" s="128">
        <f>SUMIF('702-798'!$1:$1,J$3,'702-798'!22:22)</f>
        <v>3510.44</v>
      </c>
      <c r="K74" s="128">
        <f>SUMIF('702-798'!$1:$1,K$3,'702-798'!22:22)</f>
        <v>-688493.33</v>
      </c>
      <c r="L74" s="128">
        <f>SUMIF('702-798'!$1:$1,L$3,'702-798'!22:22)</f>
        <v>0</v>
      </c>
      <c r="M74" s="128">
        <f>SUMIF('702-798'!$1:$1,M$3,'702-798'!22:22)</f>
        <v>-24124</v>
      </c>
      <c r="N74" s="128">
        <f>SUMIF('702-798'!$1:$1,N$3,'702-798'!22:22)</f>
        <v>0</v>
      </c>
      <c r="O74" s="128">
        <f>SUMIF('702-798'!$1:$1,O$3,'702-798'!22:22)</f>
        <v>-19645</v>
      </c>
      <c r="P74" s="128">
        <f>SUMIF('702-798'!$1:$1,P$3,'702-798'!22:22)</f>
        <v>-38943</v>
      </c>
      <c r="Q74" s="128">
        <f>SUMIF('702-798'!$1:$1,Q$3,'702-798'!22:22)</f>
        <v>-2344</v>
      </c>
      <c r="R74" s="128">
        <f>SUMIF('702-798'!$1:$1,R$3,'702-798'!22:22)</f>
        <v>0</v>
      </c>
      <c r="S74" s="128">
        <f>SUMIF('702-798'!$1:$1,S$3,'702-798'!22:22)</f>
        <v>7194.4899999999989</v>
      </c>
      <c r="T74" s="128">
        <f>SUMIF('702-798'!$1:$1,T$3,'702-798'!22:22)</f>
        <v>1.93</v>
      </c>
      <c r="U74" s="128">
        <f>SUMIF('702-798'!$1:$1,U$3,'702-798'!22:22)</f>
        <v>-16962</v>
      </c>
      <c r="V74" s="128">
        <f>SUMIF('702-798'!$1:$1,V$3,'702-798'!22:22)</f>
        <v>0</v>
      </c>
      <c r="W74" s="128">
        <f>SUMIF('702-798'!$1:$1,W$3,'702-798'!22:22)</f>
        <v>-10750.4</v>
      </c>
      <c r="X74" s="128">
        <f>SUMIF('702-798'!$1:$1,X$3,'702-798'!22:22)</f>
        <v>-4191.1900000000005</v>
      </c>
      <c r="Y74" s="164">
        <f>SUMIF('702-798'!$1:$1,Y$3,'702-798'!22:22)</f>
        <v>0</v>
      </c>
      <c r="Z74" s="128">
        <f>SUMIF('702-798'!$1:$1,Z$3,'702-798'!22:22)</f>
        <v>0</v>
      </c>
      <c r="AA74" s="128">
        <f>SUMIF('702-798'!$1:$1,AA$3,'702-798'!22:22)</f>
        <v>-63100.19</v>
      </c>
      <c r="AB74" s="128">
        <f>SUMIF('702-798'!$1:$1,AB$3,'702-798'!22:22)</f>
        <v>-4322.2500000000009</v>
      </c>
      <c r="AC74" s="314">
        <f>SUMIF('702-798'!$1:$1,AC$3,'702-798'!22:22)</f>
        <v>0</v>
      </c>
      <c r="AD74" s="314">
        <f>SUMIF('702-798'!$1:$1,AD$3,'702-798'!22:22)</f>
        <v>0</v>
      </c>
      <c r="AE74" s="314">
        <f>SUMIF('702-798'!$1:$1,AE$3,'702-798'!22:22)</f>
        <v>0</v>
      </c>
      <c r="AF74" s="314">
        <f>SUMIF('702-798'!$1:$1,AF$3,'702-798'!22:22)</f>
        <v>0</v>
      </c>
      <c r="AG74" s="128">
        <f>SUMIF('702-798'!$1:$1,AG$3,'702-798'!22:22)</f>
        <v>393533.37000000005</v>
      </c>
      <c r="AH74" s="128">
        <f>SUMIF('702-798'!$1:$1,AH$3,'702-798'!22:22)</f>
        <v>21142.429999999997</v>
      </c>
      <c r="AI74" s="128">
        <f>SUMIF('702-798'!$1:$1,AI$3,'702-798'!22:22)</f>
        <v>136545.20000000001</v>
      </c>
      <c r="AJ74" s="128">
        <f>SUMIF('702-798'!$1:$1,AJ$3,'702-798'!22:22)</f>
        <v>0</v>
      </c>
      <c r="AK74" s="128">
        <f>SUMIF('702-798'!$1:$1,AK$3,'702-798'!22:22)</f>
        <v>76930.950000000012</v>
      </c>
      <c r="AL74" s="128">
        <f>SUMIF('702-798'!$1:$1,AL$3,'702-798'!22:22)</f>
        <v>0</v>
      </c>
      <c r="AM74" s="128">
        <f>SUMIF('702-798'!$1:$1,AM$3,'702-798'!22:22)</f>
        <v>18143.189999999995</v>
      </c>
      <c r="AN74" s="128">
        <f>SUMIF('702-798'!$1:$1,AN$3,'702-798'!22:22)</f>
        <v>3040.98</v>
      </c>
      <c r="AO74" s="128">
        <f>SUMIF('702-798'!$1:$1,AO$3,'702-798'!22:22)</f>
        <v>1999.6599999999999</v>
      </c>
      <c r="AP74" s="128">
        <f>SUMIF('702-798'!$1:$1,AP$3,'702-798'!22:22)</f>
        <v>11842.23</v>
      </c>
      <c r="AQ74" s="128">
        <f>SUMIF('702-798'!$1:$1,AQ$3,'702-798'!22:22)</f>
        <v>0</v>
      </c>
      <c r="AR74" s="128">
        <f>SUMIF('702-798'!$1:$1,AR$3,'702-798'!22:22)</f>
        <v>9481.83</v>
      </c>
      <c r="AS74" s="128">
        <f>SUMIF('702-798'!$1:$1,AS$3,'702-798'!22:22)</f>
        <v>2062.7200000000003</v>
      </c>
      <c r="AT74" s="128">
        <f>SUMIF('702-798'!$1:$1,AT$3,'702-798'!22:22)</f>
        <v>25436.120000000003</v>
      </c>
      <c r="AU74" s="128">
        <f>SUMIF('702-798'!$1:$1,AU$3,'702-798'!22:22)</f>
        <v>2661.67</v>
      </c>
      <c r="AV74" s="128">
        <f>SUMIF('702-798'!$1:$1,AV$3,'702-798'!22:22)</f>
        <v>11194.33</v>
      </c>
      <c r="AW74" s="128">
        <f>SUMIF('702-798'!$1:$1,AW$3,'702-798'!22:22)</f>
        <v>12724.5</v>
      </c>
      <c r="AX74" s="128">
        <f>SUMIF('702-798'!$1:$1,AX$3,'702-798'!22:22)</f>
        <v>2648.19</v>
      </c>
      <c r="AY74" s="128">
        <f>SUMIF('702-798'!$1:$1,AY$3,'702-798'!22:22)</f>
        <v>16579.14</v>
      </c>
      <c r="AZ74" s="314">
        <f>SUMIF('702-798'!$1:$1,AZ$3,'702-798'!22:22)</f>
        <v>0</v>
      </c>
      <c r="BA74" s="128">
        <f>SUMIF('702-798'!$1:$1,BA$3,'702-798'!22:22)</f>
        <v>4213.9799999999996</v>
      </c>
      <c r="BB74" s="128">
        <f>SUMIF('702-798'!$1:$1,BB$3,'702-798'!22:22)</f>
        <v>0</v>
      </c>
      <c r="BC74" s="128">
        <f>SUMIF('702-798'!$1:$1,BC$3,'702-798'!22:22)</f>
        <v>4387.21</v>
      </c>
      <c r="BD74" s="128">
        <f>SUMIF('702-798'!$1:$1,BD$3,'702-798'!22:22)</f>
        <v>1875.8400000000001</v>
      </c>
      <c r="BE74" s="128">
        <f>SUMIF('702-798'!$1:$1,BE$3,'702-798'!22:22)</f>
        <v>467.49</v>
      </c>
      <c r="BF74" s="128">
        <f>SUMIF('702-798'!$1:$1,BF$3,'702-798'!22:22)</f>
        <v>0</v>
      </c>
      <c r="BG74" s="128">
        <f>SUMIF('702-798'!$1:$1,BG$3,'702-798'!22:22)</f>
        <v>4106</v>
      </c>
      <c r="BH74" s="128">
        <f>SUMIF('702-798'!$1:$1,BH$3,'702-798'!22:22)</f>
        <v>0</v>
      </c>
      <c r="BI74" s="128">
        <f>SUMIF('702-798'!$1:$1,BI$3,'702-798'!22:22)</f>
        <v>4866.7199999999993</v>
      </c>
      <c r="BJ74" s="128">
        <f>SUMIF('702-798'!$1:$1,BJ$3,'702-798'!22:22)</f>
        <v>6045.76</v>
      </c>
      <c r="BK74" s="128">
        <f>SUMIF('702-798'!$1:$1,BK$3,'702-798'!22:22)</f>
        <v>0</v>
      </c>
      <c r="BL74" s="128">
        <f>SUMIF('702-798'!$1:$1,BL$3,'702-798'!22:22)</f>
        <v>32588.98</v>
      </c>
      <c r="BM74" s="128">
        <f>SUMIF('702-798'!$1:$1,BM$3,'702-798'!22:22)</f>
        <v>6153.17</v>
      </c>
      <c r="BN74" s="128">
        <f>SUMIF('702-798'!$1:$1,BN$3,'702-798'!22:22)</f>
        <v>17923.75</v>
      </c>
      <c r="BO74" s="128">
        <f>SUMIF('702-798'!$1:$1,BO$3,'702-798'!22:22)</f>
        <v>11482.38</v>
      </c>
      <c r="BP74" s="128">
        <f>SUMIF('702-798'!$1:$1,BP$3,'702-798'!22:22)</f>
        <v>0</v>
      </c>
      <c r="BQ74" s="128">
        <f>SUMIF('702-798'!$1:$1,BQ$3,'702-798'!22:22)</f>
        <v>0</v>
      </c>
      <c r="BR74" s="128">
        <f>SUMIF('702-798'!$1:$1,BR$3,'702-798'!22:22)</f>
        <v>0</v>
      </c>
      <c r="BS74" s="128">
        <f>SUMIF('702-798'!$1:$1,BS$3,'702-798'!22:22)</f>
        <v>50705.090000000004</v>
      </c>
      <c r="BT74" s="128">
        <f>SUMIF('702-798'!$1:$1,BT$3,'702-798'!22:22)</f>
        <v>488.14000000000004</v>
      </c>
      <c r="BU74" s="128">
        <f>SUMIF('702-798'!$1:$1,BU$3,'702-798'!22:22)</f>
        <v>-5203.75</v>
      </c>
      <c r="BV74" s="128">
        <f>SUMIF('702-798'!$1:$1,BV$3,'702-798'!22:22)</f>
        <v>0</v>
      </c>
      <c r="BW74" s="128">
        <f>SUMIF('702-798'!$1:$1,BW$3,'702-798'!22:22)</f>
        <v>0</v>
      </c>
      <c r="BX74" s="128">
        <f>SUMIF('702-798'!$1:$1,BX$3,'702-798'!22:22)</f>
        <v>0</v>
      </c>
      <c r="BY74" s="128">
        <f>SUMIF('702-798'!$1:$1,BY$3,'702-798'!22:22)</f>
        <v>1607.1799999999998</v>
      </c>
      <c r="BZ74" s="128">
        <f>SUMIF('702-798'!$1:$1,BZ$3,'702-798'!22:22)</f>
        <v>0</v>
      </c>
      <c r="CA74" s="314">
        <f>SUMIF('702-798'!$1:$1,CA$3,'702-798'!22:22)</f>
        <v>0</v>
      </c>
      <c r="CB74" s="128">
        <f>SUMIF('702-798'!$1:$1,CB$3,'702-798'!22:22)</f>
        <v>0</v>
      </c>
      <c r="CC74" s="128">
        <f>SUMIF('702-798'!$1:$1,CC$3,'702-798'!22:22)</f>
        <v>0</v>
      </c>
      <c r="CD74" s="128">
        <f>SUMIF('702-798'!$1:$1,CD$3,'702-798'!22:22)</f>
        <v>0</v>
      </c>
      <c r="CE74" s="128">
        <f>SUMIF('702-798'!$1:$1,CE$3,'702-798'!22:22)</f>
        <v>534.99</v>
      </c>
      <c r="CF74" s="128">
        <f>SUMIF('702-798'!$1:$1,CF$3,'702-798'!22:22)</f>
        <v>1662.16</v>
      </c>
      <c r="CG74" s="257">
        <f t="shared" si="32"/>
        <v>20274.510000000228</v>
      </c>
      <c r="CJ74" s="122"/>
      <c r="CK74" s="169">
        <f>INDEX(SAP!C:C,MATCH('Actuals mapped to CFR'!A74,SAP!H:H,FALSE),1)</f>
        <v>20274.509999999998</v>
      </c>
      <c r="CL74" s="59">
        <f t="shared" ref="CL74:CL131" si="33">ROUND(CK74-CG74,2)</f>
        <v>0</v>
      </c>
      <c r="CN74" s="81">
        <f t="shared" si="28"/>
        <v>865678.94</v>
      </c>
      <c r="CO74" s="81">
        <f t="shared" si="29"/>
        <v>891271.01999999967</v>
      </c>
      <c r="CP74" s="166">
        <f>VLOOKUP(B74,'2526 GBP Data input'!$A$4:$CA$230,38,FALSE)</f>
        <v>854157</v>
      </c>
      <c r="CQ74" s="166">
        <f>VLOOKUP(B74,'2526 GBP Data input'!$A$4:$CA$230,73,FALSE)</f>
        <v>10211</v>
      </c>
      <c r="CR74" s="89">
        <f>CN74-CP74</f>
        <v>11521.939999999944</v>
      </c>
      <c r="CS74" s="83">
        <f>CO74/CQ74</f>
        <v>87.285380472039918</v>
      </c>
      <c r="CT74" s="82">
        <f t="shared" si="30"/>
        <v>-18357.049999999697</v>
      </c>
      <c r="CU74" s="82">
        <f t="shared" si="31"/>
        <v>1942.57</v>
      </c>
      <c r="CV74" s="86">
        <f t="shared" si="27"/>
        <v>-16414.479999999698</v>
      </c>
    </row>
    <row r="75" spans="1:108">
      <c r="A75" s="238">
        <v>107767</v>
      </c>
      <c r="B75" s="60">
        <v>767</v>
      </c>
      <c r="C75" s="110" t="s">
        <v>402</v>
      </c>
      <c r="D75" s="128">
        <f>SUMIF('702-798'!$1:$1,D$3,'702-798'!23:23)</f>
        <v>-586601.81000000006</v>
      </c>
      <c r="E75" s="128">
        <f>SUMIF('702-798'!$1:$1,E$3,'702-798'!23:23)</f>
        <v>-21497</v>
      </c>
      <c r="F75" s="128">
        <f>SUMIF('702-798'!$1:$1,F$3,'702-798'!23:23)</f>
        <v>0</v>
      </c>
      <c r="G75" s="128">
        <f>SUMIF('702-798'!$1:$1,G$3,'702-798'!23:23)</f>
        <v>-17105.62</v>
      </c>
      <c r="H75" s="128">
        <f>SUMIF('702-798'!$1:$1,H$3,'702-798'!23:23)</f>
        <v>0</v>
      </c>
      <c r="I75" s="128">
        <f>SUMIF('702-798'!$1:$1,I$3,'702-798'!23:23)</f>
        <v>0</v>
      </c>
      <c r="J75" s="128">
        <f>SUMIF('702-798'!$1:$1,J$3,'702-798'!23:23)</f>
        <v>0</v>
      </c>
      <c r="K75" s="128">
        <f>SUMIF('702-798'!$1:$1,K$3,'702-798'!23:23)</f>
        <v>-1463944.21</v>
      </c>
      <c r="L75" s="128">
        <f>SUMIF('702-798'!$1:$1,L$3,'702-798'!23:23)</f>
        <v>0</v>
      </c>
      <c r="M75" s="128">
        <f>SUMIF('702-798'!$1:$1,M$3,'702-798'!23:23)</f>
        <v>-86182</v>
      </c>
      <c r="N75" s="128">
        <f>SUMIF('702-798'!$1:$1,N$3,'702-798'!23:23)</f>
        <v>0</v>
      </c>
      <c r="O75" s="128">
        <f>SUMIF('702-798'!$1:$1,O$3,'702-798'!23:23)</f>
        <v>-101340</v>
      </c>
      <c r="P75" s="128">
        <f>SUMIF('702-798'!$1:$1,P$3,'702-798'!23:23)</f>
        <v>-55466</v>
      </c>
      <c r="Q75" s="128">
        <f>SUMIF('702-798'!$1:$1,Q$3,'702-798'!23:23)</f>
        <v>-5933.0599999999995</v>
      </c>
      <c r="R75" s="128">
        <f>SUMIF('702-798'!$1:$1,R$3,'702-798'!23:23)</f>
        <v>0</v>
      </c>
      <c r="S75" s="128">
        <f>SUMIF('702-798'!$1:$1,S$3,'702-798'!23:23)</f>
        <v>-73611.740000000005</v>
      </c>
      <c r="T75" s="128">
        <f>SUMIF('702-798'!$1:$1,T$3,'702-798'!23:23)</f>
        <v>-6013.8</v>
      </c>
      <c r="U75" s="128">
        <f>SUMIF('702-798'!$1:$1,U$3,'702-798'!23:23)</f>
        <v>0</v>
      </c>
      <c r="V75" s="128">
        <f>SUMIF('702-798'!$1:$1,V$3,'702-798'!23:23)</f>
        <v>0</v>
      </c>
      <c r="W75" s="128">
        <f>SUMIF('702-798'!$1:$1,W$3,'702-798'!23:23)</f>
        <v>-28884.64000000001</v>
      </c>
      <c r="X75" s="128">
        <f>SUMIF('702-798'!$1:$1,X$3,'702-798'!23:23)</f>
        <v>-563.94999999999993</v>
      </c>
      <c r="Y75" s="164">
        <f>SUMIF('702-798'!$1:$1,Y$3,'702-798'!23:23)</f>
        <v>0</v>
      </c>
      <c r="Z75" s="128">
        <f>SUMIF('702-798'!$1:$1,Z$3,'702-798'!23:23)</f>
        <v>0</v>
      </c>
      <c r="AA75" s="128">
        <f>SUMIF('702-798'!$1:$1,AA$3,'702-798'!23:23)</f>
        <v>0</v>
      </c>
      <c r="AB75" s="128">
        <f>SUMIF('702-798'!$1:$1,AB$3,'702-798'!23:23)</f>
        <v>0</v>
      </c>
      <c r="AC75" s="314">
        <f>SUMIF('702-798'!$1:$1,AC$3,'702-798'!23:23)</f>
        <v>0</v>
      </c>
      <c r="AD75" s="314">
        <f>SUMIF('702-798'!$1:$1,AD$3,'702-798'!23:23)</f>
        <v>0</v>
      </c>
      <c r="AE75" s="314">
        <f>SUMIF('702-798'!$1:$1,AE$3,'702-798'!23:23)</f>
        <v>0</v>
      </c>
      <c r="AF75" s="314">
        <f>SUMIF('702-798'!$1:$1,AF$3,'702-798'!23:23)</f>
        <v>0</v>
      </c>
      <c r="AG75" s="128">
        <f>SUMIF('702-798'!$1:$1,AG$3,'702-798'!23:23)</f>
        <v>799950.21</v>
      </c>
      <c r="AH75" s="128">
        <f>SUMIF('702-798'!$1:$1,AH$3,'702-798'!23:23)</f>
        <v>455.10999999999996</v>
      </c>
      <c r="AI75" s="128">
        <f>SUMIF('702-798'!$1:$1,AI$3,'702-798'!23:23)</f>
        <v>395852.41000000003</v>
      </c>
      <c r="AJ75" s="128">
        <f>SUMIF('702-798'!$1:$1,AJ$3,'702-798'!23:23)</f>
        <v>44050.279999999992</v>
      </c>
      <c r="AK75" s="128">
        <f>SUMIF('702-798'!$1:$1,AK$3,'702-798'!23:23)</f>
        <v>97719.020000000019</v>
      </c>
      <c r="AL75" s="128">
        <f>SUMIF('702-798'!$1:$1,AL$3,'702-798'!23:23)</f>
        <v>0</v>
      </c>
      <c r="AM75" s="128">
        <f>SUMIF('702-798'!$1:$1,AM$3,'702-798'!23:23)</f>
        <v>70623.429999999993</v>
      </c>
      <c r="AN75" s="128">
        <f>SUMIF('702-798'!$1:$1,AN$3,'702-798'!23:23)</f>
        <v>5934.4400000000005</v>
      </c>
      <c r="AO75" s="128">
        <f>SUMIF('702-798'!$1:$1,AO$3,'702-798'!23:23)</f>
        <v>2968.42</v>
      </c>
      <c r="AP75" s="128">
        <f>SUMIF('702-798'!$1:$1,AP$3,'702-798'!23:23)</f>
        <v>2835.92</v>
      </c>
      <c r="AQ75" s="128">
        <f>SUMIF('702-798'!$1:$1,AQ$3,'702-798'!23:23)</f>
        <v>0</v>
      </c>
      <c r="AR75" s="128">
        <f>SUMIF('702-798'!$1:$1,AR$3,'702-798'!23:23)</f>
        <v>17662.719999999998</v>
      </c>
      <c r="AS75" s="128">
        <f>SUMIF('702-798'!$1:$1,AS$3,'702-798'!23:23)</f>
        <v>2063.1799999999994</v>
      </c>
      <c r="AT75" s="128">
        <f>SUMIF('702-798'!$1:$1,AT$3,'702-798'!23:23)</f>
        <v>2840.2000000000003</v>
      </c>
      <c r="AU75" s="128">
        <f>SUMIF('702-798'!$1:$1,AU$3,'702-798'!23:23)</f>
        <v>4243.7600000000011</v>
      </c>
      <c r="AV75" s="128">
        <f>SUMIF('702-798'!$1:$1,AV$3,'702-798'!23:23)</f>
        <v>34819.24</v>
      </c>
      <c r="AW75" s="128">
        <f>SUMIF('702-798'!$1:$1,AW$3,'702-798'!23:23)</f>
        <v>61255.42</v>
      </c>
      <c r="AX75" s="128">
        <f>SUMIF('702-798'!$1:$1,AX$3,'702-798'!23:23)</f>
        <v>6481.32</v>
      </c>
      <c r="AY75" s="128">
        <f>SUMIF('702-798'!$1:$1,AY$3,'702-798'!23:23)</f>
        <v>80313.800000000017</v>
      </c>
      <c r="AZ75" s="314">
        <f>SUMIF('702-798'!$1:$1,AZ$3,'702-798'!23:23)</f>
        <v>0</v>
      </c>
      <c r="BA75" s="128">
        <f>SUMIF('702-798'!$1:$1,BA$3,'702-798'!23:23)</f>
        <v>1101.48</v>
      </c>
      <c r="BB75" s="128">
        <f>SUMIF('702-798'!$1:$1,BB$3,'702-798'!23:23)</f>
        <v>0</v>
      </c>
      <c r="BC75" s="128">
        <f>SUMIF('702-798'!$1:$1,BC$3,'702-798'!23:23)</f>
        <v>8729.7999999999993</v>
      </c>
      <c r="BD75" s="128">
        <f>SUMIF('702-798'!$1:$1,BD$3,'702-798'!23:23)</f>
        <v>8485.35</v>
      </c>
      <c r="BE75" s="128">
        <f>SUMIF('702-798'!$1:$1,BE$3,'702-798'!23:23)</f>
        <v>0</v>
      </c>
      <c r="BF75" s="128">
        <f>SUMIF('702-798'!$1:$1,BF$3,'702-798'!23:23)</f>
        <v>0</v>
      </c>
      <c r="BG75" s="128">
        <f>SUMIF('702-798'!$1:$1,BG$3,'702-798'!23:23)</f>
        <v>6679.5</v>
      </c>
      <c r="BH75" s="128">
        <f>SUMIF('702-798'!$1:$1,BH$3,'702-798'!23:23)</f>
        <v>0</v>
      </c>
      <c r="BI75" s="128">
        <f>SUMIF('702-798'!$1:$1,BI$3,'702-798'!23:23)</f>
        <v>3829.13</v>
      </c>
      <c r="BJ75" s="128">
        <f>SUMIF('702-798'!$1:$1,BJ$3,'702-798'!23:23)</f>
        <v>13495</v>
      </c>
      <c r="BK75" s="128">
        <f>SUMIF('702-798'!$1:$1,BK$3,'702-798'!23:23)</f>
        <v>0</v>
      </c>
      <c r="BL75" s="128">
        <f>SUMIF('702-798'!$1:$1,BL$3,'702-798'!23:23)</f>
        <v>69737.740000000005</v>
      </c>
      <c r="BM75" s="128">
        <f>SUMIF('702-798'!$1:$1,BM$3,'702-798'!23:23)</f>
        <v>27570</v>
      </c>
      <c r="BN75" s="128">
        <f>SUMIF('702-798'!$1:$1,BN$3,'702-798'!23:23)</f>
        <v>14417.75</v>
      </c>
      <c r="BO75" s="128">
        <f>SUMIF('702-798'!$1:$1,BO$3,'702-798'!23:23)</f>
        <v>22914.59</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-7037.5</v>
      </c>
      <c r="BV75" s="128">
        <f>SUMIF('702-798'!$1:$1,BV$3,'702-798'!23:23)</f>
        <v>0</v>
      </c>
      <c r="BW75" s="128">
        <f>SUMIF('702-798'!$1:$1,BW$3,'702-798'!23:23)</f>
        <v>0</v>
      </c>
      <c r="BX75" s="128">
        <f>SUMIF('702-798'!$1:$1,BX$3,'702-798'!23:23)</f>
        <v>0</v>
      </c>
      <c r="BY75" s="128">
        <f>SUMIF('702-798'!$1:$1,BY$3,'702-798'!23:23)</f>
        <v>0</v>
      </c>
      <c r="BZ75" s="128">
        <f>SUMIF('702-798'!$1:$1,BZ$3,'702-798'!23:23)</f>
        <v>0</v>
      </c>
      <c r="CA75" s="314">
        <f>SUMIF('702-798'!$1:$1,CA$3,'702-798'!23:23)</f>
        <v>0</v>
      </c>
      <c r="CB75" s="128">
        <f>SUMIF('702-798'!$1:$1,CB$3,'702-798'!23:23)</f>
        <v>0</v>
      </c>
      <c r="CC75" s="128">
        <f>SUMIF('702-798'!$1:$1,CC$3,'702-798'!23:23)</f>
        <v>0</v>
      </c>
      <c r="CD75" s="128">
        <f>SUMIF('702-798'!$1:$1,CD$3,'702-798'!23:23)</f>
        <v>0</v>
      </c>
      <c r="CE75" s="128">
        <f>SUMIF('702-798'!$1:$1,CE$3,'702-798'!23:23)</f>
        <v>20729.32</v>
      </c>
      <c r="CF75" s="128">
        <f>SUMIF('702-798'!$1:$1,CF$3,'702-798'!23:23)</f>
        <v>0</v>
      </c>
      <c r="CG75" s="257">
        <f t="shared" si="32"/>
        <v>-626422.79000000062</v>
      </c>
      <c r="CJ75" s="122"/>
      <c r="CK75" s="169">
        <f>INDEX(SAP!C:C,MATCH('Actuals mapped to CFR'!A75,SAP!H:H,FALSE),1)</f>
        <v>-626422.79</v>
      </c>
      <c r="CL75" s="59">
        <f t="shared" si="33"/>
        <v>0</v>
      </c>
      <c r="CN75" s="81">
        <f t="shared" si="28"/>
        <v>1821939.4</v>
      </c>
      <c r="CO75" s="81">
        <f t="shared" si="29"/>
        <v>1807029.2199999997</v>
      </c>
      <c r="CP75" s="166">
        <f>VLOOKUP(B75,'2526 GBP Data input'!$A$4:$CA$230,38,FALSE)</f>
        <v>1741737</v>
      </c>
      <c r="CQ75" s="166">
        <f>VLOOKUP(B75,'2526 GBP Data input'!$A$4:$CA$230,73,FALSE)</f>
        <v>22571</v>
      </c>
      <c r="CR75" s="89">
        <f t="shared" si="25"/>
        <v>80202.399999999907</v>
      </c>
      <c r="CS75" s="83">
        <f t="shared" si="26"/>
        <v>80.059776704620958</v>
      </c>
      <c r="CT75" s="82">
        <f t="shared" si="30"/>
        <v>601511.99000000022</v>
      </c>
      <c r="CU75" s="82">
        <f t="shared" si="31"/>
        <v>24143.119999999999</v>
      </c>
      <c r="CV75" s="86">
        <f t="shared" si="27"/>
        <v>625655.11000000022</v>
      </c>
    </row>
    <row r="76" spans="1:108">
      <c r="A76" s="238">
        <v>107768</v>
      </c>
      <c r="B76" s="60">
        <v>768</v>
      </c>
      <c r="C76" s="60" t="s">
        <v>403</v>
      </c>
      <c r="D76" s="128">
        <f>SUMIF('702-798'!$1:$1,D$3,'702-798'!24:24)</f>
        <v>-58795.56</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-960195.86</v>
      </c>
      <c r="L76" s="128">
        <f>SUMIF('702-798'!$1:$1,L$3,'702-798'!24:24)</f>
        <v>0</v>
      </c>
      <c r="M76" s="128">
        <f>SUMIF('702-798'!$1:$1,M$3,'702-798'!24:24)</f>
        <v>-61430</v>
      </c>
      <c r="N76" s="128">
        <f>SUMIF('702-798'!$1:$1,N$3,'702-798'!24:24)</f>
        <v>0</v>
      </c>
      <c r="O76" s="128">
        <f>SUMIF('702-798'!$1:$1,O$3,'702-798'!24:24)</f>
        <v>-28709.040000000001</v>
      </c>
      <c r="P76" s="128">
        <f>SUMIF('702-798'!$1:$1,P$3,'702-798'!24:24)</f>
        <v>-76317</v>
      </c>
      <c r="Q76" s="128">
        <f>SUMIF('702-798'!$1:$1,Q$3,'702-798'!24:24)</f>
        <v>-900</v>
      </c>
      <c r="R76" s="128">
        <f>SUMIF('702-798'!$1:$1,R$3,'702-798'!24:24)</f>
        <v>0</v>
      </c>
      <c r="S76" s="128">
        <f>SUMIF('702-798'!$1:$1,S$3,'702-798'!24:24)</f>
        <v>-49119.8</v>
      </c>
      <c r="T76" s="128">
        <f>SUMIF('702-798'!$1:$1,T$3,'702-798'!24:24)</f>
        <v>-7702.0199999999995</v>
      </c>
      <c r="U76" s="128">
        <f>SUMIF('702-798'!$1:$1,U$3,'702-798'!24:24)</f>
        <v>0</v>
      </c>
      <c r="V76" s="128">
        <f>SUMIF('702-798'!$1:$1,V$3,'702-798'!24:24)</f>
        <v>0</v>
      </c>
      <c r="W76" s="128">
        <f>SUMIF('702-798'!$1:$1,W$3,'702-798'!24:24)</f>
        <v>-1761.1399999999999</v>
      </c>
      <c r="X76" s="128">
        <f>SUMIF('702-798'!$1:$1,X$3,'702-798'!24:24)</f>
        <v>-6228.9</v>
      </c>
      <c r="Y76" s="164">
        <f>SUMIF('702-798'!$1:$1,Y$3,'702-798'!24:24)</f>
        <v>0</v>
      </c>
      <c r="Z76" s="128">
        <f>SUMIF('702-798'!$1:$1,Z$3,'702-798'!24:24)</f>
        <v>0</v>
      </c>
      <c r="AA76" s="128">
        <f>SUMIF('702-798'!$1:$1,AA$3,'702-798'!24:24)</f>
        <v>0</v>
      </c>
      <c r="AB76" s="128">
        <f>SUMIF('702-798'!$1:$1,AB$3,'702-798'!24:24)</f>
        <v>0</v>
      </c>
      <c r="AC76" s="314">
        <f>SUMIF('702-798'!$1:$1,AC$3,'702-798'!24:24)</f>
        <v>0</v>
      </c>
      <c r="AD76" s="314">
        <f>SUMIF('702-798'!$1:$1,AD$3,'702-798'!24:24)</f>
        <v>0</v>
      </c>
      <c r="AE76" s="314">
        <f>SUMIF('702-798'!$1:$1,AE$3,'702-798'!24:24)</f>
        <v>0</v>
      </c>
      <c r="AF76" s="314">
        <f>SUMIF('702-798'!$1:$1,AF$3,'702-798'!24:24)</f>
        <v>0</v>
      </c>
      <c r="AG76" s="128">
        <f>SUMIF('702-798'!$1:$1,AG$3,'702-798'!24:24)</f>
        <v>578150.31000000006</v>
      </c>
      <c r="AH76" s="128">
        <f>SUMIF('702-798'!$1:$1,AH$3,'702-798'!24:24)</f>
        <v>10053.67</v>
      </c>
      <c r="AI76" s="128">
        <f>SUMIF('702-798'!$1:$1,AI$3,'702-798'!24:24)</f>
        <v>287910.41000000003</v>
      </c>
      <c r="AJ76" s="128">
        <f>SUMIF('702-798'!$1:$1,AJ$3,'702-798'!24:24)</f>
        <v>0</v>
      </c>
      <c r="AK76" s="128">
        <f>SUMIF('702-798'!$1:$1,AK$3,'702-798'!24:24)</f>
        <v>44462.850000000006</v>
      </c>
      <c r="AL76" s="128">
        <f>SUMIF('702-798'!$1:$1,AL$3,'702-798'!24:24)</f>
        <v>0</v>
      </c>
      <c r="AM76" s="128">
        <f>SUMIF('702-798'!$1:$1,AM$3,'702-798'!24:24)</f>
        <v>29010.510000000002</v>
      </c>
      <c r="AN76" s="128">
        <f>SUMIF('702-798'!$1:$1,AN$3,'702-798'!24:24)</f>
        <v>632.79</v>
      </c>
      <c r="AO76" s="128">
        <f>SUMIF('702-798'!$1:$1,AO$3,'702-798'!24:24)</f>
        <v>1955</v>
      </c>
      <c r="AP76" s="128">
        <f>SUMIF('702-798'!$1:$1,AP$3,'702-798'!24:24)</f>
        <v>539.85</v>
      </c>
      <c r="AQ76" s="128">
        <f>SUMIF('702-798'!$1:$1,AQ$3,'702-798'!24:24)</f>
        <v>0</v>
      </c>
      <c r="AR76" s="128">
        <f>SUMIF('702-798'!$1:$1,AR$3,'702-798'!24:24)</f>
        <v>27634.44</v>
      </c>
      <c r="AS76" s="128">
        <f>SUMIF('702-798'!$1:$1,AS$3,'702-798'!24:24)</f>
        <v>2195.8299999999995</v>
      </c>
      <c r="AT76" s="128">
        <f>SUMIF('702-798'!$1:$1,AT$3,'702-798'!24:24)</f>
        <v>31582.229999999992</v>
      </c>
      <c r="AU76" s="128">
        <f>SUMIF('702-798'!$1:$1,AU$3,'702-798'!24:24)</f>
        <v>4114.16</v>
      </c>
      <c r="AV76" s="128">
        <f>SUMIF('702-798'!$1:$1,AV$3,'702-798'!24:24)</f>
        <v>27146.809999999994</v>
      </c>
      <c r="AW76" s="128">
        <f>SUMIF('702-798'!$1:$1,AW$3,'702-798'!24:24)</f>
        <v>3343.3</v>
      </c>
      <c r="AX76" s="128">
        <f>SUMIF('702-798'!$1:$1,AX$3,'702-798'!24:24)</f>
        <v>4906.8899999999994</v>
      </c>
      <c r="AY76" s="128">
        <f>SUMIF('702-798'!$1:$1,AY$3,'702-798'!24:24)</f>
        <v>28373.979999999996</v>
      </c>
      <c r="AZ76" s="314">
        <f>SUMIF('702-798'!$1:$1,AZ$3,'702-798'!24:24)</f>
        <v>0</v>
      </c>
      <c r="BA76" s="128">
        <f>SUMIF('702-798'!$1:$1,BA$3,'702-798'!24:24)</f>
        <v>2132</v>
      </c>
      <c r="BB76" s="128">
        <f>SUMIF('702-798'!$1:$1,BB$3,'702-798'!24:24)</f>
        <v>0</v>
      </c>
      <c r="BC76" s="128">
        <f>SUMIF('702-798'!$1:$1,BC$3,'702-798'!24:24)</f>
        <v>1467.8600000000001</v>
      </c>
      <c r="BD76" s="128">
        <f>SUMIF('702-798'!$1:$1,BD$3,'702-798'!24:24)</f>
        <v>13275.93</v>
      </c>
      <c r="BE76" s="128">
        <f>SUMIF('702-798'!$1:$1,BE$3,'702-798'!24:24)</f>
        <v>0</v>
      </c>
      <c r="BF76" s="128">
        <f>SUMIF('702-798'!$1:$1,BF$3,'702-798'!24:24)</f>
        <v>0</v>
      </c>
      <c r="BG76" s="128">
        <f>SUMIF('702-798'!$1:$1,BG$3,'702-798'!24:24)</f>
        <v>1858.5</v>
      </c>
      <c r="BH76" s="128">
        <f>SUMIF('702-798'!$1:$1,BH$3,'702-798'!24:24)</f>
        <v>0</v>
      </c>
      <c r="BI76" s="128">
        <f>SUMIF('702-798'!$1:$1,BI$3,'702-798'!24:24)</f>
        <v>6894.28</v>
      </c>
      <c r="BJ76" s="128">
        <f>SUMIF('702-798'!$1:$1,BJ$3,'702-798'!24:24)</f>
        <v>9554.4599999999991</v>
      </c>
      <c r="BK76" s="128">
        <f>SUMIF('702-798'!$1:$1,BK$3,'702-798'!24:24)</f>
        <v>0</v>
      </c>
      <c r="BL76" s="128">
        <f>SUMIF('702-798'!$1:$1,BL$3,'702-798'!24:24)</f>
        <v>66829.310000000012</v>
      </c>
      <c r="BM76" s="128">
        <f>SUMIF('702-798'!$1:$1,BM$3,'702-798'!24:24)</f>
        <v>8678</v>
      </c>
      <c r="BN76" s="128">
        <f>SUMIF('702-798'!$1:$1,BN$3,'702-798'!24:24)</f>
        <v>5686</v>
      </c>
      <c r="BO76" s="128">
        <f>SUMIF('702-798'!$1:$1,BO$3,'702-798'!24:24)</f>
        <v>14963.710000000003</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2517.56</v>
      </c>
      <c r="BZ76" s="128">
        <f>SUMIF('702-798'!$1:$1,BZ$3,'702-798'!24:24)</f>
        <v>0</v>
      </c>
      <c r="CA76" s="314">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7">
        <f t="shared" si="32"/>
        <v>-35288.679999999818</v>
      </c>
      <c r="CJ76" s="122"/>
      <c r="CK76" s="169">
        <f>INDEX(SAP!C:C,MATCH('Actuals mapped to CFR'!A76,SAP!H:H,FALSE),1)</f>
        <v>-35288.68</v>
      </c>
      <c r="CL76" s="59">
        <f t="shared" si="33"/>
        <v>0</v>
      </c>
      <c r="CN76" s="81">
        <f t="shared" si="28"/>
        <v>1192363.7599999998</v>
      </c>
      <c r="CO76" s="81">
        <f t="shared" si="29"/>
        <v>1213353.0799999998</v>
      </c>
      <c r="CP76" s="166">
        <f>VLOOKUP(B76,'2526 GBP Data input'!$A$4:$CA$230,38,FALSE)</f>
        <v>1155434</v>
      </c>
      <c r="CQ76" s="166">
        <f>VLOOKUP(B76,'2526 GBP Data input'!$A$4:$CA$230,73,FALSE)</f>
        <v>8683</v>
      </c>
      <c r="CR76" s="89">
        <f t="shared" si="25"/>
        <v>36929.759999999776</v>
      </c>
      <c r="CS76" s="83">
        <f t="shared" si="26"/>
        <v>139.73892433490727</v>
      </c>
      <c r="CT76" s="82">
        <f t="shared" si="30"/>
        <v>37806.239999999991</v>
      </c>
      <c r="CU76" s="82">
        <f t="shared" si="31"/>
        <v>-2517.56</v>
      </c>
      <c r="CV76" s="86">
        <f t="shared" si="27"/>
        <v>35288.679999999993</v>
      </c>
    </row>
    <row r="77" spans="1:108" ht="13.5" thickBot="1">
      <c r="A77" s="238">
        <v>107769</v>
      </c>
      <c r="B77" s="60">
        <v>769</v>
      </c>
      <c r="C77" s="60" t="s">
        <v>404</v>
      </c>
      <c r="D77" s="128">
        <f>SUMIF('702-798'!$1:$1,D$3,'702-798'!25:25)</f>
        <v>-125593.75</v>
      </c>
      <c r="E77" s="128">
        <f>SUMIF('702-798'!$1:$1,E$3,'702-798'!25:25)</f>
        <v>-13250.74</v>
      </c>
      <c r="F77" s="128">
        <f>SUMIF('702-798'!$1:$1,F$3,'702-798'!25:25)</f>
        <v>0</v>
      </c>
      <c r="G77" s="128">
        <f>SUMIF('702-798'!$1:$1,G$3,'702-798'!25:25)</f>
        <v>-550.66</v>
      </c>
      <c r="H77" s="128">
        <f>SUMIF('702-798'!$1:$1,H$3,'702-798'!25:25)</f>
        <v>0</v>
      </c>
      <c r="I77" s="128">
        <f>SUMIF('702-798'!$1:$1,I$3,'702-798'!25:25)</f>
        <v>0</v>
      </c>
      <c r="J77" s="128">
        <f>SUMIF('702-798'!$1:$1,J$3,'702-798'!25:25)</f>
        <v>-25289</v>
      </c>
      <c r="K77" s="128">
        <f>SUMIF('702-798'!$1:$1,K$3,'702-798'!25:25)</f>
        <v>-1102038.28</v>
      </c>
      <c r="L77" s="128">
        <f>SUMIF('702-798'!$1:$1,L$3,'702-798'!25:25)</f>
        <v>0</v>
      </c>
      <c r="M77" s="128">
        <f>SUMIF('702-798'!$1:$1,M$3,'702-798'!25:25)</f>
        <v>-51239</v>
      </c>
      <c r="N77" s="128">
        <f>SUMIF('702-798'!$1:$1,N$3,'702-798'!25:25)</f>
        <v>0</v>
      </c>
      <c r="O77" s="128">
        <f>SUMIF('702-798'!$1:$1,O$3,'702-798'!25:25)</f>
        <v>-26820</v>
      </c>
      <c r="P77" s="128">
        <f>SUMIF('702-798'!$1:$1,P$3,'702-798'!25:25)</f>
        <v>-57999</v>
      </c>
      <c r="Q77" s="128">
        <f>SUMIF('702-798'!$1:$1,Q$3,'702-798'!25:25)</f>
        <v>-2500</v>
      </c>
      <c r="R77" s="128">
        <f>SUMIF('702-798'!$1:$1,R$3,'702-798'!25:25)</f>
        <v>0</v>
      </c>
      <c r="S77" s="128">
        <f>SUMIF('702-798'!$1:$1,S$3,'702-798'!25:25)</f>
        <v>-43382.859999999979</v>
      </c>
      <c r="T77" s="128">
        <f>SUMIF('702-798'!$1:$1,T$3,'702-798'!25:25)</f>
        <v>-18175.119999999995</v>
      </c>
      <c r="U77" s="128">
        <f>SUMIF('702-798'!$1:$1,U$3,'702-798'!25:25)</f>
        <v>0</v>
      </c>
      <c r="V77" s="128">
        <f>SUMIF('702-798'!$1:$1,V$3,'702-798'!25:25)</f>
        <v>0</v>
      </c>
      <c r="W77" s="128">
        <f>SUMIF('702-798'!$1:$1,W$3,'702-798'!25:25)</f>
        <v>-25941.070000000011</v>
      </c>
      <c r="X77" s="128">
        <f>SUMIF('702-798'!$1:$1,X$3,'702-798'!25:25)</f>
        <v>-2261.7300000000005</v>
      </c>
      <c r="Y77" s="164">
        <f>SUMIF('702-798'!$1:$1,Y$3,'702-798'!25:25)</f>
        <v>0</v>
      </c>
      <c r="Z77" s="128">
        <f>SUMIF('702-798'!$1:$1,Z$3,'702-798'!25:25)</f>
        <v>0</v>
      </c>
      <c r="AA77" s="128">
        <f>SUMIF('702-798'!$1:$1,AA$3,'702-798'!25:25)</f>
        <v>-75688.949999999983</v>
      </c>
      <c r="AB77" s="128">
        <f>SUMIF('702-798'!$1:$1,AB$3,'702-798'!25:25)</f>
        <v>-3713.2500000000018</v>
      </c>
      <c r="AC77" s="314">
        <f>SUMIF('702-798'!$1:$1,AC$3,'702-798'!25:25)</f>
        <v>0</v>
      </c>
      <c r="AD77" s="314">
        <f>SUMIF('702-798'!$1:$1,AD$3,'702-798'!25:25)</f>
        <v>0</v>
      </c>
      <c r="AE77" s="314">
        <f>SUMIF('702-798'!$1:$1,AE$3,'702-798'!25:25)</f>
        <v>0</v>
      </c>
      <c r="AF77" s="314">
        <f>SUMIF('702-798'!$1:$1,AF$3,'702-798'!25:25)</f>
        <v>0</v>
      </c>
      <c r="AG77" s="128">
        <f>SUMIF('702-798'!$1:$1,AG$3,'702-798'!25:25)</f>
        <v>618201.28999999992</v>
      </c>
      <c r="AH77" s="128">
        <f>SUMIF('702-798'!$1:$1,AH$3,'702-798'!25:25)</f>
        <v>26966.7</v>
      </c>
      <c r="AI77" s="128">
        <f>SUMIF('702-798'!$1:$1,AI$3,'702-798'!25:25)</f>
        <v>251258.59</v>
      </c>
      <c r="AJ77" s="128">
        <f>SUMIF('702-798'!$1:$1,AJ$3,'702-798'!25:25)</f>
        <v>29924.67</v>
      </c>
      <c r="AK77" s="128">
        <f>SUMIF('702-798'!$1:$1,AK$3,'702-798'!25:25)</f>
        <v>81085</v>
      </c>
      <c r="AL77" s="128">
        <f>SUMIF('702-798'!$1:$1,AL$3,'702-798'!25:25)</f>
        <v>36942.79</v>
      </c>
      <c r="AM77" s="128">
        <f>SUMIF('702-798'!$1:$1,AM$3,'702-798'!25:25)</f>
        <v>46457.159999999996</v>
      </c>
      <c r="AN77" s="128">
        <f>SUMIF('702-798'!$1:$1,AN$3,'702-798'!25:25)</f>
        <v>659.9</v>
      </c>
      <c r="AO77" s="128">
        <f>SUMIF('702-798'!$1:$1,AO$3,'702-798'!25:25)</f>
        <v>3945</v>
      </c>
      <c r="AP77" s="128">
        <f>SUMIF('702-798'!$1:$1,AP$3,'702-798'!25:25)</f>
        <v>484.95</v>
      </c>
      <c r="AQ77" s="128">
        <f>SUMIF('702-798'!$1:$1,AQ$3,'702-798'!25:25)</f>
        <v>0</v>
      </c>
      <c r="AR77" s="128">
        <f>SUMIF('702-798'!$1:$1,AR$3,'702-798'!25:25)</f>
        <v>12368.609999999999</v>
      </c>
      <c r="AS77" s="128">
        <f>SUMIF('702-798'!$1:$1,AS$3,'702-798'!25:25)</f>
        <v>3116.3899999999994</v>
      </c>
      <c r="AT77" s="128">
        <f>SUMIF('702-798'!$1:$1,AT$3,'702-798'!25:25)</f>
        <v>7423.6600000000008</v>
      </c>
      <c r="AU77" s="128">
        <f>SUMIF('702-798'!$1:$1,AU$3,'702-798'!25:25)</f>
        <v>4227.4199999999992</v>
      </c>
      <c r="AV77" s="128">
        <f>SUMIF('702-798'!$1:$1,AV$3,'702-798'!25:25)</f>
        <v>25062.919999999995</v>
      </c>
      <c r="AW77" s="128">
        <f>SUMIF('702-798'!$1:$1,AW$3,'702-798'!25:25)</f>
        <v>5189.6000000000004</v>
      </c>
      <c r="AX77" s="128">
        <f>SUMIF('702-798'!$1:$1,AX$3,'702-798'!25:25)</f>
        <v>5485.63</v>
      </c>
      <c r="AY77" s="128">
        <f>SUMIF('702-798'!$1:$1,AY$3,'702-798'!25:25)</f>
        <v>57186.330000000016</v>
      </c>
      <c r="AZ77" s="314">
        <f>SUMIF('702-798'!$1:$1,AZ$3,'702-798'!25:25)</f>
        <v>0</v>
      </c>
      <c r="BA77" s="128">
        <f>SUMIF('702-798'!$1:$1,BA$3,'702-798'!25:25)</f>
        <v>4915.08</v>
      </c>
      <c r="BB77" s="128">
        <f>SUMIF('702-798'!$1:$1,BB$3,'702-798'!25:25)</f>
        <v>750</v>
      </c>
      <c r="BC77" s="128">
        <f>SUMIF('702-798'!$1:$1,BC$3,'702-798'!25:25)</f>
        <v>0</v>
      </c>
      <c r="BD77" s="128">
        <f>SUMIF('702-798'!$1:$1,BD$3,'702-798'!25:25)</f>
        <v>4142.91</v>
      </c>
      <c r="BE77" s="128">
        <f>SUMIF('702-798'!$1:$1,BE$3,'702-798'!25:25)</f>
        <v>16537.27</v>
      </c>
      <c r="BF77" s="128">
        <f>SUMIF('702-798'!$1:$1,BF$3,'702-798'!25:25)</f>
        <v>0</v>
      </c>
      <c r="BG77" s="128">
        <f>SUMIF('702-798'!$1:$1,BG$3,'702-798'!25:25)</f>
        <v>5218</v>
      </c>
      <c r="BH77" s="128">
        <f>SUMIF('702-798'!$1:$1,BH$3,'702-798'!25:25)</f>
        <v>30.000000000000007</v>
      </c>
      <c r="BI77" s="128">
        <f>SUMIF('702-798'!$1:$1,BI$3,'702-798'!25:25)</f>
        <v>5428.87</v>
      </c>
      <c r="BJ77" s="128">
        <f>SUMIF('702-798'!$1:$1,BJ$3,'702-798'!25:25)</f>
        <v>8582.82</v>
      </c>
      <c r="BK77" s="128">
        <f>SUMIF('702-798'!$1:$1,BK$3,'702-798'!25:25)</f>
        <v>0</v>
      </c>
      <c r="BL77" s="128">
        <f>SUMIF('702-798'!$1:$1,BL$3,'702-798'!25:25)</f>
        <v>29335.680000000008</v>
      </c>
      <c r="BM77" s="128">
        <f>SUMIF('702-798'!$1:$1,BM$3,'702-798'!25:25)</f>
        <v>465</v>
      </c>
      <c r="BN77" s="128">
        <f>SUMIF('702-798'!$1:$1,BN$3,'702-798'!25:25)</f>
        <v>14743</v>
      </c>
      <c r="BO77" s="128">
        <f>SUMIF('702-798'!$1:$1,BO$3,'702-798'!25:25)</f>
        <v>22463.850000000002</v>
      </c>
      <c r="BP77" s="128">
        <f>SUMIF('702-798'!$1:$1,BP$3,'702-798'!25:25)</f>
        <v>0</v>
      </c>
      <c r="BQ77" s="128">
        <f>SUMIF('702-798'!$1:$1,BQ$3,'702-798'!25:25)</f>
        <v>0</v>
      </c>
      <c r="BR77" s="128">
        <f>SUMIF('702-798'!$1:$1,BR$3,'702-798'!25:25)</f>
        <v>2642.8900000000003</v>
      </c>
      <c r="BS77" s="128">
        <f>SUMIF('702-798'!$1:$1,BS$3,'702-798'!25:25)</f>
        <v>73286.67</v>
      </c>
      <c r="BT77" s="128">
        <f>SUMIF('702-798'!$1:$1,BT$3,'702-798'!25:25)</f>
        <v>523.32999999999993</v>
      </c>
      <c r="BU77" s="128">
        <f>SUMIF('702-798'!$1:$1,BU$3,'702-798'!25:25)</f>
        <v>-4348.75</v>
      </c>
      <c r="BV77" s="128">
        <f>SUMIF('702-798'!$1:$1,BV$3,'702-798'!25:25)</f>
        <v>0</v>
      </c>
      <c r="BW77" s="128">
        <f>SUMIF('702-798'!$1:$1,BW$3,'702-798'!25:25)</f>
        <v>0</v>
      </c>
      <c r="BX77" s="128">
        <f>SUMIF('702-798'!$1:$1,BX$3,'702-798'!25:25)</f>
        <v>0</v>
      </c>
      <c r="BY77" s="128">
        <f>SUMIF('702-798'!$1:$1,BY$3,'702-798'!25:25)</f>
        <v>0</v>
      </c>
      <c r="BZ77" s="128">
        <f>SUMIF('702-798'!$1:$1,BZ$3,'702-798'!25:25)</f>
        <v>0</v>
      </c>
      <c r="CA77" s="314">
        <f>SUMIF('702-798'!$1:$1,CA$3,'702-798'!25:25)</f>
        <v>0</v>
      </c>
      <c r="CB77" s="128">
        <f>SUMIF('702-798'!$1:$1,CB$3,'702-798'!25:25)</f>
        <v>0</v>
      </c>
      <c r="CC77" s="128">
        <f>SUMIF('702-798'!$1:$1,CC$3,'702-798'!25:25)</f>
        <v>0</v>
      </c>
      <c r="CD77" s="128">
        <f>SUMIF('702-798'!$1:$1,CD$3,'702-798'!25:25)</f>
        <v>0</v>
      </c>
      <c r="CE77" s="128">
        <f>SUMIF('702-798'!$1:$1,CE$3,'702-798'!25:25)</f>
        <v>4922</v>
      </c>
      <c r="CF77" s="128">
        <f>SUMIF('702-798'!$1:$1,CF$3,'702-798'!25:25)</f>
        <v>0</v>
      </c>
      <c r="CG77" s="257">
        <f t="shared" si="32"/>
        <v>-168818.17999999979</v>
      </c>
      <c r="CJ77" s="122"/>
      <c r="CK77" s="169">
        <f>INDEX(SAP!C:C,MATCH('Actuals mapped to CFR'!A77,SAP!H:H,FALSE),1)</f>
        <v>-168818.18</v>
      </c>
      <c r="CL77" s="59">
        <f t="shared" si="33"/>
        <v>0</v>
      </c>
      <c r="CN77" s="81">
        <f t="shared" si="28"/>
        <v>1409759.2599999998</v>
      </c>
      <c r="CO77" s="81">
        <f t="shared" si="29"/>
        <v>1405051.9799999997</v>
      </c>
      <c r="CP77" s="166">
        <f>VLOOKUP(B77,'2526 GBP Data input'!$A$4:$CA$230,38,FALSE)</f>
        <v>1328845</v>
      </c>
      <c r="CQ77" s="166">
        <f>VLOOKUP(B77,'2526 GBP Data input'!$A$4:$CA$230,73,FALSE)</f>
        <v>16156</v>
      </c>
      <c r="CR77" s="112">
        <f t="shared" si="25"/>
        <v>80914.259999999776</v>
      </c>
      <c r="CS77" s="113">
        <f t="shared" si="26"/>
        <v>86.967812577370623</v>
      </c>
      <c r="CT77" s="82">
        <f t="shared" si="30"/>
        <v>130301.03000000003</v>
      </c>
      <c r="CU77" s="82">
        <f t="shared" si="31"/>
        <v>4899.41</v>
      </c>
      <c r="CV77" s="86">
        <f t="shared" si="27"/>
        <v>135200.44000000003</v>
      </c>
    </row>
    <row r="78" spans="1:108" s="115" customFormat="1" ht="13.5" thickBot="1">
      <c r="A78" s="238">
        <v>107771</v>
      </c>
      <c r="B78" s="60">
        <v>771</v>
      </c>
      <c r="C78" s="60" t="s">
        <v>186</v>
      </c>
      <c r="D78" s="128">
        <f>SUMIF('702-798'!$1:$1,D$3,'702-798'!26:26)</f>
        <v>-83788.73</v>
      </c>
      <c r="E78" s="128">
        <f>SUMIF('702-798'!$1:$1,E$3,'702-798'!26:26)</f>
        <v>-11445.07</v>
      </c>
      <c r="F78" s="128">
        <f>SUMIF('702-798'!$1:$1,F$3,'702-798'!26:26)</f>
        <v>0</v>
      </c>
      <c r="G78" s="128">
        <f>SUMIF('702-798'!$1:$1,G$3,'702-798'!26:26)</f>
        <v>0</v>
      </c>
      <c r="H78" s="128">
        <f>SUMIF('702-798'!$1:$1,H$3,'702-798'!26:26)</f>
        <v>0</v>
      </c>
      <c r="I78" s="128">
        <f>SUMIF('702-798'!$1:$1,I$3,'702-798'!26:26)</f>
        <v>0</v>
      </c>
      <c r="J78" s="128">
        <f>SUMIF('702-798'!$1:$1,J$3,'702-798'!26:26)</f>
        <v>0</v>
      </c>
      <c r="K78" s="128">
        <f>SUMIF('702-798'!$1:$1,K$3,'702-798'!26:26)</f>
        <v>-456640.15</v>
      </c>
      <c r="L78" s="128">
        <f>SUMIF('702-798'!$1:$1,L$3,'702-798'!26:26)</f>
        <v>0</v>
      </c>
      <c r="M78" s="128">
        <f>SUMIF('702-798'!$1:$1,M$3,'702-798'!26:26)</f>
        <v>-40084</v>
      </c>
      <c r="N78" s="128">
        <f>SUMIF('702-798'!$1:$1,N$3,'702-798'!26:26)</f>
        <v>0</v>
      </c>
      <c r="O78" s="128">
        <f>SUMIF('702-798'!$1:$1,O$3,'702-798'!26:26)</f>
        <v>-22210</v>
      </c>
      <c r="P78" s="128">
        <f>SUMIF('702-798'!$1:$1,P$3,'702-798'!26:26)</f>
        <v>-60580</v>
      </c>
      <c r="Q78" s="128">
        <f>SUMIF('702-798'!$1:$1,Q$3,'702-798'!26:26)</f>
        <v>0</v>
      </c>
      <c r="R78" s="128">
        <f>SUMIF('702-798'!$1:$1,R$3,'702-798'!26:26)</f>
        <v>0</v>
      </c>
      <c r="S78" s="128">
        <f>SUMIF('702-798'!$1:$1,S$3,'702-798'!26:26)</f>
        <v>-20957.750000000015</v>
      </c>
      <c r="T78" s="128">
        <f>SUMIF('702-798'!$1:$1,T$3,'702-798'!26:26)</f>
        <v>-0.97000000000000597</v>
      </c>
      <c r="U78" s="128">
        <f>SUMIF('702-798'!$1:$1,U$3,'702-798'!26:26)</f>
        <v>0</v>
      </c>
      <c r="V78" s="128">
        <f>SUMIF('702-798'!$1:$1,V$3,'702-798'!26:26)</f>
        <v>-216</v>
      </c>
      <c r="W78" s="128">
        <f>SUMIF('702-798'!$1:$1,W$3,'702-798'!26:26)</f>
        <v>-9668.7699999999986</v>
      </c>
      <c r="X78" s="128">
        <f>SUMIF('702-798'!$1:$1,X$3,'702-798'!26:26)</f>
        <v>-1302.49</v>
      </c>
      <c r="Y78" s="164">
        <f>SUMIF('702-798'!$1:$1,Y$3,'702-798'!26:26)</f>
        <v>0</v>
      </c>
      <c r="Z78" s="128">
        <f>SUMIF('702-798'!$1:$1,Z$3,'702-798'!26:26)</f>
        <v>0</v>
      </c>
      <c r="AA78" s="128">
        <f>SUMIF('702-798'!$1:$1,AA$3,'702-798'!26:26)</f>
        <v>-2201.7299999999996</v>
      </c>
      <c r="AB78" s="128">
        <f>SUMIF('702-798'!$1:$1,AB$3,'702-798'!26:26)</f>
        <v>0</v>
      </c>
      <c r="AC78" s="314">
        <f>SUMIF('702-798'!$1:$1,AC$3,'702-798'!26:26)</f>
        <v>0</v>
      </c>
      <c r="AD78" s="314">
        <f>SUMIF('702-798'!$1:$1,AD$3,'702-798'!26:26)</f>
        <v>0</v>
      </c>
      <c r="AE78" s="314">
        <f>SUMIF('702-798'!$1:$1,AE$3,'702-798'!26:26)</f>
        <v>0</v>
      </c>
      <c r="AF78" s="314">
        <f>SUMIF('702-798'!$1:$1,AF$3,'702-798'!26:26)</f>
        <v>0</v>
      </c>
      <c r="AG78" s="128">
        <f>SUMIF('702-798'!$1:$1,AG$3,'702-798'!26:26)</f>
        <v>265107.84999999998</v>
      </c>
      <c r="AH78" s="128">
        <f>SUMIF('702-798'!$1:$1,AH$3,'702-798'!26:26)</f>
        <v>8505.880000000001</v>
      </c>
      <c r="AI78" s="128">
        <f>SUMIF('702-798'!$1:$1,AI$3,'702-798'!26:26)</f>
        <v>81280.450000000012</v>
      </c>
      <c r="AJ78" s="128">
        <f>SUMIF('702-798'!$1:$1,AJ$3,'702-798'!26:26)</f>
        <v>1355.8999999999999</v>
      </c>
      <c r="AK78" s="128">
        <f>SUMIF('702-798'!$1:$1,AK$3,'702-798'!26:26)</f>
        <v>49832.42</v>
      </c>
      <c r="AL78" s="128">
        <f>SUMIF('702-798'!$1:$1,AL$3,'702-798'!26:26)</f>
        <v>0</v>
      </c>
      <c r="AM78" s="128">
        <f>SUMIF('702-798'!$1:$1,AM$3,'702-798'!26:26)</f>
        <v>24051.149999999998</v>
      </c>
      <c r="AN78" s="128">
        <f>SUMIF('702-798'!$1:$1,AN$3,'702-798'!26:26)</f>
        <v>326.96000000000004</v>
      </c>
      <c r="AO78" s="128">
        <f>SUMIF('702-798'!$1:$1,AO$3,'702-798'!26:26)</f>
        <v>1716</v>
      </c>
      <c r="AP78" s="128">
        <f>SUMIF('702-798'!$1:$1,AP$3,'702-798'!26:26)</f>
        <v>2795.1000000000004</v>
      </c>
      <c r="AQ78" s="128">
        <f>SUMIF('702-798'!$1:$1,AQ$3,'702-798'!26:26)</f>
        <v>152.04</v>
      </c>
      <c r="AR78" s="128">
        <f>SUMIF('702-798'!$1:$1,AR$3,'702-798'!26:26)</f>
        <v>5244.14</v>
      </c>
      <c r="AS78" s="128">
        <f>SUMIF('702-798'!$1:$1,AS$3,'702-798'!26:26)</f>
        <v>2630.9700000000003</v>
      </c>
      <c r="AT78" s="128">
        <f>SUMIF('702-798'!$1:$1,AT$3,'702-798'!26:26)</f>
        <v>10978.159999999998</v>
      </c>
      <c r="AU78" s="128">
        <f>SUMIF('702-798'!$1:$1,AU$3,'702-798'!26:26)</f>
        <v>531.08999999999992</v>
      </c>
      <c r="AV78" s="128">
        <f>SUMIF('702-798'!$1:$1,AV$3,'702-798'!26:26)</f>
        <v>10513.869999999999</v>
      </c>
      <c r="AW78" s="128">
        <f>SUMIF('702-798'!$1:$1,AW$3,'702-798'!26:26)</f>
        <v>938.12</v>
      </c>
      <c r="AX78" s="128">
        <f>SUMIF('702-798'!$1:$1,AX$3,'702-798'!26:26)</f>
        <v>2210.52</v>
      </c>
      <c r="AY78" s="128">
        <f>SUMIF('702-798'!$1:$1,AY$3,'702-798'!26:26)</f>
        <v>20450.86</v>
      </c>
      <c r="AZ78" s="314">
        <f>SUMIF('702-798'!$1:$1,AZ$3,'702-798'!26:26)</f>
        <v>0</v>
      </c>
      <c r="BA78" s="128">
        <f>SUMIF('702-798'!$1:$1,BA$3,'702-798'!26:26)</f>
        <v>1000</v>
      </c>
      <c r="BB78" s="128">
        <f>SUMIF('702-798'!$1:$1,BB$3,'702-798'!26:26)</f>
        <v>0</v>
      </c>
      <c r="BC78" s="128">
        <f>SUMIF('702-798'!$1:$1,BC$3,'702-798'!26:26)</f>
        <v>2884.2</v>
      </c>
      <c r="BD78" s="128">
        <f>SUMIF('702-798'!$1:$1,BD$3,'702-798'!26:26)</f>
        <v>5890.57</v>
      </c>
      <c r="BE78" s="128">
        <f>SUMIF('702-798'!$1:$1,BE$3,'702-798'!26:26)</f>
        <v>878</v>
      </c>
      <c r="BF78" s="128">
        <f>SUMIF('702-798'!$1:$1,BF$3,'702-798'!26:26)</f>
        <v>0</v>
      </c>
      <c r="BG78" s="128">
        <f>SUMIF('702-798'!$1:$1,BG$3,'702-798'!26:26)</f>
        <v>5836</v>
      </c>
      <c r="BH78" s="128">
        <f>SUMIF('702-798'!$1:$1,BH$3,'702-798'!26:26)</f>
        <v>0</v>
      </c>
      <c r="BI78" s="128">
        <f>SUMIF('702-798'!$1:$1,BI$3,'702-798'!26:26)</f>
        <v>1989.67</v>
      </c>
      <c r="BJ78" s="128">
        <f>SUMIF('702-798'!$1:$1,BJ$3,'702-798'!26:26)</f>
        <v>2752.98</v>
      </c>
      <c r="BK78" s="128">
        <f>SUMIF('702-798'!$1:$1,BK$3,'702-798'!26:26)</f>
        <v>0</v>
      </c>
      <c r="BL78" s="128">
        <f>SUMIF('702-798'!$1:$1,BL$3,'702-798'!26:26)</f>
        <v>14716.54</v>
      </c>
      <c r="BM78" s="128">
        <f>SUMIF('702-798'!$1:$1,BM$3,'702-798'!26:26)</f>
        <v>0</v>
      </c>
      <c r="BN78" s="128">
        <f>SUMIF('702-798'!$1:$1,BN$3,'702-798'!26:26)</f>
        <v>23460.5</v>
      </c>
      <c r="BO78" s="128">
        <f>SUMIF('702-798'!$1:$1,BO$3,'702-798'!26:26)</f>
        <v>13991.66</v>
      </c>
      <c r="BP78" s="128">
        <f>SUMIF('702-798'!$1:$1,BP$3,'702-798'!26:26)</f>
        <v>0</v>
      </c>
      <c r="BQ78" s="128">
        <f>SUMIF('702-798'!$1:$1,BQ$3,'702-798'!26:26)</f>
        <v>0</v>
      </c>
      <c r="BR78" s="128">
        <f>SUMIF('702-798'!$1:$1,BR$3,'702-798'!26:26)</f>
        <v>500</v>
      </c>
      <c r="BS78" s="128">
        <f>SUMIF('702-798'!$1:$1,BS$3,'702-798'!26:26)</f>
        <v>0</v>
      </c>
      <c r="BT78" s="128">
        <f>SUMIF('702-798'!$1:$1,BT$3,'702-798'!26:26)</f>
        <v>0</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4">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7">
        <f t="shared" si="32"/>
        <v>-146574.05999999988</v>
      </c>
      <c r="CH78"/>
      <c r="CI78"/>
      <c r="CJ78" s="122"/>
      <c r="CK78" s="169">
        <f>INDEX(SAP!C:C,MATCH('Actuals mapped to CFR'!A78,SAP!H:H,FALSE),1)</f>
        <v>-146574.06</v>
      </c>
      <c r="CL78" s="59">
        <f t="shared" si="33"/>
        <v>0</v>
      </c>
      <c r="CM78"/>
      <c r="CN78" s="81">
        <f t="shared" si="28"/>
        <v>613861.86</v>
      </c>
      <c r="CO78" s="81">
        <f t="shared" si="29"/>
        <v>562521.59999999998</v>
      </c>
      <c r="CP78" s="166">
        <f>VLOOKUP(B78,'2526 GBP Data input'!$A$4:$CA$230,38,FALSE)</f>
        <v>514222</v>
      </c>
      <c r="CQ78" s="166">
        <f>VLOOKUP(B78,'2526 GBP Data input'!$A$4:$CA$230,73,FALSE)</f>
        <v>20921</v>
      </c>
      <c r="CR78" s="114">
        <f t="shared" si="25"/>
        <v>99639.859999999986</v>
      </c>
      <c r="CS78" s="83">
        <f t="shared" si="26"/>
        <v>26.887892548157353</v>
      </c>
      <c r="CT78" s="82">
        <f t="shared" si="30"/>
        <v>135128.99</v>
      </c>
      <c r="CU78" s="82">
        <f t="shared" si="31"/>
        <v>0</v>
      </c>
      <c r="CV78" s="86">
        <f t="shared" si="27"/>
        <v>135128.99</v>
      </c>
      <c r="CW78"/>
      <c r="CX78"/>
      <c r="CY78"/>
      <c r="CZ78"/>
      <c r="DA78"/>
      <c r="DB78"/>
      <c r="DC78"/>
      <c r="DD78"/>
    </row>
    <row r="79" spans="1:108">
      <c r="A79" s="238">
        <v>107775</v>
      </c>
      <c r="B79" s="60">
        <v>775</v>
      </c>
      <c r="C79" s="60" t="s">
        <v>230</v>
      </c>
      <c r="D79" s="128">
        <f>SUMIF('702-798'!$1:$1,D$3,'702-798'!27:27)</f>
        <v>-119525.84</v>
      </c>
      <c r="E79" s="128">
        <f>SUMIF('702-798'!$1:$1,E$3,'702-798'!27:27)</f>
        <v>-15994.29</v>
      </c>
      <c r="F79" s="128">
        <f>SUMIF('702-798'!$1:$1,F$3,'702-798'!27:27)</f>
        <v>0</v>
      </c>
      <c r="G79" s="128">
        <f>SUMIF('702-798'!$1:$1,G$3,'702-798'!27:27)</f>
        <v>-29428.22</v>
      </c>
      <c r="H79" s="128">
        <f>SUMIF('702-798'!$1:$1,H$3,'702-798'!27:27)</f>
        <v>0</v>
      </c>
      <c r="I79" s="128">
        <f>SUMIF('702-798'!$1:$1,I$3,'702-798'!27:27)</f>
        <v>0</v>
      </c>
      <c r="J79" s="128">
        <f>SUMIF('702-798'!$1:$1,J$3,'702-798'!27:27)</f>
        <v>0</v>
      </c>
      <c r="K79" s="128">
        <f>SUMIF('702-798'!$1:$1,K$3,'702-798'!27:27)</f>
        <v>-719190.82</v>
      </c>
      <c r="L79" s="128">
        <f>SUMIF('702-798'!$1:$1,L$3,'702-798'!27:27)</f>
        <v>0</v>
      </c>
      <c r="M79" s="128">
        <f>SUMIF('702-798'!$1:$1,M$3,'702-798'!27:27)</f>
        <v>-66377</v>
      </c>
      <c r="N79" s="128">
        <f>SUMIF('702-798'!$1:$1,N$3,'702-798'!27:27)</f>
        <v>0</v>
      </c>
      <c r="O79" s="128">
        <f>SUMIF('702-798'!$1:$1,O$3,'702-798'!27:27)</f>
        <v>-32930</v>
      </c>
      <c r="P79" s="128">
        <f>SUMIF('702-798'!$1:$1,P$3,'702-798'!27:27)</f>
        <v>-31807</v>
      </c>
      <c r="Q79" s="128">
        <f>SUMIF('702-798'!$1:$1,Q$3,'702-798'!27:27)</f>
        <v>0</v>
      </c>
      <c r="R79" s="128">
        <f>SUMIF('702-798'!$1:$1,R$3,'702-798'!27:27)</f>
        <v>0</v>
      </c>
      <c r="S79" s="128">
        <f>SUMIF('702-798'!$1:$1,S$3,'702-798'!27:27)</f>
        <v>-11460.7</v>
      </c>
      <c r="T79" s="128">
        <f>SUMIF('702-798'!$1:$1,T$3,'702-798'!27:27)</f>
        <v>-7956.2600000000011</v>
      </c>
      <c r="U79" s="128">
        <f>SUMIF('702-798'!$1:$1,U$3,'702-798'!27:27)</f>
        <v>0</v>
      </c>
      <c r="V79" s="128">
        <f>SUMIF('702-798'!$1:$1,V$3,'702-798'!27:27)</f>
        <v>0</v>
      </c>
      <c r="W79" s="128">
        <f>SUMIF('702-798'!$1:$1,W$3,'702-798'!27:27)</f>
        <v>-13048.390000000007</v>
      </c>
      <c r="X79" s="128">
        <f>SUMIF('702-798'!$1:$1,X$3,'702-798'!27:27)</f>
        <v>-3792.73</v>
      </c>
      <c r="Y79" s="164">
        <f>SUMIF('702-798'!$1:$1,Y$3,'702-798'!27:27)</f>
        <v>0</v>
      </c>
      <c r="Z79" s="128">
        <f>SUMIF('702-798'!$1:$1,Z$3,'702-798'!27:27)</f>
        <v>0</v>
      </c>
      <c r="AA79" s="128">
        <f>SUMIF('702-798'!$1:$1,AA$3,'702-798'!27:27)</f>
        <v>0</v>
      </c>
      <c r="AB79" s="128">
        <f>SUMIF('702-798'!$1:$1,AB$3,'702-798'!27:27)</f>
        <v>3956.8599999999997</v>
      </c>
      <c r="AC79" s="314">
        <f>SUMIF('702-798'!$1:$1,AC$3,'702-798'!27:27)</f>
        <v>0</v>
      </c>
      <c r="AD79" s="314">
        <f>SUMIF('702-798'!$1:$1,AD$3,'702-798'!27:27)</f>
        <v>0</v>
      </c>
      <c r="AE79" s="314">
        <f>SUMIF('702-798'!$1:$1,AE$3,'702-798'!27:27)</f>
        <v>0</v>
      </c>
      <c r="AF79" s="314">
        <f>SUMIF('702-798'!$1:$1,AF$3,'702-798'!27:27)</f>
        <v>0</v>
      </c>
      <c r="AG79" s="128">
        <f>SUMIF('702-798'!$1:$1,AG$3,'702-798'!27:27)</f>
        <v>421519.81</v>
      </c>
      <c r="AH79" s="128">
        <f>SUMIF('702-798'!$1:$1,AH$3,'702-798'!27:27)</f>
        <v>2483.75</v>
      </c>
      <c r="AI79" s="128">
        <f>SUMIF('702-798'!$1:$1,AI$3,'702-798'!27:27)</f>
        <v>177839.62</v>
      </c>
      <c r="AJ79" s="128">
        <f>SUMIF('702-798'!$1:$1,AJ$3,'702-798'!27:27)</f>
        <v>21370.230000000003</v>
      </c>
      <c r="AK79" s="128">
        <f>SUMIF('702-798'!$1:$1,AK$3,'702-798'!27:27)</f>
        <v>36724.400000000001</v>
      </c>
      <c r="AL79" s="128">
        <f>SUMIF('702-798'!$1:$1,AL$3,'702-798'!27:27)</f>
        <v>0</v>
      </c>
      <c r="AM79" s="128">
        <f>SUMIF('702-798'!$1:$1,AM$3,'702-798'!27:27)</f>
        <v>29798.419999999995</v>
      </c>
      <c r="AN79" s="128">
        <f>SUMIF('702-798'!$1:$1,AN$3,'702-798'!27:27)</f>
        <v>2467</v>
      </c>
      <c r="AO79" s="128">
        <f>SUMIF('702-798'!$1:$1,AO$3,'702-798'!27:27)</f>
        <v>3966.49</v>
      </c>
      <c r="AP79" s="128">
        <f>SUMIF('702-798'!$1:$1,AP$3,'702-798'!27:27)</f>
        <v>1160.75</v>
      </c>
      <c r="AQ79" s="128">
        <f>SUMIF('702-798'!$1:$1,AQ$3,'702-798'!27:27)</f>
        <v>0</v>
      </c>
      <c r="AR79" s="128">
        <f>SUMIF('702-798'!$1:$1,AR$3,'702-798'!27:27)</f>
        <v>6318.58</v>
      </c>
      <c r="AS79" s="128">
        <f>SUMIF('702-798'!$1:$1,AS$3,'702-798'!27:27)</f>
        <v>5791.07</v>
      </c>
      <c r="AT79" s="128">
        <f>SUMIF('702-798'!$1:$1,AT$3,'702-798'!27:27)</f>
        <v>1059.3500000000001</v>
      </c>
      <c r="AU79" s="128">
        <f>SUMIF('702-798'!$1:$1,AU$3,'702-798'!27:27)</f>
        <v>4300.34</v>
      </c>
      <c r="AV79" s="128">
        <f>SUMIF('702-798'!$1:$1,AV$3,'702-798'!27:27)</f>
        <v>9061.9700000000012</v>
      </c>
      <c r="AW79" s="128">
        <f>SUMIF('702-798'!$1:$1,AW$3,'702-798'!27:27)</f>
        <v>14346.25</v>
      </c>
      <c r="AX79" s="128">
        <f>SUMIF('702-798'!$1:$1,AX$3,'702-798'!27:27)</f>
        <v>2325.21</v>
      </c>
      <c r="AY79" s="128">
        <f>SUMIF('702-798'!$1:$1,AY$3,'702-798'!27:27)</f>
        <v>37567.410000000003</v>
      </c>
      <c r="AZ79" s="314">
        <f>SUMIF('702-798'!$1:$1,AZ$3,'702-798'!27:27)</f>
        <v>0</v>
      </c>
      <c r="BA79" s="128">
        <f>SUMIF('702-798'!$1:$1,BA$3,'702-798'!27:27)</f>
        <v>5670</v>
      </c>
      <c r="BB79" s="128">
        <f>SUMIF('702-798'!$1:$1,BB$3,'702-798'!27:27)</f>
        <v>0</v>
      </c>
      <c r="BC79" s="128">
        <f>SUMIF('702-798'!$1:$1,BC$3,'702-798'!27:27)</f>
        <v>894.27</v>
      </c>
      <c r="BD79" s="128">
        <f>SUMIF('702-798'!$1:$1,BD$3,'702-798'!27:27)</f>
        <v>353.4</v>
      </c>
      <c r="BE79" s="128">
        <f>SUMIF('702-798'!$1:$1,BE$3,'702-798'!27:27)</f>
        <v>75</v>
      </c>
      <c r="BF79" s="128">
        <f>SUMIF('702-798'!$1:$1,BF$3,'702-798'!27:27)</f>
        <v>0</v>
      </c>
      <c r="BG79" s="128">
        <f>SUMIF('702-798'!$1:$1,BG$3,'702-798'!27:27)</f>
        <v>1606.5</v>
      </c>
      <c r="BH79" s="128">
        <f>SUMIF('702-798'!$1:$1,BH$3,'702-798'!27:27)</f>
        <v>0</v>
      </c>
      <c r="BI79" s="128">
        <f>SUMIF('702-798'!$1:$1,BI$3,'702-798'!27:27)</f>
        <v>5894.1100000000006</v>
      </c>
      <c r="BJ79" s="128">
        <f>SUMIF('702-798'!$1:$1,BJ$3,'702-798'!27:27)</f>
        <v>6207.7</v>
      </c>
      <c r="BK79" s="128">
        <f>SUMIF('702-798'!$1:$1,BK$3,'702-798'!27:27)</f>
        <v>0</v>
      </c>
      <c r="BL79" s="128">
        <f>SUMIF('702-798'!$1:$1,BL$3,'702-798'!27:27)</f>
        <v>28753.35</v>
      </c>
      <c r="BM79" s="128">
        <f>SUMIF('702-798'!$1:$1,BM$3,'702-798'!27:27)</f>
        <v>18036.07</v>
      </c>
      <c r="BN79" s="128">
        <f>SUMIF('702-798'!$1:$1,BN$3,'702-798'!27:27)</f>
        <v>7852.35</v>
      </c>
      <c r="BO79" s="128">
        <f>SUMIF('702-798'!$1:$1,BO$3,'702-798'!27:27)</f>
        <v>29967.470000000005</v>
      </c>
      <c r="BP79" s="128">
        <f>SUMIF('702-798'!$1:$1,BP$3,'702-798'!27:27)</f>
        <v>0</v>
      </c>
      <c r="BQ79" s="128">
        <f>SUMIF('702-798'!$1:$1,BQ$3,'702-798'!27:27)</f>
        <v>0</v>
      </c>
      <c r="BR79" s="128">
        <f>SUMIF('702-798'!$1:$1,BR$3,'702-798'!27:27)</f>
        <v>0</v>
      </c>
      <c r="BS79" s="128">
        <f>SUMIF('702-798'!$1:$1,BS$3,'702-798'!27:27)</f>
        <v>0</v>
      </c>
      <c r="BT79" s="128">
        <f>SUMIF('702-798'!$1:$1,BT$3,'702-798'!27:27)</f>
        <v>0</v>
      </c>
      <c r="BU79" s="128">
        <f>SUMIF('702-798'!$1:$1,BU$3,'702-798'!27:27)</f>
        <v>-5203.75</v>
      </c>
      <c r="BV79" s="128">
        <f>SUMIF('702-798'!$1:$1,BV$3,'702-798'!27:27)</f>
        <v>0</v>
      </c>
      <c r="BW79" s="128">
        <f>SUMIF('702-798'!$1:$1,BW$3,'702-798'!27:27)</f>
        <v>0</v>
      </c>
      <c r="BX79" s="128">
        <f>SUMIF('702-798'!$1:$1,BX$3,'702-798'!27:27)</f>
        <v>0</v>
      </c>
      <c r="BY79" s="128">
        <f>SUMIF('702-798'!$1:$1,BY$3,'702-798'!27:27)</f>
        <v>2731.92</v>
      </c>
      <c r="BZ79" s="128">
        <f>SUMIF('702-798'!$1:$1,BZ$3,'702-798'!27:27)</f>
        <v>0</v>
      </c>
      <c r="CA79" s="314">
        <f>SUMIF('702-798'!$1:$1,CA$3,'702-798'!27:27)</f>
        <v>0</v>
      </c>
      <c r="CB79" s="128">
        <f>SUMIF('702-798'!$1:$1,CB$3,'702-798'!27:27)</f>
        <v>0</v>
      </c>
      <c r="CC79" s="128">
        <f>SUMIF('702-798'!$1:$1,CC$3,'702-798'!27:27)</f>
        <v>0</v>
      </c>
      <c r="CD79" s="128">
        <f>SUMIF('702-798'!$1:$1,CD$3,'702-798'!27:27)</f>
        <v>0</v>
      </c>
      <c r="CE79" s="128">
        <f>SUMIF('702-798'!$1:$1,CE$3,'702-798'!27:27)</f>
        <v>395</v>
      </c>
      <c r="CF79" s="128">
        <f>SUMIF('702-798'!$1:$1,CF$3,'702-798'!27:27)</f>
        <v>0</v>
      </c>
      <c r="CG79" s="257">
        <f t="shared" si="32"/>
        <v>-166220.35000000003</v>
      </c>
      <c r="CJ79" s="122"/>
      <c r="CK79" s="169">
        <f>INDEX(SAP!C:C,MATCH('Actuals mapped to CFR'!A79,SAP!H:H,FALSE),1)</f>
        <v>-166220.35</v>
      </c>
      <c r="CL79" s="59">
        <f t="shared" si="33"/>
        <v>0</v>
      </c>
      <c r="CN79" s="81">
        <f t="shared" si="28"/>
        <v>882606.03999999992</v>
      </c>
      <c r="CO79" s="81">
        <f t="shared" si="29"/>
        <v>883410.86999999965</v>
      </c>
      <c r="CP79" s="166">
        <f>VLOOKUP(B79,'2526 GBP Data input'!$A$4:$CA$230,38,FALSE)</f>
        <v>887107</v>
      </c>
      <c r="CQ79" s="166">
        <f>VLOOKUP(B79,'2526 GBP Data input'!$A$4:$CA$230,73,FALSE)</f>
        <v>14767</v>
      </c>
      <c r="CR79" s="89">
        <f t="shared" si="25"/>
        <v>-4500.9600000000792</v>
      </c>
      <c r="CS79" s="83">
        <f t="shared" si="26"/>
        <v>59.823313469221887</v>
      </c>
      <c r="CT79" s="82">
        <f t="shared" si="30"/>
        <v>118721.01000000024</v>
      </c>
      <c r="CU79" s="82">
        <f t="shared" si="31"/>
        <v>31900.050000000003</v>
      </c>
      <c r="CV79" s="86">
        <f t="shared" si="27"/>
        <v>150621.06000000023</v>
      </c>
    </row>
    <row r="80" spans="1:108">
      <c r="A80" s="238">
        <v>107776</v>
      </c>
      <c r="B80" s="60">
        <v>776</v>
      </c>
      <c r="C80" s="60" t="s">
        <v>405</v>
      </c>
      <c r="D80" s="128">
        <f>SUMIF('702-798'!$1:$1,D$3,'702-798'!28:28)</f>
        <v>-11047.51</v>
      </c>
      <c r="E80" s="128">
        <f>SUMIF('702-798'!$1:$1,E$3,'702-798'!28:28)</f>
        <v>-9323.2999999999993</v>
      </c>
      <c r="F80" s="128">
        <f>SUMIF('702-798'!$1:$1,F$3,'702-798'!28:28)</f>
        <v>0</v>
      </c>
      <c r="G80" s="128">
        <f>SUMIF('702-798'!$1:$1,G$3,'702-798'!28:28)</f>
        <v>-12966.82</v>
      </c>
      <c r="H80" s="128">
        <f>SUMIF('702-798'!$1:$1,H$3,'702-798'!28:28)</f>
        <v>0</v>
      </c>
      <c r="I80" s="128">
        <f>SUMIF('702-798'!$1:$1,I$3,'702-798'!28:28)</f>
        <v>0</v>
      </c>
      <c r="J80" s="128">
        <f>SUMIF('702-798'!$1:$1,J$3,'702-798'!28:28)</f>
        <v>0</v>
      </c>
      <c r="K80" s="128">
        <f>SUMIF('702-798'!$1:$1,K$3,'702-798'!28:28)</f>
        <v>-504273.7</v>
      </c>
      <c r="L80" s="128">
        <f>SUMIF('702-798'!$1:$1,L$3,'702-798'!28:28)</f>
        <v>0</v>
      </c>
      <c r="M80" s="128">
        <f>SUMIF('702-798'!$1:$1,M$3,'702-798'!28:28)</f>
        <v>-31168</v>
      </c>
      <c r="N80" s="128">
        <f>SUMIF('702-798'!$1:$1,N$3,'702-798'!28:28)</f>
        <v>0</v>
      </c>
      <c r="O80" s="128">
        <f>SUMIF('702-798'!$1:$1,O$3,'702-798'!28:28)</f>
        <v>-4545</v>
      </c>
      <c r="P80" s="128">
        <f>SUMIF('702-798'!$1:$1,P$3,'702-798'!28:28)</f>
        <v>-24212</v>
      </c>
      <c r="Q80" s="128">
        <f>SUMIF('702-798'!$1:$1,Q$3,'702-798'!28:28)</f>
        <v>-800</v>
      </c>
      <c r="R80" s="128">
        <f>SUMIF('702-798'!$1:$1,R$3,'702-798'!28:28)</f>
        <v>0</v>
      </c>
      <c r="S80" s="128">
        <f>SUMIF('702-798'!$1:$1,S$3,'702-798'!28:28)</f>
        <v>-3904.6799999999994</v>
      </c>
      <c r="T80" s="128">
        <f>SUMIF('702-798'!$1:$1,T$3,'702-798'!28:28)</f>
        <v>25.7</v>
      </c>
      <c r="U80" s="128">
        <f>SUMIF('702-798'!$1:$1,U$3,'702-798'!28:28)</f>
        <v>-2064</v>
      </c>
      <c r="V80" s="128">
        <f>SUMIF('702-798'!$1:$1,V$3,'702-798'!28:28)</f>
        <v>0</v>
      </c>
      <c r="W80" s="128">
        <f>SUMIF('702-798'!$1:$1,W$3,'702-798'!28:28)</f>
        <v>-17819.07</v>
      </c>
      <c r="X80" s="128">
        <f>SUMIF('702-798'!$1:$1,X$3,'702-798'!28:28)</f>
        <v>-9288.57</v>
      </c>
      <c r="Y80" s="164">
        <f>SUMIF('702-798'!$1:$1,Y$3,'702-798'!28:28)</f>
        <v>0</v>
      </c>
      <c r="Z80" s="128">
        <f>SUMIF('702-798'!$1:$1,Z$3,'702-798'!28:28)</f>
        <v>0</v>
      </c>
      <c r="AA80" s="128">
        <f>SUMIF('702-798'!$1:$1,AA$3,'702-798'!28:28)</f>
        <v>-31001.609999999997</v>
      </c>
      <c r="AB80" s="128">
        <f>SUMIF('702-798'!$1:$1,AB$3,'702-798'!28:28)</f>
        <v>-4921.67</v>
      </c>
      <c r="AC80" s="314">
        <f>SUMIF('702-798'!$1:$1,AC$3,'702-798'!28:28)</f>
        <v>0</v>
      </c>
      <c r="AD80" s="314">
        <f>SUMIF('702-798'!$1:$1,AD$3,'702-798'!28:28)</f>
        <v>0</v>
      </c>
      <c r="AE80" s="314">
        <f>SUMIF('702-798'!$1:$1,AE$3,'702-798'!28:28)</f>
        <v>0</v>
      </c>
      <c r="AF80" s="314">
        <f>SUMIF('702-798'!$1:$1,AF$3,'702-798'!28:28)</f>
        <v>0</v>
      </c>
      <c r="AG80" s="128">
        <f>SUMIF('702-798'!$1:$1,AG$3,'702-798'!28:28)</f>
        <v>357950.51</v>
      </c>
      <c r="AH80" s="128">
        <f>SUMIF('702-798'!$1:$1,AH$3,'702-798'!28:28)</f>
        <v>8021.61</v>
      </c>
      <c r="AI80" s="128">
        <f>SUMIF('702-798'!$1:$1,AI$3,'702-798'!28:28)</f>
        <v>62567.749999999993</v>
      </c>
      <c r="AJ80" s="128">
        <f>SUMIF('702-798'!$1:$1,AJ$3,'702-798'!28:28)</f>
        <v>0</v>
      </c>
      <c r="AK80" s="128">
        <f>SUMIF('702-798'!$1:$1,AK$3,'702-798'!28:28)</f>
        <v>39424.520000000011</v>
      </c>
      <c r="AL80" s="128">
        <f>SUMIF('702-798'!$1:$1,AL$3,'702-798'!28:28)</f>
        <v>0</v>
      </c>
      <c r="AM80" s="128">
        <f>SUMIF('702-798'!$1:$1,AM$3,'702-798'!28:28)</f>
        <v>4491.58</v>
      </c>
      <c r="AN80" s="128">
        <f>SUMIF('702-798'!$1:$1,AN$3,'702-798'!28:28)</f>
        <v>1744.5</v>
      </c>
      <c r="AO80" s="128">
        <f>SUMIF('702-798'!$1:$1,AO$3,'702-798'!28:28)</f>
        <v>1498</v>
      </c>
      <c r="AP80" s="128">
        <f>SUMIF('702-798'!$1:$1,AP$3,'702-798'!28:28)</f>
        <v>6167.5</v>
      </c>
      <c r="AQ80" s="128">
        <f>SUMIF('702-798'!$1:$1,AQ$3,'702-798'!28:28)</f>
        <v>0</v>
      </c>
      <c r="AR80" s="128">
        <f>SUMIF('702-798'!$1:$1,AR$3,'702-798'!28:28)</f>
        <v>3503.46</v>
      </c>
      <c r="AS80" s="128">
        <f>SUMIF('702-798'!$1:$1,AS$3,'702-798'!28:28)</f>
        <v>0</v>
      </c>
      <c r="AT80" s="128">
        <f>SUMIF('702-798'!$1:$1,AT$3,'702-798'!28:28)</f>
        <v>9620.8900000000012</v>
      </c>
      <c r="AU80" s="128">
        <f>SUMIF('702-798'!$1:$1,AU$3,'702-798'!28:28)</f>
        <v>507.46</v>
      </c>
      <c r="AV80" s="128">
        <f>SUMIF('702-798'!$1:$1,AV$3,'702-798'!28:28)</f>
        <v>4732.6099999999997</v>
      </c>
      <c r="AW80" s="128">
        <f>SUMIF('702-798'!$1:$1,AW$3,'702-798'!28:28)</f>
        <v>3243.5</v>
      </c>
      <c r="AX80" s="128">
        <f>SUMIF('702-798'!$1:$1,AX$3,'702-798'!28:28)</f>
        <v>2167.81</v>
      </c>
      <c r="AY80" s="128">
        <f>SUMIF('702-798'!$1:$1,AY$3,'702-798'!28:28)</f>
        <v>27184.959999999999</v>
      </c>
      <c r="AZ80" s="314">
        <f>SUMIF('702-798'!$1:$1,AZ$3,'702-798'!28:28)</f>
        <v>0</v>
      </c>
      <c r="BA80" s="128">
        <f>SUMIF('702-798'!$1:$1,BA$3,'702-798'!28:28)</f>
        <v>2777.95</v>
      </c>
      <c r="BB80" s="128">
        <f>SUMIF('702-798'!$1:$1,BB$3,'702-798'!28:28)</f>
        <v>350</v>
      </c>
      <c r="BC80" s="128">
        <f>SUMIF('702-798'!$1:$1,BC$3,'702-798'!28:28)</f>
        <v>0</v>
      </c>
      <c r="BD80" s="128">
        <f>SUMIF('702-798'!$1:$1,BD$3,'702-798'!28:28)</f>
        <v>703.02</v>
      </c>
      <c r="BE80" s="128">
        <f>SUMIF('702-798'!$1:$1,BE$3,'702-798'!28:28)</f>
        <v>0</v>
      </c>
      <c r="BF80" s="128">
        <f>SUMIF('702-798'!$1:$1,BF$3,'702-798'!28:28)</f>
        <v>0</v>
      </c>
      <c r="BG80" s="128">
        <f>SUMIF('702-798'!$1:$1,BG$3,'702-798'!28:28)</f>
        <v>1230.25</v>
      </c>
      <c r="BH80" s="128">
        <f>SUMIF('702-798'!$1:$1,BH$3,'702-798'!28:28)</f>
        <v>0</v>
      </c>
      <c r="BI80" s="128">
        <f>SUMIF('702-798'!$1:$1,BI$3,'702-798'!28:28)</f>
        <v>2977.67</v>
      </c>
      <c r="BJ80" s="128">
        <f>SUMIF('702-798'!$1:$1,BJ$3,'702-798'!28:28)</f>
        <v>3724.62</v>
      </c>
      <c r="BK80" s="128">
        <f>SUMIF('702-798'!$1:$1,BK$3,'702-798'!28:28)</f>
        <v>0</v>
      </c>
      <c r="BL80" s="128">
        <f>SUMIF('702-798'!$1:$1,BL$3,'702-798'!28:28)</f>
        <v>13063.61</v>
      </c>
      <c r="BM80" s="128">
        <f>SUMIF('702-798'!$1:$1,BM$3,'702-798'!28:28)</f>
        <v>6105</v>
      </c>
      <c r="BN80" s="128">
        <f>SUMIF('702-798'!$1:$1,BN$3,'702-798'!28:28)</f>
        <v>40186.21</v>
      </c>
      <c r="BO80" s="128">
        <f>SUMIF('702-798'!$1:$1,BO$3,'702-798'!28:28)</f>
        <v>15673.320000000005</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-4810</v>
      </c>
      <c r="BV80" s="128">
        <f>SUMIF('702-798'!$1:$1,BV$3,'702-798'!28:28)</f>
        <v>0</v>
      </c>
      <c r="BW80" s="128">
        <f>SUMIF('702-798'!$1:$1,BW$3,'702-798'!28:28)</f>
        <v>0</v>
      </c>
      <c r="BX80" s="128">
        <f>SUMIF('702-798'!$1:$1,BX$3,'702-798'!28:28)</f>
        <v>0</v>
      </c>
      <c r="BY80" s="128">
        <f>SUMIF('702-798'!$1:$1,BY$3,'702-798'!28:28)</f>
        <v>7439.4</v>
      </c>
      <c r="BZ80" s="128">
        <f>SUMIF('702-798'!$1:$1,BZ$3,'702-798'!28:28)</f>
        <v>0</v>
      </c>
      <c r="CA80" s="314">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7">
        <f t="shared" si="32"/>
        <v>-45062.51999999999</v>
      </c>
      <c r="CJ80" s="122"/>
      <c r="CK80" s="169">
        <f>INDEX(SAP!C:C,MATCH('Actuals mapped to CFR'!A80,SAP!H:H,FALSE),1)</f>
        <v>-45062.52</v>
      </c>
      <c r="CL80" s="59">
        <f t="shared" si="33"/>
        <v>0</v>
      </c>
      <c r="CN80" s="81">
        <f t="shared" si="28"/>
        <v>633972.6</v>
      </c>
      <c r="CO80" s="81">
        <f t="shared" si="29"/>
        <v>619618.30999999994</v>
      </c>
      <c r="CP80" s="166">
        <f>VLOOKUP(B80,'2526 GBP Data input'!$A$4:$CA$230,38,FALSE)</f>
        <v>669547</v>
      </c>
      <c r="CQ80" s="166">
        <f>VLOOKUP(B80,'2526 GBP Data input'!$A$4:$CA$230,73,FALSE)</f>
        <v>13131</v>
      </c>
      <c r="CR80" s="89">
        <f t="shared" si="25"/>
        <v>-35574.400000000023</v>
      </c>
      <c r="CS80" s="83">
        <f t="shared" si="26"/>
        <v>47.187442692864209</v>
      </c>
      <c r="CT80" s="82">
        <f t="shared" si="30"/>
        <v>25401.800000000047</v>
      </c>
      <c r="CU80" s="82">
        <f t="shared" si="31"/>
        <v>10337.42</v>
      </c>
      <c r="CV80" s="86">
        <f t="shared" si="27"/>
        <v>35739.220000000045</v>
      </c>
    </row>
    <row r="81" spans="1:100">
      <c r="A81" s="238">
        <v>107779</v>
      </c>
      <c r="B81" s="60">
        <v>779</v>
      </c>
      <c r="C81" s="60" t="s">
        <v>205</v>
      </c>
      <c r="D81" s="128">
        <f>SUMIF('702-798'!$1:$1,D$3,'702-798'!29:29)</f>
        <v>0</v>
      </c>
      <c r="E81" s="128">
        <f>SUMIF('702-798'!$1:$1,E$3,'702-798'!29:29)</f>
        <v>-4889.3999999999996</v>
      </c>
      <c r="F81" s="128">
        <f>SUMIF('702-798'!$1:$1,F$3,'702-798'!29:29)</f>
        <v>83891.96</v>
      </c>
      <c r="G81" s="128">
        <f>SUMIF('702-798'!$1:$1,G$3,'702-798'!29:29)</f>
        <v>-253.02</v>
      </c>
      <c r="H81" s="128">
        <f>SUMIF('702-798'!$1:$1,H$3,'702-798'!29:29)</f>
        <v>0</v>
      </c>
      <c r="I81" s="128">
        <f>SUMIF('702-798'!$1:$1,I$3,'702-798'!29:29)</f>
        <v>0</v>
      </c>
      <c r="J81" s="128">
        <f>SUMIF('702-798'!$1:$1,J$3,'702-798'!29:29)</f>
        <v>0</v>
      </c>
      <c r="K81" s="128">
        <f>SUMIF('702-798'!$1:$1,K$3,'702-798'!29:29)</f>
        <v>-1142150.33</v>
      </c>
      <c r="L81" s="128">
        <f>SUMIF('702-798'!$1:$1,L$3,'702-798'!29:29)</f>
        <v>0</v>
      </c>
      <c r="M81" s="128">
        <f>SUMIF('702-798'!$1:$1,M$3,'702-798'!29:29)</f>
        <v>-143944</v>
      </c>
      <c r="N81" s="128">
        <f>SUMIF('702-798'!$1:$1,N$3,'702-798'!29:29)</f>
        <v>0</v>
      </c>
      <c r="O81" s="128">
        <f>SUMIF('702-798'!$1:$1,O$3,'702-798'!29:29)</f>
        <v>-71555</v>
      </c>
      <c r="P81" s="128">
        <f>SUMIF('702-798'!$1:$1,P$3,'702-798'!29:29)</f>
        <v>-48880</v>
      </c>
      <c r="Q81" s="128">
        <f>SUMIF('702-798'!$1:$1,Q$3,'702-798'!29:29)</f>
        <v>-5085</v>
      </c>
      <c r="R81" s="128">
        <f>SUMIF('702-798'!$1:$1,R$3,'702-798'!29:29)</f>
        <v>0</v>
      </c>
      <c r="S81" s="128">
        <f>SUMIF('702-798'!$1:$1,S$3,'702-798'!29:29)</f>
        <v>-42242.109999999971</v>
      </c>
      <c r="T81" s="128">
        <f>SUMIF('702-798'!$1:$1,T$3,'702-798'!29:29)</f>
        <v>-4819.9599999999991</v>
      </c>
      <c r="U81" s="128">
        <f>SUMIF('702-798'!$1:$1,U$3,'702-798'!29:29)</f>
        <v>-1800</v>
      </c>
      <c r="V81" s="128">
        <f>SUMIF('702-798'!$1:$1,V$3,'702-798'!29:29)</f>
        <v>-2430</v>
      </c>
      <c r="W81" s="128">
        <f>SUMIF('702-798'!$1:$1,W$3,'702-798'!29:29)</f>
        <v>-12245.95</v>
      </c>
      <c r="X81" s="128">
        <f>SUMIF('702-798'!$1:$1,X$3,'702-798'!29:29)</f>
        <v>-6421.2400000000007</v>
      </c>
      <c r="Y81" s="164">
        <f>SUMIF('702-798'!$1:$1,Y$3,'702-798'!29:29)</f>
        <v>0</v>
      </c>
      <c r="Z81" s="128">
        <f>SUMIF('702-798'!$1:$1,Z$3,'702-798'!29:29)</f>
        <v>0</v>
      </c>
      <c r="AA81" s="128">
        <f>SUMIF('702-798'!$1:$1,AA$3,'702-798'!29:29)</f>
        <v>0</v>
      </c>
      <c r="AB81" s="128">
        <f>SUMIF('702-798'!$1:$1,AB$3,'702-798'!29:29)</f>
        <v>0</v>
      </c>
      <c r="AC81" s="314">
        <f>SUMIF('702-798'!$1:$1,AC$3,'702-798'!29:29)</f>
        <v>0</v>
      </c>
      <c r="AD81" s="314">
        <f>SUMIF('702-798'!$1:$1,AD$3,'702-798'!29:29)</f>
        <v>0</v>
      </c>
      <c r="AE81" s="314">
        <f>SUMIF('702-798'!$1:$1,AE$3,'702-798'!29:29)</f>
        <v>0</v>
      </c>
      <c r="AF81" s="314">
        <f>SUMIF('702-798'!$1:$1,AF$3,'702-798'!29:29)</f>
        <v>0</v>
      </c>
      <c r="AG81" s="128">
        <f>SUMIF('702-798'!$1:$1,AG$3,'702-798'!29:29)</f>
        <v>748223.09000000008</v>
      </c>
      <c r="AH81" s="128">
        <f>SUMIF('702-798'!$1:$1,AH$3,'702-798'!29:29)</f>
        <v>15165.24</v>
      </c>
      <c r="AI81" s="128">
        <f>SUMIF('702-798'!$1:$1,AI$3,'702-798'!29:29)</f>
        <v>276740.86</v>
      </c>
      <c r="AJ81" s="128">
        <f>SUMIF('702-798'!$1:$1,AJ$3,'702-798'!29:29)</f>
        <v>27180.120000000006</v>
      </c>
      <c r="AK81" s="128">
        <f>SUMIF('702-798'!$1:$1,AK$3,'702-798'!29:29)</f>
        <v>35515.600000000006</v>
      </c>
      <c r="AL81" s="128">
        <f>SUMIF('702-798'!$1:$1,AL$3,'702-798'!29:29)</f>
        <v>0</v>
      </c>
      <c r="AM81" s="128">
        <f>SUMIF('702-798'!$1:$1,AM$3,'702-798'!29:29)</f>
        <v>67562.740000000005</v>
      </c>
      <c r="AN81" s="128">
        <f>SUMIF('702-798'!$1:$1,AN$3,'702-798'!29:29)</f>
        <v>5184.6099999999997</v>
      </c>
      <c r="AO81" s="128">
        <f>SUMIF('702-798'!$1:$1,AO$3,'702-798'!29:29)</f>
        <v>6719</v>
      </c>
      <c r="AP81" s="128">
        <f>SUMIF('702-798'!$1:$1,AP$3,'702-798'!29:29)</f>
        <v>613.04999999999995</v>
      </c>
      <c r="AQ81" s="128">
        <f>SUMIF('702-798'!$1:$1,AQ$3,'702-798'!29:29)</f>
        <v>9436.9</v>
      </c>
      <c r="AR81" s="128">
        <f>SUMIF('702-798'!$1:$1,AR$3,'702-798'!29:29)</f>
        <v>8491.39</v>
      </c>
      <c r="AS81" s="128">
        <f>SUMIF('702-798'!$1:$1,AS$3,'702-798'!29:29)</f>
        <v>6151.62</v>
      </c>
      <c r="AT81" s="128">
        <f>SUMIF('702-798'!$1:$1,AT$3,'702-798'!29:29)</f>
        <v>3175.7500000000005</v>
      </c>
      <c r="AU81" s="128">
        <f>SUMIF('702-798'!$1:$1,AU$3,'702-798'!29:29)</f>
        <v>2422.7800000000002</v>
      </c>
      <c r="AV81" s="128">
        <f>SUMIF('702-798'!$1:$1,AV$3,'702-798'!29:29)</f>
        <v>13756.34</v>
      </c>
      <c r="AW81" s="128">
        <f>SUMIF('702-798'!$1:$1,AW$3,'702-798'!29:29)</f>
        <v>26817.25</v>
      </c>
      <c r="AX81" s="128">
        <f>SUMIF('702-798'!$1:$1,AX$3,'702-798'!29:29)</f>
        <v>3888.3599999999997</v>
      </c>
      <c r="AY81" s="128">
        <f>SUMIF('702-798'!$1:$1,AY$3,'702-798'!29:29)</f>
        <v>52313.790000000015</v>
      </c>
      <c r="AZ81" s="314">
        <f>SUMIF('702-798'!$1:$1,AZ$3,'702-798'!29:29)</f>
        <v>0</v>
      </c>
      <c r="BA81" s="128">
        <f>SUMIF('702-798'!$1:$1,BA$3,'702-798'!29:29)</f>
        <v>1950</v>
      </c>
      <c r="BB81" s="128">
        <f>SUMIF('702-798'!$1:$1,BB$3,'702-798'!29:29)</f>
        <v>-1281.7800000000007</v>
      </c>
      <c r="BC81" s="128">
        <f>SUMIF('702-798'!$1:$1,BC$3,'702-798'!29:29)</f>
        <v>2011.44</v>
      </c>
      <c r="BD81" s="128">
        <f>SUMIF('702-798'!$1:$1,BD$3,'702-798'!29:29)</f>
        <v>6022.68</v>
      </c>
      <c r="BE81" s="128">
        <f>SUMIF('702-798'!$1:$1,BE$3,'702-798'!29:29)</f>
        <v>7112.78</v>
      </c>
      <c r="BF81" s="128">
        <f>SUMIF('702-798'!$1:$1,BF$3,'702-798'!29:29)</f>
        <v>276.95</v>
      </c>
      <c r="BG81" s="128">
        <f>SUMIF('702-798'!$1:$1,BG$3,'702-798'!29:29)</f>
        <v>7855.12</v>
      </c>
      <c r="BH81" s="128">
        <f>SUMIF('702-798'!$1:$1,BH$3,'702-798'!29:29)</f>
        <v>0</v>
      </c>
      <c r="BI81" s="128">
        <f>SUMIF('702-798'!$1:$1,BI$3,'702-798'!29:29)</f>
        <v>3077.9300000000003</v>
      </c>
      <c r="BJ81" s="128">
        <f>SUMIF('702-798'!$1:$1,BJ$3,'702-798'!29:29)</f>
        <v>10849.98</v>
      </c>
      <c r="BK81" s="128">
        <f>SUMIF('702-798'!$1:$1,BK$3,'702-798'!29:29)</f>
        <v>0</v>
      </c>
      <c r="BL81" s="128">
        <f>SUMIF('702-798'!$1:$1,BL$3,'702-798'!29:29)</f>
        <v>61133.41</v>
      </c>
      <c r="BM81" s="128">
        <f>SUMIF('702-798'!$1:$1,BM$3,'702-798'!29:29)</f>
        <v>5242.29</v>
      </c>
      <c r="BN81" s="128">
        <f>SUMIF('702-798'!$1:$1,BN$3,'702-798'!29:29)</f>
        <v>18099.14</v>
      </c>
      <c r="BO81" s="128">
        <f>SUMIF('702-798'!$1:$1,BO$3,'702-798'!29:29)</f>
        <v>30202.430000000004</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-6238.75</v>
      </c>
      <c r="BV81" s="128">
        <f>SUMIF('702-798'!$1:$1,BV$3,'702-798'!29:29)</f>
        <v>0</v>
      </c>
      <c r="BW81" s="128">
        <f>SUMIF('702-798'!$1:$1,BW$3,'702-798'!29:29)</f>
        <v>0</v>
      </c>
      <c r="BX81" s="128">
        <f>SUMIF('702-798'!$1:$1,BX$3,'702-798'!29:29)</f>
        <v>0</v>
      </c>
      <c r="BY81" s="128">
        <f>SUMIF('702-798'!$1:$1,BY$3,'702-798'!29:29)</f>
        <v>0</v>
      </c>
      <c r="BZ81" s="128">
        <f>SUMIF('702-798'!$1:$1,BZ$3,'702-798'!29:29)</f>
        <v>0</v>
      </c>
      <c r="CA81" s="314">
        <f>SUMIF('702-798'!$1:$1,CA$3,'702-798'!29:29)</f>
        <v>0</v>
      </c>
      <c r="CB81" s="128">
        <f>SUMIF('702-798'!$1:$1,CB$3,'702-798'!29:29)</f>
        <v>0</v>
      </c>
      <c r="CC81" s="128">
        <f>SUMIF('702-798'!$1:$1,CC$3,'702-798'!29:29)</f>
        <v>6491.77</v>
      </c>
      <c r="CD81" s="128">
        <f>SUMIF('702-798'!$1:$1,CD$3,'702-798'!29:29)</f>
        <v>0</v>
      </c>
      <c r="CE81" s="128">
        <f>SUMIF('702-798'!$1:$1,CE$3,'702-798'!29:29)</f>
        <v>0</v>
      </c>
      <c r="CF81" s="128">
        <f>SUMIF('702-798'!$1:$1,CF$3,'702-798'!29:29)</f>
        <v>0</v>
      </c>
      <c r="CG81" s="257">
        <f t="shared" si="32"/>
        <v>59339.830000000147</v>
      </c>
      <c r="CJ81" s="122"/>
      <c r="CK81" s="169">
        <f>INDEX(SAP!C:C,MATCH('Actuals mapped to CFR'!A81,SAP!H:H,FALSE),1)</f>
        <v>59339.83</v>
      </c>
      <c r="CL81" s="59">
        <f t="shared" si="33"/>
        <v>0</v>
      </c>
      <c r="CN81" s="81">
        <f t="shared" si="28"/>
        <v>1481573.5899999999</v>
      </c>
      <c r="CO81" s="81">
        <f t="shared" si="29"/>
        <v>1461910.86</v>
      </c>
      <c r="CP81" s="166">
        <f>VLOOKUP(B81,'2526 GBP Data input'!$A$4:$CA$230,38,FALSE)</f>
        <v>1375067</v>
      </c>
      <c r="CQ81" s="166">
        <f>VLOOKUP(B81,'2526 GBP Data input'!$A$4:$CA$230,73,FALSE)</f>
        <v>32967</v>
      </c>
      <c r="CR81" s="89">
        <f t="shared" si="25"/>
        <v>106506.58999999985</v>
      </c>
      <c r="CS81" s="83">
        <f t="shared" si="26"/>
        <v>44.344673764673765</v>
      </c>
      <c r="CT81" s="82">
        <f t="shared" si="30"/>
        <v>-64229.230000000214</v>
      </c>
      <c r="CU81" s="82">
        <f t="shared" si="31"/>
        <v>6491.77</v>
      </c>
      <c r="CV81" s="86">
        <f t="shared" si="27"/>
        <v>-57737.46000000021</v>
      </c>
    </row>
    <row r="82" spans="1:100">
      <c r="A82" s="238">
        <v>107781</v>
      </c>
      <c r="B82" s="60">
        <v>781</v>
      </c>
      <c r="C82" s="60" t="s">
        <v>247</v>
      </c>
      <c r="D82" s="128">
        <f>SUMIF('702-798'!$1:$1,D$3,'702-798'!30:30)</f>
        <v>-159555.45000000001</v>
      </c>
      <c r="E82" s="128">
        <f>SUMIF('702-798'!$1:$1,E$3,'702-798'!30:30)</f>
        <v>-47</v>
      </c>
      <c r="F82" s="128">
        <f>SUMIF('702-798'!$1:$1,F$3,'702-798'!30:30)</f>
        <v>0</v>
      </c>
      <c r="G82" s="128">
        <f>SUMIF('702-798'!$1:$1,G$3,'702-798'!30:30)</f>
        <v>-101.5</v>
      </c>
      <c r="H82" s="128">
        <f>SUMIF('702-798'!$1:$1,H$3,'702-798'!30:30)</f>
        <v>0</v>
      </c>
      <c r="I82" s="128">
        <f>SUMIF('702-798'!$1:$1,I$3,'702-798'!30:30)</f>
        <v>0</v>
      </c>
      <c r="J82" s="128">
        <f>SUMIF('702-798'!$1:$1,J$3,'702-798'!30:30)</f>
        <v>0</v>
      </c>
      <c r="K82" s="128">
        <f>SUMIF('702-798'!$1:$1,K$3,'702-798'!30:30)</f>
        <v>-1100140.8999999999</v>
      </c>
      <c r="L82" s="128">
        <f>SUMIF('702-798'!$1:$1,L$3,'702-798'!30:30)</f>
        <v>0</v>
      </c>
      <c r="M82" s="128">
        <f>SUMIF('702-798'!$1:$1,M$3,'702-798'!30:30)</f>
        <v>-279080.3</v>
      </c>
      <c r="N82" s="128">
        <f>SUMIF('702-798'!$1:$1,N$3,'702-798'!30:30)</f>
        <v>0</v>
      </c>
      <c r="O82" s="128">
        <f>SUMIF('702-798'!$1:$1,O$3,'702-798'!30:30)</f>
        <v>-30450</v>
      </c>
      <c r="P82" s="128">
        <f>SUMIF('702-798'!$1:$1,P$3,'702-798'!30:30)</f>
        <v>-59195.93</v>
      </c>
      <c r="Q82" s="128">
        <f>SUMIF('702-798'!$1:$1,Q$3,'702-798'!30:30)</f>
        <v>-3700</v>
      </c>
      <c r="R82" s="128">
        <f>SUMIF('702-798'!$1:$1,R$3,'702-798'!30:30)</f>
        <v>1278</v>
      </c>
      <c r="S82" s="128">
        <f>SUMIF('702-798'!$1:$1,S$3,'702-798'!30:30)</f>
        <v>-48367.909999999996</v>
      </c>
      <c r="T82" s="128">
        <f>SUMIF('702-798'!$1:$1,T$3,'702-798'!30:30)</f>
        <v>95.289999999999992</v>
      </c>
      <c r="U82" s="128">
        <f>SUMIF('702-798'!$1:$1,U$3,'702-798'!30:30)</f>
        <v>0</v>
      </c>
      <c r="V82" s="128">
        <f>SUMIF('702-798'!$1:$1,V$3,'702-798'!30:30)</f>
        <v>-1232</v>
      </c>
      <c r="W82" s="128">
        <f>SUMIF('702-798'!$1:$1,W$3,'702-798'!30:30)</f>
        <v>-24312.259999999995</v>
      </c>
      <c r="X82" s="128">
        <f>SUMIF('702-798'!$1:$1,X$3,'702-798'!30:30)</f>
        <v>-30</v>
      </c>
      <c r="Y82" s="164">
        <f>SUMIF('702-798'!$1:$1,Y$3,'702-798'!30:30)</f>
        <v>0</v>
      </c>
      <c r="Z82" s="128">
        <f>SUMIF('702-798'!$1:$1,Z$3,'702-798'!30:30)</f>
        <v>0</v>
      </c>
      <c r="AA82" s="128">
        <f>SUMIF('702-798'!$1:$1,AA$3,'702-798'!30:30)</f>
        <v>0</v>
      </c>
      <c r="AB82" s="128">
        <f>SUMIF('702-798'!$1:$1,AB$3,'702-798'!30:30)</f>
        <v>-2.67</v>
      </c>
      <c r="AC82" s="314">
        <f>SUMIF('702-798'!$1:$1,AC$3,'702-798'!30:30)</f>
        <v>0</v>
      </c>
      <c r="AD82" s="314">
        <f>SUMIF('702-798'!$1:$1,AD$3,'702-798'!30:30)</f>
        <v>0</v>
      </c>
      <c r="AE82" s="314">
        <f>SUMIF('702-798'!$1:$1,AE$3,'702-798'!30:30)</f>
        <v>0</v>
      </c>
      <c r="AF82" s="314">
        <f>SUMIF('702-798'!$1:$1,AF$3,'702-798'!30:30)</f>
        <v>0</v>
      </c>
      <c r="AG82" s="128">
        <f>SUMIF('702-798'!$1:$1,AG$3,'702-798'!30:30)</f>
        <v>644862.02999999991</v>
      </c>
      <c r="AH82" s="128">
        <f>SUMIF('702-798'!$1:$1,AH$3,'702-798'!30:30)</f>
        <v>37060.33</v>
      </c>
      <c r="AI82" s="128">
        <f>SUMIF('702-798'!$1:$1,AI$3,'702-798'!30:30)</f>
        <v>386818.93</v>
      </c>
      <c r="AJ82" s="128">
        <f>SUMIF('702-798'!$1:$1,AJ$3,'702-798'!30:30)</f>
        <v>0</v>
      </c>
      <c r="AK82" s="128">
        <f>SUMIF('702-798'!$1:$1,AK$3,'702-798'!30:30)</f>
        <v>59390.240000000005</v>
      </c>
      <c r="AL82" s="128">
        <f>SUMIF('702-798'!$1:$1,AL$3,'702-798'!30:30)</f>
        <v>0</v>
      </c>
      <c r="AM82" s="128">
        <f>SUMIF('702-798'!$1:$1,AM$3,'702-798'!30:30)</f>
        <v>58471.82</v>
      </c>
      <c r="AN82" s="128">
        <f>SUMIF('702-798'!$1:$1,AN$3,'702-798'!30:30)</f>
        <v>4395.68</v>
      </c>
      <c r="AO82" s="128">
        <f>SUMIF('702-798'!$1:$1,AO$3,'702-798'!30:30)</f>
        <v>8687.4500000000007</v>
      </c>
      <c r="AP82" s="128">
        <f>SUMIF('702-798'!$1:$1,AP$3,'702-798'!30:30)</f>
        <v>6861.95</v>
      </c>
      <c r="AQ82" s="128">
        <f>SUMIF('702-798'!$1:$1,AQ$3,'702-798'!30:30)</f>
        <v>3157.77</v>
      </c>
      <c r="AR82" s="128">
        <f>SUMIF('702-798'!$1:$1,AR$3,'702-798'!30:30)</f>
        <v>19840.169999999998</v>
      </c>
      <c r="AS82" s="128">
        <f>SUMIF('702-798'!$1:$1,AS$3,'702-798'!30:30)</f>
        <v>4162.5</v>
      </c>
      <c r="AT82" s="128">
        <f>SUMIF('702-798'!$1:$1,AT$3,'702-798'!30:30)</f>
        <v>46289.310000000005</v>
      </c>
      <c r="AU82" s="128">
        <f>SUMIF('702-798'!$1:$1,AU$3,'702-798'!30:30)</f>
        <v>5683.84</v>
      </c>
      <c r="AV82" s="128">
        <f>SUMIF('702-798'!$1:$1,AV$3,'702-798'!30:30)</f>
        <v>20990.45</v>
      </c>
      <c r="AW82" s="128">
        <f>SUMIF('702-798'!$1:$1,AW$3,'702-798'!30:30)</f>
        <v>23702.5</v>
      </c>
      <c r="AX82" s="128">
        <f>SUMIF('702-798'!$1:$1,AX$3,'702-798'!30:30)</f>
        <v>3224.9299999999994</v>
      </c>
      <c r="AY82" s="128">
        <f>SUMIF('702-798'!$1:$1,AY$3,'702-798'!30:30)</f>
        <v>52284.78</v>
      </c>
      <c r="AZ82" s="314">
        <f>SUMIF('702-798'!$1:$1,AZ$3,'702-798'!30:30)</f>
        <v>0</v>
      </c>
      <c r="BA82" s="128">
        <f>SUMIF('702-798'!$1:$1,BA$3,'702-798'!30:30)</f>
        <v>2510.7200000000003</v>
      </c>
      <c r="BB82" s="128">
        <f>SUMIF('702-798'!$1:$1,BB$3,'702-798'!30:30)</f>
        <v>484</v>
      </c>
      <c r="BC82" s="128">
        <f>SUMIF('702-798'!$1:$1,BC$3,'702-798'!30:30)</f>
        <v>650</v>
      </c>
      <c r="BD82" s="128">
        <f>SUMIF('702-798'!$1:$1,BD$3,'702-798'!30:30)</f>
        <v>6430.8399999999992</v>
      </c>
      <c r="BE82" s="128">
        <f>SUMIF('702-798'!$1:$1,BE$3,'702-798'!30:30)</f>
        <v>295</v>
      </c>
      <c r="BF82" s="128">
        <f>SUMIF('702-798'!$1:$1,BF$3,'702-798'!30:30)</f>
        <v>2427.0500000000002</v>
      </c>
      <c r="BG82" s="128">
        <f>SUMIF('702-798'!$1:$1,BG$3,'702-798'!30:30)</f>
        <v>5079.29</v>
      </c>
      <c r="BH82" s="128">
        <f>SUMIF('702-798'!$1:$1,BH$3,'702-798'!30:30)</f>
        <v>0</v>
      </c>
      <c r="BI82" s="128">
        <f>SUMIF('702-798'!$1:$1,BI$3,'702-798'!30:30)</f>
        <v>7716.7099999999982</v>
      </c>
      <c r="BJ82" s="128">
        <f>SUMIF('702-798'!$1:$1,BJ$3,'702-798'!30:30)</f>
        <v>9662.42</v>
      </c>
      <c r="BK82" s="128">
        <f>SUMIF('702-798'!$1:$1,BK$3,'702-798'!30:30)</f>
        <v>0</v>
      </c>
      <c r="BL82" s="128">
        <f>SUMIF('702-798'!$1:$1,BL$3,'702-798'!30:30)</f>
        <v>47858.179999999993</v>
      </c>
      <c r="BM82" s="128">
        <f>SUMIF('702-798'!$1:$1,BM$3,'702-798'!30:30)</f>
        <v>24820.1</v>
      </c>
      <c r="BN82" s="128">
        <f>SUMIF('702-798'!$1:$1,BN$3,'702-798'!30:30)</f>
        <v>44620.78</v>
      </c>
      <c r="BO82" s="128">
        <f>SUMIF('702-798'!$1:$1,BO$3,'702-798'!30:30)</f>
        <v>37350.670000000006</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-5968.75</v>
      </c>
      <c r="BV82" s="128">
        <f>SUMIF('702-798'!$1:$1,BV$3,'702-798'!30:30)</f>
        <v>0</v>
      </c>
      <c r="BW82" s="128">
        <f>SUMIF('702-798'!$1:$1,BW$3,'702-798'!30:30)</f>
        <v>0</v>
      </c>
      <c r="BX82" s="128">
        <f>SUMIF('702-798'!$1:$1,BX$3,'702-798'!30:30)</f>
        <v>0</v>
      </c>
      <c r="BY82" s="128">
        <f>SUMIF('702-798'!$1:$1,BY$3,'702-798'!30:30)</f>
        <v>0</v>
      </c>
      <c r="BZ82" s="128">
        <f>SUMIF('702-798'!$1:$1,BZ$3,'702-798'!30:30)</f>
        <v>0</v>
      </c>
      <c r="CA82" s="314">
        <f>SUMIF('702-798'!$1:$1,CA$3,'702-798'!30:30)</f>
        <v>0</v>
      </c>
      <c r="CB82" s="128">
        <f>SUMIF('702-798'!$1:$1,CB$3,'702-798'!30:30)</f>
        <v>0</v>
      </c>
      <c r="CC82" s="128">
        <f>SUMIF('702-798'!$1:$1,CC$3,'702-798'!30:30)</f>
        <v>0</v>
      </c>
      <c r="CD82" s="128">
        <f>SUMIF('702-798'!$1:$1,CD$3,'702-798'!30:30)</f>
        <v>0</v>
      </c>
      <c r="CE82" s="128">
        <f>SUMIF('702-798'!$1:$1,CE$3,'702-798'!30:30)</f>
        <v>0</v>
      </c>
      <c r="CF82" s="128">
        <f>SUMIF('702-798'!$1:$1,CF$3,'702-798'!30:30)</f>
        <v>1890</v>
      </c>
      <c r="CG82" s="257">
        <f t="shared" si="32"/>
        <v>-133130.93999999962</v>
      </c>
      <c r="CJ82" s="122"/>
      <c r="CK82" s="169">
        <f>INDEX(SAP!C:C,MATCH('Actuals mapped to CFR'!A82,SAP!H:H,FALSE),1)</f>
        <v>-133130.94</v>
      </c>
      <c r="CL82" s="59">
        <f t="shared" si="33"/>
        <v>0</v>
      </c>
      <c r="CN82" s="81">
        <f t="shared" si="28"/>
        <v>1545138.6799999997</v>
      </c>
      <c r="CO82" s="81">
        <f t="shared" si="29"/>
        <v>1575790.4399999997</v>
      </c>
      <c r="CP82" s="166">
        <f>VLOOKUP(B82,'2526 GBP Data input'!$A$4:$CA$230,38,FALSE)</f>
        <v>1390783</v>
      </c>
      <c r="CQ82" s="166">
        <f>VLOOKUP(B82,'2526 GBP Data input'!$A$4:$CA$230,73,FALSE)</f>
        <v>41722</v>
      </c>
      <c r="CR82" s="89">
        <f t="shared" si="25"/>
        <v>154355.6799999997</v>
      </c>
      <c r="CS82" s="83">
        <f t="shared" si="26"/>
        <v>37.768813575571635</v>
      </c>
      <c r="CT82" s="82">
        <f t="shared" si="30"/>
        <v>128903.68999999994</v>
      </c>
      <c r="CU82" s="82">
        <f t="shared" si="31"/>
        <v>4180.25</v>
      </c>
      <c r="CV82" s="86">
        <f t="shared" si="27"/>
        <v>133083.93999999994</v>
      </c>
    </row>
    <row r="83" spans="1:100">
      <c r="A83" s="238">
        <v>107782</v>
      </c>
      <c r="B83" s="60">
        <v>782</v>
      </c>
      <c r="C83" s="60" t="s">
        <v>283</v>
      </c>
      <c r="D83" s="128">
        <f>SUMIF('702-798'!$1:$1,D$3,'702-798'!31:31)</f>
        <v>-157384.18</v>
      </c>
      <c r="E83" s="128">
        <f>SUMIF('702-798'!$1:$1,E$3,'702-798'!31:31)</f>
        <v>-8887.83</v>
      </c>
      <c r="F83" s="128">
        <f>SUMIF('702-798'!$1:$1,F$3,'702-798'!31:31)</f>
        <v>0</v>
      </c>
      <c r="G83" s="128">
        <f>SUMIF('702-798'!$1:$1,G$3,'702-798'!31:31)</f>
        <v>-16160.16</v>
      </c>
      <c r="H83" s="128">
        <f>SUMIF('702-798'!$1:$1,H$3,'702-798'!31:31)</f>
        <v>0</v>
      </c>
      <c r="I83" s="128">
        <f>SUMIF('702-798'!$1:$1,I$3,'702-798'!31:31)</f>
        <v>0</v>
      </c>
      <c r="J83" s="128">
        <f>SUMIF('702-798'!$1:$1,J$3,'702-798'!31:31)</f>
        <v>-23547.87</v>
      </c>
      <c r="K83" s="128">
        <f>SUMIF('702-798'!$1:$1,K$3,'702-798'!31:31)</f>
        <v>-824602.43</v>
      </c>
      <c r="L83" s="128">
        <f>SUMIF('702-798'!$1:$1,L$3,'702-798'!31:31)</f>
        <v>0</v>
      </c>
      <c r="M83" s="128">
        <f>SUMIF('702-798'!$1:$1,M$3,'702-798'!31:31)</f>
        <v>-156575</v>
      </c>
      <c r="N83" s="128">
        <f>SUMIF('702-798'!$1:$1,N$3,'702-798'!31:31)</f>
        <v>0</v>
      </c>
      <c r="O83" s="128">
        <f>SUMIF('702-798'!$1:$1,O$3,'702-798'!31:31)</f>
        <v>-49860</v>
      </c>
      <c r="P83" s="128">
        <f>SUMIF('702-798'!$1:$1,P$3,'702-798'!31:31)</f>
        <v>-38018</v>
      </c>
      <c r="Q83" s="128">
        <f>SUMIF('702-798'!$1:$1,Q$3,'702-798'!31:31)</f>
        <v>-8590</v>
      </c>
      <c r="R83" s="128">
        <f>SUMIF('702-798'!$1:$1,R$3,'702-798'!31:31)</f>
        <v>0</v>
      </c>
      <c r="S83" s="128">
        <f>SUMIF('702-798'!$1:$1,S$3,'702-798'!31:31)</f>
        <v>-31562.999999999993</v>
      </c>
      <c r="T83" s="128">
        <f>SUMIF('702-798'!$1:$1,T$3,'702-798'!31:31)</f>
        <v>-12383.079999999996</v>
      </c>
      <c r="U83" s="128">
        <f>SUMIF('702-798'!$1:$1,U$3,'702-798'!31:31)</f>
        <v>0</v>
      </c>
      <c r="V83" s="128">
        <f>SUMIF('702-798'!$1:$1,V$3,'702-798'!31:31)</f>
        <v>0</v>
      </c>
      <c r="W83" s="128">
        <f>SUMIF('702-798'!$1:$1,W$3,'702-798'!31:31)</f>
        <v>-10087.709999999995</v>
      </c>
      <c r="X83" s="128">
        <f>SUMIF('702-798'!$1:$1,X$3,'702-798'!31:31)</f>
        <v>-43155.61</v>
      </c>
      <c r="Y83" s="164">
        <f>SUMIF('702-798'!$1:$1,Y$3,'702-798'!31:31)</f>
        <v>0</v>
      </c>
      <c r="Z83" s="128">
        <f>SUMIF('702-798'!$1:$1,Z$3,'702-798'!31:31)</f>
        <v>0</v>
      </c>
      <c r="AA83" s="128">
        <f>SUMIF('702-798'!$1:$1,AA$3,'702-798'!31:31)</f>
        <v>-63228.720000000008</v>
      </c>
      <c r="AB83" s="128">
        <f>SUMIF('702-798'!$1:$1,AB$3,'702-798'!31:31)</f>
        <v>-9809.2999999999993</v>
      </c>
      <c r="AC83" s="314">
        <f>SUMIF('702-798'!$1:$1,AC$3,'702-798'!31:31)</f>
        <v>0</v>
      </c>
      <c r="AD83" s="314">
        <f>SUMIF('702-798'!$1:$1,AD$3,'702-798'!31:31)</f>
        <v>0</v>
      </c>
      <c r="AE83" s="314">
        <f>SUMIF('702-798'!$1:$1,AE$3,'702-798'!31:31)</f>
        <v>0</v>
      </c>
      <c r="AF83" s="314">
        <f>SUMIF('702-798'!$1:$1,AF$3,'702-798'!31:31)</f>
        <v>0</v>
      </c>
      <c r="AG83" s="128">
        <f>SUMIF('702-798'!$1:$1,AG$3,'702-798'!31:31)</f>
        <v>483304.98</v>
      </c>
      <c r="AH83" s="128">
        <f>SUMIF('702-798'!$1:$1,AH$3,'702-798'!31:31)</f>
        <v>13966.46</v>
      </c>
      <c r="AI83" s="128">
        <f>SUMIF('702-798'!$1:$1,AI$3,'702-798'!31:31)</f>
        <v>252360.88999999998</v>
      </c>
      <c r="AJ83" s="128">
        <f>SUMIF('702-798'!$1:$1,AJ$3,'702-798'!31:31)</f>
        <v>17781.920000000002</v>
      </c>
      <c r="AK83" s="128">
        <f>SUMIF('702-798'!$1:$1,AK$3,'702-798'!31:31)</f>
        <v>64295.80000000001</v>
      </c>
      <c r="AL83" s="128">
        <f>SUMIF('702-798'!$1:$1,AL$3,'702-798'!31:31)</f>
        <v>6512.8600000000006</v>
      </c>
      <c r="AM83" s="128">
        <f>SUMIF('702-798'!$1:$1,AM$3,'702-798'!31:31)</f>
        <v>61986.789999999994</v>
      </c>
      <c r="AN83" s="128">
        <f>SUMIF('702-798'!$1:$1,AN$3,'702-798'!31:31)</f>
        <v>3664.46</v>
      </c>
      <c r="AO83" s="128">
        <f>SUMIF('702-798'!$1:$1,AO$3,'702-798'!31:31)</f>
        <v>2564.08</v>
      </c>
      <c r="AP83" s="128">
        <f>SUMIF('702-798'!$1:$1,AP$3,'702-798'!31:31)</f>
        <v>1061.95</v>
      </c>
      <c r="AQ83" s="128">
        <f>SUMIF('702-798'!$1:$1,AQ$3,'702-798'!31:31)</f>
        <v>0</v>
      </c>
      <c r="AR83" s="128">
        <f>SUMIF('702-798'!$1:$1,AR$3,'702-798'!31:31)</f>
        <v>9954.4300000000021</v>
      </c>
      <c r="AS83" s="128">
        <f>SUMIF('702-798'!$1:$1,AS$3,'702-798'!31:31)</f>
        <v>3549.2799999999988</v>
      </c>
      <c r="AT83" s="128">
        <f>SUMIF('702-798'!$1:$1,AT$3,'702-798'!31:31)</f>
        <v>3076.5899999999992</v>
      </c>
      <c r="AU83" s="128">
        <f>SUMIF('702-798'!$1:$1,AU$3,'702-798'!31:31)</f>
        <v>420.6</v>
      </c>
      <c r="AV83" s="128">
        <f>SUMIF('702-798'!$1:$1,AV$3,'702-798'!31:31)</f>
        <v>9733.92</v>
      </c>
      <c r="AW83" s="128">
        <f>SUMIF('702-798'!$1:$1,AW$3,'702-798'!31:31)</f>
        <v>10229.5</v>
      </c>
      <c r="AX83" s="128">
        <f>SUMIF('702-798'!$1:$1,AX$3,'702-798'!31:31)</f>
        <v>3321.35</v>
      </c>
      <c r="AY83" s="128">
        <f>SUMIF('702-798'!$1:$1,AY$3,'702-798'!31:31)</f>
        <v>31228.999999999993</v>
      </c>
      <c r="AZ83" s="314">
        <f>SUMIF('702-798'!$1:$1,AZ$3,'702-798'!31:31)</f>
        <v>0</v>
      </c>
      <c r="BA83" s="128">
        <f>SUMIF('702-798'!$1:$1,BA$3,'702-798'!31:31)</f>
        <v>3165.48</v>
      </c>
      <c r="BB83" s="128">
        <f>SUMIF('702-798'!$1:$1,BB$3,'702-798'!31:31)</f>
        <v>900</v>
      </c>
      <c r="BC83" s="128">
        <f>SUMIF('702-798'!$1:$1,BC$3,'702-798'!31:31)</f>
        <v>3595.45</v>
      </c>
      <c r="BD83" s="128">
        <f>SUMIF('702-798'!$1:$1,BD$3,'702-798'!31:31)</f>
        <v>3360.12</v>
      </c>
      <c r="BE83" s="128">
        <f>SUMIF('702-798'!$1:$1,BE$3,'702-798'!31:31)</f>
        <v>0</v>
      </c>
      <c r="BF83" s="128">
        <f>SUMIF('702-798'!$1:$1,BF$3,'702-798'!31:31)</f>
        <v>78.459999999999994</v>
      </c>
      <c r="BG83" s="128">
        <f>SUMIF('702-798'!$1:$1,BG$3,'702-798'!31:31)</f>
        <v>2084.5</v>
      </c>
      <c r="BH83" s="128">
        <f>SUMIF('702-798'!$1:$1,BH$3,'702-798'!31:31)</f>
        <v>0</v>
      </c>
      <c r="BI83" s="128">
        <f>SUMIF('702-798'!$1:$1,BI$3,'702-798'!31:31)</f>
        <v>1178.5000000000002</v>
      </c>
      <c r="BJ83" s="128">
        <f>SUMIF('702-798'!$1:$1,BJ$3,'702-798'!31:31)</f>
        <v>7503.22</v>
      </c>
      <c r="BK83" s="128">
        <f>SUMIF('702-798'!$1:$1,BK$3,'702-798'!31:31)</f>
        <v>0</v>
      </c>
      <c r="BL83" s="128">
        <f>SUMIF('702-798'!$1:$1,BL$3,'702-798'!31:31)</f>
        <v>37170.560000000005</v>
      </c>
      <c r="BM83" s="128">
        <f>SUMIF('702-798'!$1:$1,BM$3,'702-798'!31:31)</f>
        <v>0</v>
      </c>
      <c r="BN83" s="128">
        <f>SUMIF('702-798'!$1:$1,BN$3,'702-798'!31:31)</f>
        <v>16206.580000000002</v>
      </c>
      <c r="BO83" s="128">
        <f>SUMIF('702-798'!$1:$1,BO$3,'702-798'!31:31)</f>
        <v>15734.360000000002</v>
      </c>
      <c r="BP83" s="128">
        <f>SUMIF('702-798'!$1:$1,BP$3,'702-798'!31:31)</f>
        <v>0</v>
      </c>
      <c r="BQ83" s="128">
        <f>SUMIF('702-798'!$1:$1,BQ$3,'702-798'!31:31)</f>
        <v>0</v>
      </c>
      <c r="BR83" s="128">
        <f>SUMIF('702-798'!$1:$1,BR$3,'702-798'!31:31)</f>
        <v>0</v>
      </c>
      <c r="BS83" s="128">
        <f>SUMIF('702-798'!$1:$1,BS$3,'702-798'!31:31)</f>
        <v>64798.500000000007</v>
      </c>
      <c r="BT83" s="128">
        <f>SUMIF('702-798'!$1:$1,BT$3,'702-798'!31:31)</f>
        <v>1235.8100000000004</v>
      </c>
      <c r="BU83" s="128">
        <f>SUMIF('702-798'!$1:$1,BU$3,'702-798'!31:31)</f>
        <v>-5473.75</v>
      </c>
      <c r="BV83" s="128">
        <f>SUMIF('702-798'!$1:$1,BV$3,'702-798'!31:31)</f>
        <v>0</v>
      </c>
      <c r="BW83" s="128">
        <f>SUMIF('702-798'!$1:$1,BW$3,'702-798'!31:31)</f>
        <v>0</v>
      </c>
      <c r="BX83" s="128">
        <f>SUMIF('702-798'!$1:$1,BX$3,'702-798'!31:31)</f>
        <v>0</v>
      </c>
      <c r="BY83" s="128">
        <f>SUMIF('702-798'!$1:$1,BY$3,'702-798'!31:31)</f>
        <v>43467.570000000007</v>
      </c>
      <c r="BZ83" s="128">
        <f>SUMIF('702-798'!$1:$1,BZ$3,'702-798'!31:31)</f>
        <v>0</v>
      </c>
      <c r="CA83" s="314">
        <f>SUMIF('702-798'!$1:$1,CA$3,'702-798'!31:31)</f>
        <v>0</v>
      </c>
      <c r="CB83" s="128">
        <f>SUMIF('702-798'!$1:$1,CB$3,'702-798'!31:31)</f>
        <v>0</v>
      </c>
      <c r="CC83" s="128">
        <f>SUMIF('702-798'!$1:$1,CC$3,'702-798'!31:31)</f>
        <v>0</v>
      </c>
      <c r="CD83" s="128">
        <f>SUMIF('702-798'!$1:$1,CD$3,'702-798'!31:31)</f>
        <v>0</v>
      </c>
      <c r="CE83" s="128">
        <f>SUMIF('702-798'!$1:$1,CE$3,'702-798'!31:31)</f>
        <v>4153</v>
      </c>
      <c r="CF83" s="128">
        <f>SUMIF('702-798'!$1:$1,CF$3,'702-798'!31:31)</f>
        <v>0</v>
      </c>
      <c r="CG83" s="257">
        <f t="shared" si="32"/>
        <v>-275679.67000000022</v>
      </c>
      <c r="CJ83" s="122"/>
      <c r="CK83" s="169">
        <f>INDEX(SAP!C:C,MATCH('Actuals mapped to CFR'!A83,SAP!H:H,FALSE),1)</f>
        <v>-275679.67</v>
      </c>
      <c r="CL83" s="59">
        <f t="shared" si="33"/>
        <v>0</v>
      </c>
      <c r="CN83" s="81">
        <f t="shared" si="28"/>
        <v>1247872.8500000003</v>
      </c>
      <c r="CO83" s="81">
        <f t="shared" si="29"/>
        <v>1136026.4000000001</v>
      </c>
      <c r="CP83" s="166">
        <f>VLOOKUP(B83,'2526 GBP Data input'!$A$4:$CA$230,38,FALSE)</f>
        <v>1113812</v>
      </c>
      <c r="CQ83" s="166">
        <f>VLOOKUP(B83,'2526 GBP Data input'!$A$4:$CA$230,73,FALSE)</f>
        <v>14384</v>
      </c>
      <c r="CR83" s="89">
        <f t="shared" si="25"/>
        <v>134060.85000000033</v>
      </c>
      <c r="CS83" s="83">
        <f t="shared" si="26"/>
        <v>78.978476084538386</v>
      </c>
      <c r="CT83" s="82">
        <f t="shared" si="30"/>
        <v>269230.63000000012</v>
      </c>
      <c r="CU83" s="82">
        <f t="shared" si="31"/>
        <v>-21833.660000000007</v>
      </c>
      <c r="CV83" s="86">
        <f t="shared" si="27"/>
        <v>247396.97000000012</v>
      </c>
    </row>
    <row r="84" spans="1:100">
      <c r="A84" s="238">
        <v>107784</v>
      </c>
      <c r="B84" s="60">
        <v>784</v>
      </c>
      <c r="C84" s="60" t="s">
        <v>228</v>
      </c>
      <c r="D84" s="128">
        <f>SUMIF('702-798'!$1:$1,D$3,'702-798'!32:32)</f>
        <v>-67010.740000000005</v>
      </c>
      <c r="E84" s="128">
        <f>SUMIF('702-798'!$1:$1,E$3,'702-798'!32:32)</f>
        <v>-2209.14</v>
      </c>
      <c r="F84" s="128">
        <f>SUMIF('702-798'!$1:$1,F$3,'702-798'!32:32)</f>
        <v>0</v>
      </c>
      <c r="G84" s="128">
        <f>SUMIF('702-798'!$1:$1,G$3,'702-798'!32:32)</f>
        <v>-14446.21</v>
      </c>
      <c r="H84" s="128">
        <f>SUMIF('702-798'!$1:$1,H$3,'702-798'!32:32)</f>
        <v>0</v>
      </c>
      <c r="I84" s="128">
        <f>SUMIF('702-798'!$1:$1,I$3,'702-798'!32:32)</f>
        <v>0</v>
      </c>
      <c r="J84" s="128">
        <f>SUMIF('702-798'!$1:$1,J$3,'702-798'!32:32)</f>
        <v>-1700.58</v>
      </c>
      <c r="K84" s="128">
        <f>SUMIF('702-798'!$1:$1,K$3,'702-798'!32:32)</f>
        <v>-420137.61</v>
      </c>
      <c r="L84" s="128">
        <f>SUMIF('702-798'!$1:$1,L$3,'702-798'!32:32)</f>
        <v>0</v>
      </c>
      <c r="M84" s="128">
        <f>SUMIF('702-798'!$1:$1,M$3,'702-798'!32:32)</f>
        <v>-96128</v>
      </c>
      <c r="N84" s="128">
        <f>SUMIF('702-798'!$1:$1,N$3,'702-798'!32:32)</f>
        <v>0</v>
      </c>
      <c r="O84" s="128">
        <f>SUMIF('702-798'!$1:$1,O$3,'702-798'!32:32)</f>
        <v>-13235</v>
      </c>
      <c r="P84" s="128">
        <f>SUMIF('702-798'!$1:$1,P$3,'702-798'!32:32)</f>
        <v>-20362.93</v>
      </c>
      <c r="Q84" s="128">
        <f>SUMIF('702-798'!$1:$1,Q$3,'702-798'!32:32)</f>
        <v>0</v>
      </c>
      <c r="R84" s="128">
        <f>SUMIF('702-798'!$1:$1,R$3,'702-798'!32:32)</f>
        <v>0</v>
      </c>
      <c r="S84" s="128">
        <f>SUMIF('702-798'!$1:$1,S$3,'702-798'!32:32)</f>
        <v>-5825.33</v>
      </c>
      <c r="T84" s="128">
        <f>SUMIF('702-798'!$1:$1,T$3,'702-798'!32:32)</f>
        <v>0</v>
      </c>
      <c r="U84" s="128">
        <f>SUMIF('702-798'!$1:$1,U$3,'702-798'!32:32)</f>
        <v>0</v>
      </c>
      <c r="V84" s="128">
        <f>SUMIF('702-798'!$1:$1,V$3,'702-798'!32:32)</f>
        <v>0</v>
      </c>
      <c r="W84" s="128">
        <f>SUMIF('702-798'!$1:$1,W$3,'702-798'!32:32)</f>
        <v>-1951.5100000000004</v>
      </c>
      <c r="X84" s="128">
        <f>SUMIF('702-798'!$1:$1,X$3,'702-798'!32:32)</f>
        <v>-78.75</v>
      </c>
      <c r="Y84" s="164">
        <f>SUMIF('702-798'!$1:$1,Y$3,'702-798'!32:32)</f>
        <v>0</v>
      </c>
      <c r="Z84" s="128">
        <f>SUMIF('702-798'!$1:$1,Z$3,'702-798'!32:32)</f>
        <v>0</v>
      </c>
      <c r="AA84" s="128">
        <f>SUMIF('702-798'!$1:$1,AA$3,'702-798'!32:32)</f>
        <v>-11266.800000000003</v>
      </c>
      <c r="AB84" s="128">
        <f>SUMIF('702-798'!$1:$1,AB$3,'702-798'!32:32)</f>
        <v>-32.06</v>
      </c>
      <c r="AC84" s="314">
        <f>SUMIF('702-798'!$1:$1,AC$3,'702-798'!32:32)</f>
        <v>0</v>
      </c>
      <c r="AD84" s="314">
        <f>SUMIF('702-798'!$1:$1,AD$3,'702-798'!32:32)</f>
        <v>0</v>
      </c>
      <c r="AE84" s="314">
        <f>SUMIF('702-798'!$1:$1,AE$3,'702-798'!32:32)</f>
        <v>0</v>
      </c>
      <c r="AF84" s="314">
        <f>SUMIF('702-798'!$1:$1,AF$3,'702-798'!32:32)</f>
        <v>0</v>
      </c>
      <c r="AG84" s="128">
        <f>SUMIF('702-798'!$1:$1,AG$3,'702-798'!32:32)</f>
        <v>247721.86000000004</v>
      </c>
      <c r="AH84" s="128">
        <f>SUMIF('702-798'!$1:$1,AH$3,'702-798'!32:32)</f>
        <v>9145.2200000000012</v>
      </c>
      <c r="AI84" s="128">
        <f>SUMIF('702-798'!$1:$1,AI$3,'702-798'!32:32)</f>
        <v>145004.03999999998</v>
      </c>
      <c r="AJ84" s="128">
        <f>SUMIF('702-798'!$1:$1,AJ$3,'702-798'!32:32)</f>
        <v>22230.26</v>
      </c>
      <c r="AK84" s="128">
        <f>SUMIF('702-798'!$1:$1,AK$3,'702-798'!32:32)</f>
        <v>27927.39</v>
      </c>
      <c r="AL84" s="128">
        <f>SUMIF('702-798'!$1:$1,AL$3,'702-798'!32:32)</f>
        <v>0</v>
      </c>
      <c r="AM84" s="128">
        <f>SUMIF('702-798'!$1:$1,AM$3,'702-798'!32:32)</f>
        <v>20556.2</v>
      </c>
      <c r="AN84" s="128">
        <f>SUMIF('702-798'!$1:$1,AN$3,'702-798'!32:32)</f>
        <v>1493.1</v>
      </c>
      <c r="AO84" s="128">
        <f>SUMIF('702-798'!$1:$1,AO$3,'702-798'!32:32)</f>
        <v>2694.78</v>
      </c>
      <c r="AP84" s="128">
        <f>SUMIF('702-798'!$1:$1,AP$3,'702-798'!32:32)</f>
        <v>1125.05</v>
      </c>
      <c r="AQ84" s="128">
        <f>SUMIF('702-798'!$1:$1,AQ$3,'702-798'!32:32)</f>
        <v>0</v>
      </c>
      <c r="AR84" s="128">
        <f>SUMIF('702-798'!$1:$1,AR$3,'702-798'!32:32)</f>
        <v>3702.5000000000023</v>
      </c>
      <c r="AS84" s="128">
        <f>SUMIF('702-798'!$1:$1,AS$3,'702-798'!32:32)</f>
        <v>5304.6299999999992</v>
      </c>
      <c r="AT84" s="128">
        <f>SUMIF('702-798'!$1:$1,AT$3,'702-798'!32:32)</f>
        <v>0</v>
      </c>
      <c r="AU84" s="128">
        <f>SUMIF('702-798'!$1:$1,AU$3,'702-798'!32:32)</f>
        <v>1394.79</v>
      </c>
      <c r="AV84" s="128">
        <f>SUMIF('702-798'!$1:$1,AV$3,'702-798'!32:32)</f>
        <v>8086.1599999999989</v>
      </c>
      <c r="AW84" s="128">
        <f>SUMIF('702-798'!$1:$1,AW$3,'702-798'!32:32)</f>
        <v>8882.5</v>
      </c>
      <c r="AX84" s="128">
        <f>SUMIF('702-798'!$1:$1,AX$3,'702-798'!32:32)</f>
        <v>1185.3300000000002</v>
      </c>
      <c r="AY84" s="128">
        <f>SUMIF('702-798'!$1:$1,AY$3,'702-798'!32:32)</f>
        <v>27841.480000000021</v>
      </c>
      <c r="AZ84" s="314">
        <f>SUMIF('702-798'!$1:$1,AZ$3,'702-798'!32:32)</f>
        <v>0</v>
      </c>
      <c r="BA84" s="128">
        <f>SUMIF('702-798'!$1:$1,BA$3,'702-798'!32:32)</f>
        <v>4754.12</v>
      </c>
      <c r="BB84" s="128">
        <f>SUMIF('702-798'!$1:$1,BB$3,'702-798'!32:32)</f>
        <v>0</v>
      </c>
      <c r="BC84" s="128">
        <f>SUMIF('702-798'!$1:$1,BC$3,'702-798'!32:32)</f>
        <v>0</v>
      </c>
      <c r="BD84" s="128">
        <f>SUMIF('702-798'!$1:$1,BD$3,'702-798'!32:32)</f>
        <v>4058.9400000000005</v>
      </c>
      <c r="BE84" s="128">
        <f>SUMIF('702-798'!$1:$1,BE$3,'702-798'!32:32)</f>
        <v>1839.99</v>
      </c>
      <c r="BF84" s="128">
        <f>SUMIF('702-798'!$1:$1,BF$3,'702-798'!32:32)</f>
        <v>712.9</v>
      </c>
      <c r="BG84" s="128">
        <f>SUMIF('702-798'!$1:$1,BG$3,'702-798'!32:32)</f>
        <v>3430</v>
      </c>
      <c r="BH84" s="128">
        <f>SUMIF('702-798'!$1:$1,BH$3,'702-798'!32:32)</f>
        <v>0</v>
      </c>
      <c r="BI84" s="128">
        <f>SUMIF('702-798'!$1:$1,BI$3,'702-798'!32:32)</f>
        <v>1482.4</v>
      </c>
      <c r="BJ84" s="128">
        <f>SUMIF('702-798'!$1:$1,BJ$3,'702-798'!32:32)</f>
        <v>2213.1800000000003</v>
      </c>
      <c r="BK84" s="128">
        <f>SUMIF('702-798'!$1:$1,BK$3,'702-798'!32:32)</f>
        <v>0</v>
      </c>
      <c r="BL84" s="128">
        <f>SUMIF('702-798'!$1:$1,BL$3,'702-798'!32:32)</f>
        <v>7934.69</v>
      </c>
      <c r="BM84" s="128">
        <f>SUMIF('702-798'!$1:$1,BM$3,'702-798'!32:32)</f>
        <v>6995.6600000000008</v>
      </c>
      <c r="BN84" s="128">
        <f>SUMIF('702-798'!$1:$1,BN$3,'702-798'!32:32)</f>
        <v>19308.599999999999</v>
      </c>
      <c r="BO84" s="128">
        <f>SUMIF('702-798'!$1:$1,BO$3,'702-798'!32:32)</f>
        <v>11126.32</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-4630</v>
      </c>
      <c r="BV84" s="128">
        <f>SUMIF('702-798'!$1:$1,BV$3,'702-798'!32:32)</f>
        <v>0</v>
      </c>
      <c r="BW84" s="128">
        <f>SUMIF('702-798'!$1:$1,BW$3,'702-798'!32:32)</f>
        <v>0</v>
      </c>
      <c r="BX84" s="128">
        <f>SUMIF('702-798'!$1:$1,BX$3,'702-798'!32:32)</f>
        <v>0</v>
      </c>
      <c r="BY84" s="128">
        <f>SUMIF('702-798'!$1:$1,BY$3,'702-798'!32:32)</f>
        <v>14977</v>
      </c>
      <c r="BZ84" s="128">
        <f>SUMIF('702-798'!$1:$1,BZ$3,'702-798'!32:32)</f>
        <v>0</v>
      </c>
      <c r="CA84" s="314">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7">
        <f t="shared" si="32"/>
        <v>-45885.570000000043</v>
      </c>
      <c r="CJ84" s="122"/>
      <c r="CK84" s="169">
        <f>INDEX(SAP!C:C,MATCH('Actuals mapped to CFR'!A84,SAP!H:H,FALSE),1)</f>
        <v>-45885.57</v>
      </c>
      <c r="CL84" s="59">
        <f t="shared" si="33"/>
        <v>0</v>
      </c>
      <c r="CN84" s="81">
        <f t="shared" si="28"/>
        <v>569017.99000000011</v>
      </c>
      <c r="CO84" s="81">
        <f t="shared" si="29"/>
        <v>598152.09</v>
      </c>
      <c r="CP84" s="166">
        <f>VLOOKUP(B84,'2526 GBP Data input'!$A$4:$CA$230,38,FALSE)</f>
        <v>540981</v>
      </c>
      <c r="CQ84" s="166">
        <f>VLOOKUP(B84,'2526 GBP Data input'!$A$4:$CA$230,73,FALSE)</f>
        <v>13970</v>
      </c>
      <c r="CR84" s="89">
        <f t="shared" si="25"/>
        <v>28036.990000000107</v>
      </c>
      <c r="CS84" s="83">
        <f t="shared" si="26"/>
        <v>42.816899785254115</v>
      </c>
      <c r="CT84" s="82">
        <f t="shared" si="30"/>
        <v>37876.64000000013</v>
      </c>
      <c r="CU84" s="82">
        <f t="shared" si="31"/>
        <v>4099.2099999999991</v>
      </c>
      <c r="CV84" s="86">
        <f t="shared" si="27"/>
        <v>41975.85000000013</v>
      </c>
    </row>
    <row r="85" spans="1:100">
      <c r="A85" s="238">
        <v>107786</v>
      </c>
      <c r="B85" s="60">
        <v>786</v>
      </c>
      <c r="C85" s="60" t="s">
        <v>259</v>
      </c>
      <c r="D85" s="128">
        <f>SUMIF('702-798'!$1:$1,D$3,'702-798'!33:33)</f>
        <v>477547.99</v>
      </c>
      <c r="E85" s="128">
        <f>SUMIF('702-798'!$1:$1,E$3,'702-798'!33:33)</f>
        <v>-12020.68</v>
      </c>
      <c r="F85" s="128">
        <f>SUMIF('702-798'!$1:$1,F$3,'702-798'!33:33)</f>
        <v>0</v>
      </c>
      <c r="G85" s="128">
        <f>SUMIF('702-798'!$1:$1,G$3,'702-798'!33:33)</f>
        <v>-7398.48</v>
      </c>
      <c r="H85" s="128">
        <f>SUMIF('702-798'!$1:$1,H$3,'702-798'!33:33)</f>
        <v>0</v>
      </c>
      <c r="I85" s="128">
        <f>SUMIF('702-798'!$1:$1,I$3,'702-798'!33:33)</f>
        <v>0</v>
      </c>
      <c r="J85" s="128">
        <f>SUMIF('702-798'!$1:$1,J$3,'702-798'!33:33)</f>
        <v>0</v>
      </c>
      <c r="K85" s="128">
        <f>SUMIF('702-798'!$1:$1,K$3,'702-798'!33:33)</f>
        <v>-1210573.01</v>
      </c>
      <c r="L85" s="128">
        <f>SUMIF('702-798'!$1:$1,L$3,'702-798'!33:33)</f>
        <v>0</v>
      </c>
      <c r="M85" s="128">
        <f>SUMIF('702-798'!$1:$1,M$3,'702-798'!33:33)</f>
        <v>-120688</v>
      </c>
      <c r="N85" s="128">
        <f>SUMIF('702-798'!$1:$1,N$3,'702-798'!33:33)</f>
        <v>0</v>
      </c>
      <c r="O85" s="128">
        <f>SUMIF('702-798'!$1:$1,O$3,'702-798'!33:33)</f>
        <v>-71441</v>
      </c>
      <c r="P85" s="128">
        <f>SUMIF('702-798'!$1:$1,P$3,'702-798'!33:33)</f>
        <v>-54484</v>
      </c>
      <c r="Q85" s="128">
        <f>SUMIF('702-798'!$1:$1,Q$3,'702-798'!33:33)</f>
        <v>-3000</v>
      </c>
      <c r="R85" s="128">
        <f>SUMIF('702-798'!$1:$1,R$3,'702-798'!33:33)</f>
        <v>-555</v>
      </c>
      <c r="S85" s="128">
        <f>SUMIF('702-798'!$1:$1,S$3,'702-798'!33:33)</f>
        <v>-51777.380000000019</v>
      </c>
      <c r="T85" s="128">
        <f>SUMIF('702-798'!$1:$1,T$3,'702-798'!33:33)</f>
        <v>-3356.46</v>
      </c>
      <c r="U85" s="128">
        <f>SUMIF('702-798'!$1:$1,U$3,'702-798'!33:33)</f>
        <v>0</v>
      </c>
      <c r="V85" s="128">
        <f>SUMIF('702-798'!$1:$1,V$3,'702-798'!33:33)</f>
        <v>0</v>
      </c>
      <c r="W85" s="128">
        <f>SUMIF('702-798'!$1:$1,W$3,'702-798'!33:33)</f>
        <v>-26260.170000000002</v>
      </c>
      <c r="X85" s="128">
        <f>SUMIF('702-798'!$1:$1,X$3,'702-798'!33:33)</f>
        <v>-17946.060000000001</v>
      </c>
      <c r="Y85" s="164">
        <f>SUMIF('702-798'!$1:$1,Y$3,'702-798'!33:33)</f>
        <v>0</v>
      </c>
      <c r="Z85" s="128">
        <f>SUMIF('702-798'!$1:$1,Z$3,'702-798'!33:33)</f>
        <v>0</v>
      </c>
      <c r="AA85" s="128">
        <f>SUMIF('702-798'!$1:$1,AA$3,'702-798'!33:33)</f>
        <v>0</v>
      </c>
      <c r="AB85" s="128">
        <f>SUMIF('702-798'!$1:$1,AB$3,'702-798'!33:33)</f>
        <v>0</v>
      </c>
      <c r="AC85" s="314">
        <f>SUMIF('702-798'!$1:$1,AC$3,'702-798'!33:33)</f>
        <v>0</v>
      </c>
      <c r="AD85" s="314">
        <f>SUMIF('702-798'!$1:$1,AD$3,'702-798'!33:33)</f>
        <v>0</v>
      </c>
      <c r="AE85" s="314">
        <f>SUMIF('702-798'!$1:$1,AE$3,'702-798'!33:33)</f>
        <v>0</v>
      </c>
      <c r="AF85" s="314">
        <f>SUMIF('702-798'!$1:$1,AF$3,'702-798'!33:33)</f>
        <v>0</v>
      </c>
      <c r="AG85" s="128">
        <f>SUMIF('702-798'!$1:$1,AG$3,'702-798'!33:33)</f>
        <v>776305.78</v>
      </c>
      <c r="AH85" s="128">
        <f>SUMIF('702-798'!$1:$1,AH$3,'702-798'!33:33)</f>
        <v>3043.98</v>
      </c>
      <c r="AI85" s="128">
        <f>SUMIF('702-798'!$1:$1,AI$3,'702-798'!33:33)</f>
        <v>359647.54</v>
      </c>
      <c r="AJ85" s="128">
        <f>SUMIF('702-798'!$1:$1,AJ$3,'702-798'!33:33)</f>
        <v>26600.449999999997</v>
      </c>
      <c r="AK85" s="128">
        <f>SUMIF('702-798'!$1:$1,AK$3,'702-798'!33:33)</f>
        <v>92660.75999999998</v>
      </c>
      <c r="AL85" s="128">
        <f>SUMIF('702-798'!$1:$1,AL$3,'702-798'!33:33)</f>
        <v>0</v>
      </c>
      <c r="AM85" s="128">
        <f>SUMIF('702-798'!$1:$1,AM$3,'702-798'!33:33)</f>
        <v>90619.119999999981</v>
      </c>
      <c r="AN85" s="128">
        <f>SUMIF('702-798'!$1:$1,AN$3,'702-798'!33:33)</f>
        <v>4948.9400000000005</v>
      </c>
      <c r="AO85" s="128">
        <f>SUMIF('702-798'!$1:$1,AO$3,'702-798'!33:33)</f>
        <v>3016</v>
      </c>
      <c r="AP85" s="128">
        <f>SUMIF('702-798'!$1:$1,AP$3,'702-798'!33:33)</f>
        <v>10675.77</v>
      </c>
      <c r="AQ85" s="128">
        <f>SUMIF('702-798'!$1:$1,AQ$3,'702-798'!33:33)</f>
        <v>0</v>
      </c>
      <c r="AR85" s="128">
        <f>SUMIF('702-798'!$1:$1,AR$3,'702-798'!33:33)</f>
        <v>11315.049999999997</v>
      </c>
      <c r="AS85" s="128">
        <f>SUMIF('702-798'!$1:$1,AS$3,'702-798'!33:33)</f>
        <v>1884.69</v>
      </c>
      <c r="AT85" s="128">
        <f>SUMIF('702-798'!$1:$1,AT$3,'702-798'!33:33)</f>
        <v>37543.07</v>
      </c>
      <c r="AU85" s="128">
        <f>SUMIF('702-798'!$1:$1,AU$3,'702-798'!33:33)</f>
        <v>3607.7599999999998</v>
      </c>
      <c r="AV85" s="128">
        <f>SUMIF('702-798'!$1:$1,AV$3,'702-798'!33:33)</f>
        <v>24303.590000000004</v>
      </c>
      <c r="AW85" s="128">
        <f>SUMIF('702-798'!$1:$1,AW$3,'702-798'!33:33)</f>
        <v>24326.25</v>
      </c>
      <c r="AX85" s="128">
        <f>SUMIF('702-798'!$1:$1,AX$3,'702-798'!33:33)</f>
        <v>3707.46</v>
      </c>
      <c r="AY85" s="128">
        <f>SUMIF('702-798'!$1:$1,AY$3,'702-798'!33:33)</f>
        <v>42544.57</v>
      </c>
      <c r="AZ85" s="314">
        <f>SUMIF('702-798'!$1:$1,AZ$3,'702-798'!33:33)</f>
        <v>0</v>
      </c>
      <c r="BA85" s="128">
        <f>SUMIF('702-798'!$1:$1,BA$3,'702-798'!33:33)</f>
        <v>2307.0000000000005</v>
      </c>
      <c r="BB85" s="128">
        <f>SUMIF('702-798'!$1:$1,BB$3,'702-798'!33:33)</f>
        <v>0</v>
      </c>
      <c r="BC85" s="128">
        <f>SUMIF('702-798'!$1:$1,BC$3,'702-798'!33:33)</f>
        <v>15499.07</v>
      </c>
      <c r="BD85" s="128">
        <f>SUMIF('702-798'!$1:$1,BD$3,'702-798'!33:33)</f>
        <v>8258.16</v>
      </c>
      <c r="BE85" s="128">
        <f>SUMIF('702-798'!$1:$1,BE$3,'702-798'!33:33)</f>
        <v>0</v>
      </c>
      <c r="BF85" s="128">
        <f>SUMIF('702-798'!$1:$1,BF$3,'702-798'!33:33)</f>
        <v>49.99</v>
      </c>
      <c r="BG85" s="128">
        <f>SUMIF('702-798'!$1:$1,BG$3,'702-798'!33:33)</f>
        <v>2455.94</v>
      </c>
      <c r="BH85" s="128">
        <f>SUMIF('702-798'!$1:$1,BH$3,'702-798'!33:33)</f>
        <v>0</v>
      </c>
      <c r="BI85" s="128">
        <f>SUMIF('702-798'!$1:$1,BI$3,'702-798'!33:33)</f>
        <v>3120.6400000000003</v>
      </c>
      <c r="BJ85" s="128">
        <f>SUMIF('702-798'!$1:$1,BJ$3,'702-798'!33:33)</f>
        <v>12145.5</v>
      </c>
      <c r="BK85" s="128">
        <f>SUMIF('702-798'!$1:$1,BK$3,'702-798'!33:33)</f>
        <v>0</v>
      </c>
      <c r="BL85" s="128">
        <f>SUMIF('702-798'!$1:$1,BL$3,'702-798'!33:33)</f>
        <v>48571.939999999995</v>
      </c>
      <c r="BM85" s="128">
        <f>SUMIF('702-798'!$1:$1,BM$3,'702-798'!33:33)</f>
        <v>195</v>
      </c>
      <c r="BN85" s="128">
        <f>SUMIF('702-798'!$1:$1,BN$3,'702-798'!33:33)</f>
        <v>1896</v>
      </c>
      <c r="BO85" s="128">
        <f>SUMIF('702-798'!$1:$1,BO$3,'702-798'!33:33)</f>
        <v>29737.399999999998</v>
      </c>
      <c r="BP85" s="128">
        <f>SUMIF('702-798'!$1:$1,BP$3,'702-798'!33:33)</f>
        <v>0</v>
      </c>
      <c r="BQ85" s="128">
        <f>SUMIF('702-798'!$1:$1,BQ$3,'702-798'!33:33)</f>
        <v>0</v>
      </c>
      <c r="BR85" s="128">
        <f>SUMIF('702-798'!$1:$1,BR$3,'702-798'!33:33)</f>
        <v>2250</v>
      </c>
      <c r="BS85" s="128">
        <f>SUMIF('702-798'!$1:$1,BS$3,'702-798'!33:33)</f>
        <v>0</v>
      </c>
      <c r="BT85" s="128">
        <f>SUMIF('702-798'!$1:$1,BT$3,'702-798'!33:33)</f>
        <v>0</v>
      </c>
      <c r="BU85" s="128">
        <f>SUMIF('702-798'!$1:$1,BU$3,'702-798'!33:33)</f>
        <v>-6621.25</v>
      </c>
      <c r="BV85" s="128">
        <f>SUMIF('702-798'!$1:$1,BV$3,'702-798'!33:33)</f>
        <v>0</v>
      </c>
      <c r="BW85" s="128">
        <f>SUMIF('702-798'!$1:$1,BW$3,'702-798'!33:33)</f>
        <v>-2250</v>
      </c>
      <c r="BX85" s="128">
        <f>SUMIF('702-798'!$1:$1,BX$3,'702-798'!33:33)</f>
        <v>0</v>
      </c>
      <c r="BY85" s="128">
        <f>SUMIF('702-798'!$1:$1,BY$3,'702-798'!33:33)</f>
        <v>11449</v>
      </c>
      <c r="BZ85" s="128">
        <f>SUMIF('702-798'!$1:$1,BZ$3,'702-798'!33:33)</f>
        <v>0</v>
      </c>
      <c r="CA85" s="314">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7">
        <f t="shared" si="32"/>
        <v>543862.92000000004</v>
      </c>
      <c r="CJ85" s="122"/>
      <c r="CK85" s="169">
        <f>INDEX(SAP!C:C,MATCH('Actuals mapped to CFR'!A85,SAP!H:H,FALSE),1)</f>
        <v>543862.92000000004</v>
      </c>
      <c r="CL85" s="59">
        <f t="shared" si="33"/>
        <v>0</v>
      </c>
      <c r="CN85" s="81">
        <f t="shared" si="28"/>
        <v>1560081.08</v>
      </c>
      <c r="CO85" s="81">
        <f t="shared" si="29"/>
        <v>1643237.4199999997</v>
      </c>
      <c r="CP85" s="166">
        <f>VLOOKUP(B85,'2526 GBP Data input'!$A$4:$CA$230,38,FALSE)</f>
        <v>1481907</v>
      </c>
      <c r="CQ85" s="166">
        <f>VLOOKUP(B85,'2526 GBP Data input'!$A$4:$CA$230,73,FALSE)</f>
        <v>26299</v>
      </c>
      <c r="CR85" s="89">
        <f t="shared" si="25"/>
        <v>78174.080000000075</v>
      </c>
      <c r="CS85" s="83">
        <f t="shared" si="26"/>
        <v>62.482886041294336</v>
      </c>
      <c r="CT85" s="82">
        <f t="shared" si="30"/>
        <v>-560704.32999999961</v>
      </c>
      <c r="CU85" s="82">
        <f t="shared" si="31"/>
        <v>4820.7299999999996</v>
      </c>
      <c r="CV85" s="86">
        <f t="shared" si="27"/>
        <v>-555883.59999999963</v>
      </c>
    </row>
    <row r="86" spans="1:100">
      <c r="A86" s="238">
        <v>107787</v>
      </c>
      <c r="B86" s="60">
        <v>787</v>
      </c>
      <c r="C86" s="60" t="s">
        <v>275</v>
      </c>
      <c r="D86" s="128">
        <f>SUMIF('702-798'!$1:$1,D$3,'702-798'!34:34)</f>
        <v>14098.18</v>
      </c>
      <c r="E86" s="128">
        <f>SUMIF('702-798'!$1:$1,E$3,'702-798'!34:34)</f>
        <v>-10314.24</v>
      </c>
      <c r="F86" s="128">
        <f>SUMIF('702-798'!$1:$1,F$3,'702-798'!34:34)</f>
        <v>0</v>
      </c>
      <c r="G86" s="128">
        <f>SUMIF('702-798'!$1:$1,G$3,'702-798'!34:34)</f>
        <v>-8655.75</v>
      </c>
      <c r="H86" s="128">
        <f>SUMIF('702-798'!$1:$1,H$3,'702-798'!34:34)</f>
        <v>0</v>
      </c>
      <c r="I86" s="128">
        <f>SUMIF('702-798'!$1:$1,I$3,'702-798'!34:34)</f>
        <v>0</v>
      </c>
      <c r="J86" s="128">
        <f>SUMIF('702-798'!$1:$1,J$3,'702-798'!34:34)</f>
        <v>0</v>
      </c>
      <c r="K86" s="128">
        <f>SUMIF('702-798'!$1:$1,K$3,'702-798'!34:34)</f>
        <v>-382597.76</v>
      </c>
      <c r="L86" s="128">
        <f>SUMIF('702-798'!$1:$1,L$3,'702-798'!34:34)</f>
        <v>0</v>
      </c>
      <c r="M86" s="128">
        <f>SUMIF('702-798'!$1:$1,M$3,'702-798'!34:34)</f>
        <v>-40397</v>
      </c>
      <c r="N86" s="128">
        <f>SUMIF('702-798'!$1:$1,N$3,'702-798'!34:34)</f>
        <v>0</v>
      </c>
      <c r="O86" s="128">
        <f>SUMIF('702-798'!$1:$1,O$3,'702-798'!34:34)</f>
        <v>-14300</v>
      </c>
      <c r="P86" s="128">
        <f>SUMIF('702-798'!$1:$1,P$3,'702-798'!34:34)</f>
        <v>-21923</v>
      </c>
      <c r="Q86" s="128">
        <f>SUMIF('702-798'!$1:$1,Q$3,'702-798'!34:34)</f>
        <v>0</v>
      </c>
      <c r="R86" s="128">
        <f>SUMIF('702-798'!$1:$1,R$3,'702-798'!34:34)</f>
        <v>0</v>
      </c>
      <c r="S86" s="128">
        <f>SUMIF('702-798'!$1:$1,S$3,'702-798'!34:34)</f>
        <v>-12181.03</v>
      </c>
      <c r="T86" s="128">
        <f>SUMIF('702-798'!$1:$1,T$3,'702-798'!34:34)</f>
        <v>2.0099999999999998</v>
      </c>
      <c r="U86" s="128">
        <f>SUMIF('702-798'!$1:$1,U$3,'702-798'!34:34)</f>
        <v>0</v>
      </c>
      <c r="V86" s="128">
        <f>SUMIF('702-798'!$1:$1,V$3,'702-798'!34:34)</f>
        <v>0</v>
      </c>
      <c r="W86" s="128">
        <f>SUMIF('702-798'!$1:$1,W$3,'702-798'!34:34)</f>
        <v>-8016.1500000000033</v>
      </c>
      <c r="X86" s="128">
        <f>SUMIF('702-798'!$1:$1,X$3,'702-798'!34:34)</f>
        <v>-650</v>
      </c>
      <c r="Y86" s="164">
        <f>SUMIF('702-798'!$1:$1,Y$3,'702-798'!34:34)</f>
        <v>0</v>
      </c>
      <c r="Z86" s="128">
        <f>SUMIF('702-798'!$1:$1,Z$3,'702-798'!34:34)</f>
        <v>0</v>
      </c>
      <c r="AA86" s="128">
        <f>SUMIF('702-798'!$1:$1,AA$3,'702-798'!34:34)</f>
        <v>0</v>
      </c>
      <c r="AB86" s="128">
        <f>SUMIF('702-798'!$1:$1,AB$3,'702-798'!34:34)</f>
        <v>0</v>
      </c>
      <c r="AC86" s="314">
        <f>SUMIF('702-798'!$1:$1,AC$3,'702-798'!34:34)</f>
        <v>0</v>
      </c>
      <c r="AD86" s="314">
        <f>SUMIF('702-798'!$1:$1,AD$3,'702-798'!34:34)</f>
        <v>0</v>
      </c>
      <c r="AE86" s="314">
        <f>SUMIF('702-798'!$1:$1,AE$3,'702-798'!34:34)</f>
        <v>0</v>
      </c>
      <c r="AF86" s="314">
        <f>SUMIF('702-798'!$1:$1,AF$3,'702-798'!34:34)</f>
        <v>0</v>
      </c>
      <c r="AG86" s="128">
        <f>SUMIF('702-798'!$1:$1,AG$3,'702-798'!34:34)</f>
        <v>281503.85000000003</v>
      </c>
      <c r="AH86" s="128">
        <f>SUMIF('702-798'!$1:$1,AH$3,'702-798'!34:34)</f>
        <v>5710.27</v>
      </c>
      <c r="AI86" s="128">
        <f>SUMIF('702-798'!$1:$1,AI$3,'702-798'!34:34)</f>
        <v>66063.95</v>
      </c>
      <c r="AJ86" s="128">
        <f>SUMIF('702-798'!$1:$1,AJ$3,'702-798'!34:34)</f>
        <v>0</v>
      </c>
      <c r="AK86" s="128">
        <f>SUMIF('702-798'!$1:$1,AK$3,'702-798'!34:34)</f>
        <v>19434.5</v>
      </c>
      <c r="AL86" s="128">
        <f>SUMIF('702-798'!$1:$1,AL$3,'702-798'!34:34)</f>
        <v>0</v>
      </c>
      <c r="AM86" s="128">
        <f>SUMIF('702-798'!$1:$1,AM$3,'702-798'!34:34)</f>
        <v>17156.400000000005</v>
      </c>
      <c r="AN86" s="128">
        <f>SUMIF('702-798'!$1:$1,AN$3,'702-798'!34:34)</f>
        <v>1767.6100000000001</v>
      </c>
      <c r="AO86" s="128">
        <f>SUMIF('702-798'!$1:$1,AO$3,'702-798'!34:34)</f>
        <v>5312.25</v>
      </c>
      <c r="AP86" s="128">
        <f>SUMIF('702-798'!$1:$1,AP$3,'702-798'!34:34)</f>
        <v>112.85</v>
      </c>
      <c r="AQ86" s="128">
        <f>SUMIF('702-798'!$1:$1,AQ$3,'702-798'!34:34)</f>
        <v>0</v>
      </c>
      <c r="AR86" s="128">
        <f>SUMIF('702-798'!$1:$1,AR$3,'702-798'!34:34)</f>
        <v>7974.23</v>
      </c>
      <c r="AS86" s="128">
        <f>SUMIF('702-798'!$1:$1,AS$3,'702-798'!34:34)</f>
        <v>1428.75</v>
      </c>
      <c r="AT86" s="128">
        <f>SUMIF('702-798'!$1:$1,AT$3,'702-798'!34:34)</f>
        <v>10038.459999999999</v>
      </c>
      <c r="AU86" s="128">
        <f>SUMIF('702-798'!$1:$1,AU$3,'702-798'!34:34)</f>
        <v>297.99</v>
      </c>
      <c r="AV86" s="128">
        <f>SUMIF('702-798'!$1:$1,AV$3,'702-798'!34:34)</f>
        <v>3028.63</v>
      </c>
      <c r="AW86" s="128">
        <f>SUMIF('702-798'!$1:$1,AW$3,'702-798'!34:34)</f>
        <v>2844.3</v>
      </c>
      <c r="AX86" s="128">
        <f>SUMIF('702-798'!$1:$1,AX$3,'702-798'!34:34)</f>
        <v>2450.06</v>
      </c>
      <c r="AY86" s="128">
        <f>SUMIF('702-798'!$1:$1,AY$3,'702-798'!34:34)</f>
        <v>19884.990000000002</v>
      </c>
      <c r="AZ86" s="314">
        <f>SUMIF('702-798'!$1:$1,AZ$3,'702-798'!34:34)</f>
        <v>0</v>
      </c>
      <c r="BA86" s="128">
        <f>SUMIF('702-798'!$1:$1,BA$3,'702-798'!34:34)</f>
        <v>843.85000000000014</v>
      </c>
      <c r="BB86" s="128">
        <f>SUMIF('702-798'!$1:$1,BB$3,'702-798'!34:34)</f>
        <v>0</v>
      </c>
      <c r="BC86" s="128">
        <f>SUMIF('702-798'!$1:$1,BC$3,'702-798'!34:34)</f>
        <v>2746.9500000000003</v>
      </c>
      <c r="BD86" s="128">
        <f>SUMIF('702-798'!$1:$1,BD$3,'702-798'!34:34)</f>
        <v>2127.92</v>
      </c>
      <c r="BE86" s="128">
        <f>SUMIF('702-798'!$1:$1,BE$3,'702-798'!34:34)</f>
        <v>0</v>
      </c>
      <c r="BF86" s="128">
        <f>SUMIF('702-798'!$1:$1,BF$3,'702-798'!34:34)</f>
        <v>0</v>
      </c>
      <c r="BG86" s="128">
        <f>SUMIF('702-798'!$1:$1,BG$3,'702-798'!34:34)</f>
        <v>13548.04</v>
      </c>
      <c r="BH86" s="128">
        <f>SUMIF('702-798'!$1:$1,BH$3,'702-798'!34:34)</f>
        <v>0</v>
      </c>
      <c r="BI86" s="128">
        <f>SUMIF('702-798'!$1:$1,BI$3,'702-798'!34:34)</f>
        <v>3002.4900000000002</v>
      </c>
      <c r="BJ86" s="128">
        <f>SUMIF('702-798'!$1:$1,BJ$3,'702-798'!34:34)</f>
        <v>2797.9900000000002</v>
      </c>
      <c r="BK86" s="128">
        <f>SUMIF('702-798'!$1:$1,BK$3,'702-798'!34:34)</f>
        <v>0</v>
      </c>
      <c r="BL86" s="128">
        <f>SUMIF('702-798'!$1:$1,BL$3,'702-798'!34:34)</f>
        <v>10697.51</v>
      </c>
      <c r="BM86" s="128">
        <f>SUMIF('702-798'!$1:$1,BM$3,'702-798'!34:34)</f>
        <v>0</v>
      </c>
      <c r="BN86" s="128">
        <f>SUMIF('702-798'!$1:$1,BN$3,'702-798'!34:34)</f>
        <v>10970.320000000002</v>
      </c>
      <c r="BO86" s="128">
        <f>SUMIF('702-798'!$1:$1,BO$3,'702-798'!34:34)</f>
        <v>17197.520000000004</v>
      </c>
      <c r="BP86" s="128">
        <f>SUMIF('702-798'!$1:$1,BP$3,'702-798'!34:34)</f>
        <v>0</v>
      </c>
      <c r="BQ86" s="128">
        <f>SUMIF('702-798'!$1:$1,BQ$3,'702-798'!34:34)</f>
        <v>0</v>
      </c>
      <c r="BR86" s="128">
        <f>SUMIF('702-798'!$1:$1,BR$3,'702-798'!34:34)</f>
        <v>0</v>
      </c>
      <c r="BS86" s="128">
        <f>SUMIF('702-798'!$1:$1,BS$3,'702-798'!34:34)</f>
        <v>0</v>
      </c>
      <c r="BT86" s="128">
        <f>SUMIF('702-798'!$1:$1,BT$3,'702-798'!34:34)</f>
        <v>0</v>
      </c>
      <c r="BU86" s="128">
        <f>SUMIF('702-798'!$1:$1,BU$3,'702-798'!34:34)</f>
        <v>-4405</v>
      </c>
      <c r="BV86" s="128">
        <f>SUMIF('702-798'!$1:$1,BV$3,'702-798'!34:34)</f>
        <v>0</v>
      </c>
      <c r="BW86" s="128">
        <f>SUMIF('702-798'!$1:$1,BW$3,'702-798'!34:34)</f>
        <v>0</v>
      </c>
      <c r="BX86" s="128">
        <f>SUMIF('702-798'!$1:$1,BX$3,'702-798'!34:34)</f>
        <v>0</v>
      </c>
      <c r="BY86" s="128">
        <f>SUMIF('702-798'!$1:$1,BY$3,'702-798'!34:34)</f>
        <v>0</v>
      </c>
      <c r="BZ86" s="128">
        <f>SUMIF('702-798'!$1:$1,BZ$3,'702-798'!34:34)</f>
        <v>0</v>
      </c>
      <c r="CA86" s="314">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7">
        <f t="shared" si="32"/>
        <v>19601.939999999981</v>
      </c>
      <c r="CJ86" s="122"/>
      <c r="CK86" s="169">
        <f>INDEX(SAP!C:C,MATCH('Actuals mapped to CFR'!A86,SAP!H:H,FALSE),1)</f>
        <v>19601.939999999999</v>
      </c>
      <c r="CL86" s="59">
        <f t="shared" si="33"/>
        <v>0</v>
      </c>
      <c r="CN86" s="81">
        <f t="shared" si="28"/>
        <v>480062.93000000005</v>
      </c>
      <c r="CO86" s="81">
        <f t="shared" si="29"/>
        <v>508941.68</v>
      </c>
      <c r="CP86" s="166">
        <f>VLOOKUP(B86,'2526 GBP Data input'!$A$4:$CA$230,38,FALSE)</f>
        <v>474876</v>
      </c>
      <c r="CQ86" s="166">
        <f>VLOOKUP(B86,'2526 GBP Data input'!$A$4:$CA$230,73,FALSE)</f>
        <v>15541</v>
      </c>
      <c r="CR86" s="89">
        <f t="shared" si="25"/>
        <v>5186.9300000000512</v>
      </c>
      <c r="CS86" s="83">
        <f t="shared" si="26"/>
        <v>32.748322501769515</v>
      </c>
      <c r="CT86" s="82">
        <f t="shared" si="30"/>
        <v>-42976.929999999935</v>
      </c>
      <c r="CU86" s="82">
        <f t="shared" si="31"/>
        <v>13060.75</v>
      </c>
      <c r="CV86" s="86">
        <f t="shared" si="27"/>
        <v>-29916.179999999935</v>
      </c>
    </row>
    <row r="87" spans="1:100">
      <c r="A87" s="238">
        <v>107789</v>
      </c>
      <c r="B87" s="60">
        <v>789</v>
      </c>
      <c r="C87" s="60" t="s">
        <v>406</v>
      </c>
      <c r="D87" s="128">
        <f>SUMIF('702-798'!$1:$1,D$3,'702-798'!35:35)</f>
        <v>-2174.56</v>
      </c>
      <c r="E87" s="128">
        <f>SUMIF('702-798'!$1:$1,E$3,'702-798'!35:35)</f>
        <v>-1399.44</v>
      </c>
      <c r="F87" s="128">
        <f>SUMIF('702-798'!$1:$1,F$3,'702-798'!35:35)</f>
        <v>0</v>
      </c>
      <c r="G87" s="128">
        <f>SUMIF('702-798'!$1:$1,G$3,'702-798'!35:35)</f>
        <v>-14580.17</v>
      </c>
      <c r="H87" s="128">
        <f>SUMIF('702-798'!$1:$1,H$3,'702-798'!35:35)</f>
        <v>0</v>
      </c>
      <c r="I87" s="128">
        <f>SUMIF('702-798'!$1:$1,I$3,'702-798'!35:35)</f>
        <v>0</v>
      </c>
      <c r="J87" s="128">
        <f>SUMIF('702-798'!$1:$1,J$3,'702-798'!35:35)</f>
        <v>0</v>
      </c>
      <c r="K87" s="128">
        <f>SUMIF('702-798'!$1:$1,K$3,'702-798'!35:35)</f>
        <v>-577128.02</v>
      </c>
      <c r="L87" s="128">
        <f>SUMIF('702-798'!$1:$1,L$3,'702-798'!35:35)</f>
        <v>0</v>
      </c>
      <c r="M87" s="128">
        <f>SUMIF('702-798'!$1:$1,M$3,'702-798'!35:35)</f>
        <v>-27362</v>
      </c>
      <c r="N87" s="128">
        <f>SUMIF('702-798'!$1:$1,N$3,'702-798'!35:35)</f>
        <v>0</v>
      </c>
      <c r="O87" s="128">
        <f>SUMIF('702-798'!$1:$1,O$3,'702-798'!35:35)</f>
        <v>-13635</v>
      </c>
      <c r="P87" s="128">
        <f>SUMIF('702-798'!$1:$1,P$3,'702-798'!35:35)</f>
        <v>-24952.639999999999</v>
      </c>
      <c r="Q87" s="128">
        <f>SUMIF('702-798'!$1:$1,Q$3,'702-798'!35:35)</f>
        <v>0</v>
      </c>
      <c r="R87" s="128">
        <f>SUMIF('702-798'!$1:$1,R$3,'702-798'!35:35)</f>
        <v>-81.86</v>
      </c>
      <c r="S87" s="128">
        <f>SUMIF('702-798'!$1:$1,S$3,'702-798'!35:35)</f>
        <v>-3267.62</v>
      </c>
      <c r="T87" s="128">
        <f>SUMIF('702-798'!$1:$1,T$3,'702-798'!35:35)</f>
        <v>0</v>
      </c>
      <c r="U87" s="128">
        <f>SUMIF('702-798'!$1:$1,U$3,'702-798'!35:35)</f>
        <v>0</v>
      </c>
      <c r="V87" s="128">
        <f>SUMIF('702-798'!$1:$1,V$3,'702-798'!35:35)</f>
        <v>0</v>
      </c>
      <c r="W87" s="128">
        <f>SUMIF('702-798'!$1:$1,W$3,'702-798'!35:35)</f>
        <v>-9432.14</v>
      </c>
      <c r="X87" s="128">
        <f>SUMIF('702-798'!$1:$1,X$3,'702-798'!35:35)</f>
        <v>-2120.7199999999998</v>
      </c>
      <c r="Y87" s="164">
        <f>SUMIF('702-798'!$1:$1,Y$3,'702-798'!35:35)</f>
        <v>0</v>
      </c>
      <c r="Z87" s="128">
        <f>SUMIF('702-798'!$1:$1,Z$3,'702-798'!35:35)</f>
        <v>0</v>
      </c>
      <c r="AA87" s="128">
        <f>SUMIF('702-798'!$1:$1,AA$3,'702-798'!35:35)</f>
        <v>0</v>
      </c>
      <c r="AB87" s="128">
        <f>SUMIF('702-798'!$1:$1,AB$3,'702-798'!35:35)</f>
        <v>0</v>
      </c>
      <c r="AC87" s="314">
        <f>SUMIF('702-798'!$1:$1,AC$3,'702-798'!35:35)</f>
        <v>0</v>
      </c>
      <c r="AD87" s="314">
        <f>SUMIF('702-798'!$1:$1,AD$3,'702-798'!35:35)</f>
        <v>0</v>
      </c>
      <c r="AE87" s="314">
        <f>SUMIF('702-798'!$1:$1,AE$3,'702-798'!35:35)</f>
        <v>0</v>
      </c>
      <c r="AF87" s="314">
        <f>SUMIF('702-798'!$1:$1,AF$3,'702-798'!35:35)</f>
        <v>0</v>
      </c>
      <c r="AG87" s="128">
        <f>SUMIF('702-798'!$1:$1,AG$3,'702-798'!35:35)</f>
        <v>364488</v>
      </c>
      <c r="AH87" s="128">
        <f>SUMIF('702-798'!$1:$1,AH$3,'702-798'!35:35)</f>
        <v>11307.18</v>
      </c>
      <c r="AI87" s="128">
        <f>SUMIF('702-798'!$1:$1,AI$3,'702-798'!35:35)</f>
        <v>115802.37000000001</v>
      </c>
      <c r="AJ87" s="128">
        <f>SUMIF('702-798'!$1:$1,AJ$3,'702-798'!35:35)</f>
        <v>0</v>
      </c>
      <c r="AK87" s="128">
        <f>SUMIF('702-798'!$1:$1,AK$3,'702-798'!35:35)</f>
        <v>33969.310000000005</v>
      </c>
      <c r="AL87" s="128">
        <f>SUMIF('702-798'!$1:$1,AL$3,'702-798'!35:35)</f>
        <v>0</v>
      </c>
      <c r="AM87" s="128">
        <f>SUMIF('702-798'!$1:$1,AM$3,'702-798'!35:35)</f>
        <v>17623.63</v>
      </c>
      <c r="AN87" s="128">
        <f>SUMIF('702-798'!$1:$1,AN$3,'702-798'!35:35)</f>
        <v>2205.9499999999998</v>
      </c>
      <c r="AO87" s="128">
        <f>SUMIF('702-798'!$1:$1,AO$3,'702-798'!35:35)</f>
        <v>2711.5</v>
      </c>
      <c r="AP87" s="128">
        <f>SUMIF('702-798'!$1:$1,AP$3,'702-798'!35:35)</f>
        <v>247.05</v>
      </c>
      <c r="AQ87" s="128">
        <f>SUMIF('702-798'!$1:$1,AQ$3,'702-798'!35:35)</f>
        <v>0</v>
      </c>
      <c r="AR87" s="128">
        <f>SUMIF('702-798'!$1:$1,AR$3,'702-798'!35:35)</f>
        <v>4051.0899999999992</v>
      </c>
      <c r="AS87" s="128">
        <f>SUMIF('702-798'!$1:$1,AS$3,'702-798'!35:35)</f>
        <v>4050.88</v>
      </c>
      <c r="AT87" s="128">
        <f>SUMIF('702-798'!$1:$1,AT$3,'702-798'!35:35)</f>
        <v>18683.650000000005</v>
      </c>
      <c r="AU87" s="128">
        <f>SUMIF('702-798'!$1:$1,AU$3,'702-798'!35:35)</f>
        <v>303.29000000000002</v>
      </c>
      <c r="AV87" s="128">
        <f>SUMIF('702-798'!$1:$1,AV$3,'702-798'!35:35)</f>
        <v>17476.88</v>
      </c>
      <c r="AW87" s="128">
        <f>SUMIF('702-798'!$1:$1,AW$3,'702-798'!35:35)</f>
        <v>13223.5</v>
      </c>
      <c r="AX87" s="128">
        <f>SUMIF('702-798'!$1:$1,AX$3,'702-798'!35:35)</f>
        <v>4158.5200000000004</v>
      </c>
      <c r="AY87" s="128">
        <f>SUMIF('702-798'!$1:$1,AY$3,'702-798'!35:35)</f>
        <v>16893.73</v>
      </c>
      <c r="AZ87" s="314">
        <f>SUMIF('702-798'!$1:$1,AZ$3,'702-798'!35:35)</f>
        <v>0</v>
      </c>
      <c r="BA87" s="128">
        <f>SUMIF('702-798'!$1:$1,BA$3,'702-798'!35:35)</f>
        <v>300</v>
      </c>
      <c r="BB87" s="128">
        <f>SUMIF('702-798'!$1:$1,BB$3,'702-798'!35:35)</f>
        <v>1480.61</v>
      </c>
      <c r="BC87" s="128">
        <f>SUMIF('702-798'!$1:$1,BC$3,'702-798'!35:35)</f>
        <v>3627.35</v>
      </c>
      <c r="BD87" s="128">
        <f>SUMIF('702-798'!$1:$1,BD$3,'702-798'!35:35)</f>
        <v>5457.54</v>
      </c>
      <c r="BE87" s="128">
        <f>SUMIF('702-798'!$1:$1,BE$3,'702-798'!35:35)</f>
        <v>1006.9200000000001</v>
      </c>
      <c r="BF87" s="128">
        <f>SUMIF('702-798'!$1:$1,BF$3,'702-798'!35:35)</f>
        <v>400</v>
      </c>
      <c r="BG87" s="128">
        <f>SUMIF('702-798'!$1:$1,BG$3,'702-798'!35:35)</f>
        <v>2750.5</v>
      </c>
      <c r="BH87" s="128">
        <f>SUMIF('702-798'!$1:$1,BH$3,'702-798'!35:35)</f>
        <v>0</v>
      </c>
      <c r="BI87" s="128">
        <f>SUMIF('702-798'!$1:$1,BI$3,'702-798'!35:35)</f>
        <v>1780.3700000000001</v>
      </c>
      <c r="BJ87" s="128">
        <f>SUMIF('702-798'!$1:$1,BJ$3,'702-798'!35:35)</f>
        <v>4372.38</v>
      </c>
      <c r="BK87" s="128">
        <f>SUMIF('702-798'!$1:$1,BK$3,'702-798'!35:35)</f>
        <v>0</v>
      </c>
      <c r="BL87" s="128">
        <f>SUMIF('702-798'!$1:$1,BL$3,'702-798'!35:35)</f>
        <v>14351.3</v>
      </c>
      <c r="BM87" s="128">
        <f>SUMIF('702-798'!$1:$1,BM$3,'702-798'!35:35)</f>
        <v>7512</v>
      </c>
      <c r="BN87" s="128">
        <f>SUMIF('702-798'!$1:$1,BN$3,'702-798'!35:35)</f>
        <v>12138.07</v>
      </c>
      <c r="BO87" s="128">
        <f>SUMIF('702-798'!$1:$1,BO$3,'702-798'!35:35)</f>
        <v>11960.85</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-4945</v>
      </c>
      <c r="BV87" s="128">
        <f>SUMIF('702-798'!$1:$1,BV$3,'702-798'!35:35)</f>
        <v>0</v>
      </c>
      <c r="BW87" s="128">
        <f>SUMIF('702-798'!$1:$1,BW$3,'702-798'!35:35)</f>
        <v>0</v>
      </c>
      <c r="BX87" s="128">
        <f>SUMIF('702-798'!$1:$1,BX$3,'702-798'!35:35)</f>
        <v>0</v>
      </c>
      <c r="BY87" s="128">
        <f>SUMIF('702-798'!$1:$1,BY$3,'702-798'!35:35)</f>
        <v>0</v>
      </c>
      <c r="BZ87" s="128">
        <f>SUMIF('702-798'!$1:$1,BZ$3,'702-798'!35:35)</f>
        <v>0</v>
      </c>
      <c r="CA87" s="314">
        <f>SUMIF('702-798'!$1:$1,CA$3,'702-798'!35:35)</f>
        <v>0</v>
      </c>
      <c r="CB87" s="128">
        <f>SUMIF('702-798'!$1:$1,CB$3,'702-798'!35:35)</f>
        <v>0</v>
      </c>
      <c r="CC87" s="128">
        <f>SUMIF('702-798'!$1:$1,CC$3,'702-798'!35:35)</f>
        <v>0</v>
      </c>
      <c r="CD87" s="128">
        <f>SUMIF('702-798'!$1:$1,CD$3,'702-798'!35:35)</f>
        <v>0</v>
      </c>
      <c r="CE87" s="128">
        <f>SUMIF('702-798'!$1:$1,CE$3,'702-798'!35:35)</f>
        <v>0</v>
      </c>
      <c r="CF87" s="128">
        <f>SUMIF('702-798'!$1:$1,CF$3,'702-798'!35:35)</f>
        <v>3284.3199999999997</v>
      </c>
      <c r="CG87" s="257">
        <f t="shared" si="32"/>
        <v>16539.569999999956</v>
      </c>
      <c r="CJ87" s="122"/>
      <c r="CK87" s="169">
        <f>INDEX(SAP!C:C,MATCH('Actuals mapped to CFR'!A87,SAP!H:H,FALSE),1)</f>
        <v>16539.57</v>
      </c>
      <c r="CL87" s="59">
        <f t="shared" si="33"/>
        <v>0</v>
      </c>
      <c r="CN87" s="81">
        <f t="shared" si="28"/>
        <v>657980</v>
      </c>
      <c r="CO87" s="81">
        <f t="shared" si="29"/>
        <v>694334.42</v>
      </c>
      <c r="CP87" s="166">
        <f>VLOOKUP(B87,'2526 GBP Data input'!$A$4:$CA$230,38,FALSE)</f>
        <v>656034</v>
      </c>
      <c r="CQ87" s="166">
        <f>VLOOKUP(B87,'2526 GBP Data input'!$A$4:$CA$230,73,FALSE)</f>
        <v>9378</v>
      </c>
      <c r="CR87" s="89">
        <f t="shared" si="25"/>
        <v>1946</v>
      </c>
      <c r="CS87" s="83">
        <f t="shared" si="26"/>
        <v>74.038645766687992</v>
      </c>
      <c r="CT87" s="82">
        <f t="shared" si="30"/>
        <v>-34179.859999999986</v>
      </c>
      <c r="CU87" s="82">
        <f t="shared" si="31"/>
        <v>16240.849999999999</v>
      </c>
      <c r="CV87" s="86">
        <f t="shared" si="27"/>
        <v>-17939.009999999987</v>
      </c>
    </row>
    <row r="88" spans="1:100">
      <c r="A88" s="238">
        <v>107791</v>
      </c>
      <c r="B88" s="60">
        <v>791</v>
      </c>
      <c r="C88" s="60" t="s">
        <v>407</v>
      </c>
      <c r="D88" s="128">
        <f>SUMIF('702-798'!$1:$1,D$3,'702-798'!36:36)</f>
        <v>0</v>
      </c>
      <c r="E88" s="128">
        <f>SUMIF('702-798'!$1:$1,E$3,'702-798'!36:36)</f>
        <v>-601.39</v>
      </c>
      <c r="F88" s="128">
        <f>SUMIF('702-798'!$1:$1,F$3,'702-798'!36:36)</f>
        <v>170750.64</v>
      </c>
      <c r="G88" s="128">
        <f>SUMIF('702-798'!$1:$1,G$3,'702-798'!36:36)</f>
        <v>-1574.38</v>
      </c>
      <c r="H88" s="128">
        <f>SUMIF('702-798'!$1:$1,H$3,'702-798'!36:36)</f>
        <v>0</v>
      </c>
      <c r="I88" s="128">
        <f>SUMIF('702-798'!$1:$1,I$3,'702-798'!36:36)</f>
        <v>0</v>
      </c>
      <c r="J88" s="128">
        <f>SUMIF('702-798'!$1:$1,J$3,'702-798'!36:36)</f>
        <v>16928.91</v>
      </c>
      <c r="K88" s="128">
        <f>SUMIF('702-798'!$1:$1,K$3,'702-798'!36:36)</f>
        <v>-760268.26</v>
      </c>
      <c r="L88" s="128">
        <f>SUMIF('702-798'!$1:$1,L$3,'702-798'!36:36)</f>
        <v>0</v>
      </c>
      <c r="M88" s="128">
        <f>SUMIF('702-798'!$1:$1,M$3,'702-798'!36:36)</f>
        <v>-132849</v>
      </c>
      <c r="N88" s="128">
        <f>SUMIF('702-798'!$1:$1,N$3,'702-798'!36:36)</f>
        <v>0</v>
      </c>
      <c r="O88" s="128">
        <f>SUMIF('702-798'!$1:$1,O$3,'702-798'!36:36)</f>
        <v>-49595</v>
      </c>
      <c r="P88" s="128">
        <f>SUMIF('702-798'!$1:$1,P$3,'702-798'!36:36)</f>
        <v>-58181.43</v>
      </c>
      <c r="Q88" s="128">
        <f>SUMIF('702-798'!$1:$1,Q$3,'702-798'!36:36)</f>
        <v>-1460</v>
      </c>
      <c r="R88" s="128">
        <f>SUMIF('702-798'!$1:$1,R$3,'702-798'!36:36)</f>
        <v>0</v>
      </c>
      <c r="S88" s="128">
        <f>SUMIF('702-798'!$1:$1,S$3,'702-798'!36:36)</f>
        <v>-22496.650000000005</v>
      </c>
      <c r="T88" s="128">
        <f>SUMIF('702-798'!$1:$1,T$3,'702-798'!36:36)</f>
        <v>0</v>
      </c>
      <c r="U88" s="128">
        <f>SUMIF('702-798'!$1:$1,U$3,'702-798'!36:36)</f>
        <v>0</v>
      </c>
      <c r="V88" s="128">
        <f>SUMIF('702-798'!$1:$1,V$3,'702-798'!36:36)</f>
        <v>0</v>
      </c>
      <c r="W88" s="128">
        <f>SUMIF('702-798'!$1:$1,W$3,'702-798'!36:36)</f>
        <v>-1487.0799999999997</v>
      </c>
      <c r="X88" s="128">
        <f>SUMIF('702-798'!$1:$1,X$3,'702-798'!36:36)</f>
        <v>-75</v>
      </c>
      <c r="Y88" s="164">
        <f>SUMIF('702-798'!$1:$1,Y$3,'702-798'!36:36)</f>
        <v>0</v>
      </c>
      <c r="Z88" s="128">
        <f>SUMIF('702-798'!$1:$1,Z$3,'702-798'!36:36)</f>
        <v>0</v>
      </c>
      <c r="AA88" s="128">
        <f>SUMIF('702-798'!$1:$1,AA$3,'702-798'!36:36)</f>
        <v>-270677.94999999995</v>
      </c>
      <c r="AB88" s="128">
        <f>SUMIF('702-798'!$1:$1,AB$3,'702-798'!36:36)</f>
        <v>-6296.0699999999988</v>
      </c>
      <c r="AC88" s="314">
        <f>SUMIF('702-798'!$1:$1,AC$3,'702-798'!36:36)</f>
        <v>0</v>
      </c>
      <c r="AD88" s="314">
        <f>SUMIF('702-798'!$1:$1,AD$3,'702-798'!36:36)</f>
        <v>0</v>
      </c>
      <c r="AE88" s="314">
        <f>SUMIF('702-798'!$1:$1,AE$3,'702-798'!36:36)</f>
        <v>0</v>
      </c>
      <c r="AF88" s="314">
        <f>SUMIF('702-798'!$1:$1,AF$3,'702-798'!36:36)</f>
        <v>0</v>
      </c>
      <c r="AG88" s="128">
        <f>SUMIF('702-798'!$1:$1,AG$3,'702-798'!36:36)</f>
        <v>313378.13</v>
      </c>
      <c r="AH88" s="128">
        <f>SUMIF('702-798'!$1:$1,AH$3,'702-798'!36:36)</f>
        <v>5518.41</v>
      </c>
      <c r="AI88" s="128">
        <f>SUMIF('702-798'!$1:$1,AI$3,'702-798'!36:36)</f>
        <v>147052.15000000002</v>
      </c>
      <c r="AJ88" s="128">
        <f>SUMIF('702-798'!$1:$1,AJ$3,'702-798'!36:36)</f>
        <v>55663.250000000007</v>
      </c>
      <c r="AK88" s="128">
        <f>SUMIF('702-798'!$1:$1,AK$3,'702-798'!36:36)</f>
        <v>65573.2</v>
      </c>
      <c r="AL88" s="128">
        <f>SUMIF('702-798'!$1:$1,AL$3,'702-798'!36:36)</f>
        <v>0</v>
      </c>
      <c r="AM88" s="128">
        <f>SUMIF('702-798'!$1:$1,AM$3,'702-798'!36:36)</f>
        <v>57256.030000000006</v>
      </c>
      <c r="AN88" s="128">
        <f>SUMIF('702-798'!$1:$1,AN$3,'702-798'!36:36)</f>
        <v>50308.899999999994</v>
      </c>
      <c r="AO88" s="128">
        <f>SUMIF('702-798'!$1:$1,AO$3,'702-798'!36:36)</f>
        <v>408.9</v>
      </c>
      <c r="AP88" s="128">
        <f>SUMIF('702-798'!$1:$1,AP$3,'702-798'!36:36)</f>
        <v>335.5</v>
      </c>
      <c r="AQ88" s="128">
        <f>SUMIF('702-798'!$1:$1,AQ$3,'702-798'!36:36)</f>
        <v>0</v>
      </c>
      <c r="AR88" s="128">
        <f>SUMIF('702-798'!$1:$1,AR$3,'702-798'!36:36)</f>
        <v>14852.409999999996</v>
      </c>
      <c r="AS88" s="128">
        <f>SUMIF('702-798'!$1:$1,AS$3,'702-798'!36:36)</f>
        <v>1677.48</v>
      </c>
      <c r="AT88" s="128">
        <f>SUMIF('702-798'!$1:$1,AT$3,'702-798'!36:36)</f>
        <v>2920.0199999999995</v>
      </c>
      <c r="AU88" s="128">
        <f>SUMIF('702-798'!$1:$1,AU$3,'702-798'!36:36)</f>
        <v>3929.21</v>
      </c>
      <c r="AV88" s="128">
        <f>SUMIF('702-798'!$1:$1,AV$3,'702-798'!36:36)</f>
        <v>28326.06</v>
      </c>
      <c r="AW88" s="128">
        <f>SUMIF('702-798'!$1:$1,AW$3,'702-798'!36:36)</f>
        <v>15344.25</v>
      </c>
      <c r="AX88" s="128">
        <f>SUMIF('702-798'!$1:$1,AX$3,'702-798'!36:36)</f>
        <v>7274.52</v>
      </c>
      <c r="AY88" s="128">
        <f>SUMIF('702-798'!$1:$1,AY$3,'702-798'!36:36)</f>
        <v>24288.690000000002</v>
      </c>
      <c r="AZ88" s="314">
        <f>SUMIF('702-798'!$1:$1,AZ$3,'702-798'!36:36)</f>
        <v>0</v>
      </c>
      <c r="BA88" s="128">
        <f>SUMIF('702-798'!$1:$1,BA$3,'702-798'!36:36)</f>
        <v>180.5</v>
      </c>
      <c r="BB88" s="128">
        <f>SUMIF('702-798'!$1:$1,BB$3,'702-798'!36:36)</f>
        <v>0</v>
      </c>
      <c r="BC88" s="128">
        <f>SUMIF('702-798'!$1:$1,BC$3,'702-798'!36:36)</f>
        <v>1049</v>
      </c>
      <c r="BD88" s="128">
        <f>SUMIF('702-798'!$1:$1,BD$3,'702-798'!36:36)</f>
        <v>3165.8199999999993</v>
      </c>
      <c r="BE88" s="128">
        <f>SUMIF('702-798'!$1:$1,BE$3,'702-798'!36:36)</f>
        <v>748</v>
      </c>
      <c r="BF88" s="128">
        <f>SUMIF('702-798'!$1:$1,BF$3,'702-798'!36:36)</f>
        <v>2071.5100000000002</v>
      </c>
      <c r="BG88" s="128">
        <f>SUMIF('702-798'!$1:$1,BG$3,'702-798'!36:36)</f>
        <v>4465</v>
      </c>
      <c r="BH88" s="128">
        <f>SUMIF('702-798'!$1:$1,BH$3,'702-798'!36:36)</f>
        <v>0</v>
      </c>
      <c r="BI88" s="128">
        <f>SUMIF('702-798'!$1:$1,BI$3,'702-798'!36:36)</f>
        <v>2561.7000000000003</v>
      </c>
      <c r="BJ88" s="128">
        <f>SUMIF('702-798'!$1:$1,BJ$3,'702-798'!36:36)</f>
        <v>5937.8</v>
      </c>
      <c r="BK88" s="128">
        <f>SUMIF('702-798'!$1:$1,BK$3,'702-798'!36:36)</f>
        <v>0</v>
      </c>
      <c r="BL88" s="128">
        <f>SUMIF('702-798'!$1:$1,BL$3,'702-798'!36:36)</f>
        <v>55019.65</v>
      </c>
      <c r="BM88" s="128">
        <f>SUMIF('702-798'!$1:$1,BM$3,'702-798'!36:36)</f>
        <v>5272</v>
      </c>
      <c r="BN88" s="128">
        <f>SUMIF('702-798'!$1:$1,BN$3,'702-798'!36:36)</f>
        <v>798.35</v>
      </c>
      <c r="BO88" s="128">
        <f>SUMIF('702-798'!$1:$1,BO$3,'702-798'!36:36)</f>
        <v>15887.83</v>
      </c>
      <c r="BP88" s="128">
        <f>SUMIF('702-798'!$1:$1,BP$3,'702-798'!36:36)</f>
        <v>0</v>
      </c>
      <c r="BQ88" s="128">
        <f>SUMIF('702-798'!$1:$1,BQ$3,'702-798'!36:36)</f>
        <v>0</v>
      </c>
      <c r="BR88" s="128">
        <f>SUMIF('702-798'!$1:$1,BR$3,'702-798'!36:36)</f>
        <v>0</v>
      </c>
      <c r="BS88" s="128">
        <f>SUMIF('702-798'!$1:$1,BS$3,'702-798'!36:36)</f>
        <v>219043.85000000003</v>
      </c>
      <c r="BT88" s="128">
        <f>SUMIF('702-798'!$1:$1,BT$3,'702-798'!36:36)</f>
        <v>3829.0900000000006</v>
      </c>
      <c r="BU88" s="128">
        <f>SUMIF('702-798'!$1:$1,BU$3,'702-798'!36:36)</f>
        <v>-5231.88</v>
      </c>
      <c r="BV88" s="128">
        <f>SUMIF('702-798'!$1:$1,BV$3,'702-798'!36:36)</f>
        <v>0</v>
      </c>
      <c r="BW88" s="128">
        <f>SUMIF('702-798'!$1:$1,BW$3,'702-798'!36:36)</f>
        <v>0</v>
      </c>
      <c r="BX88" s="128">
        <f>SUMIF('702-798'!$1:$1,BX$3,'702-798'!36:36)</f>
        <v>0</v>
      </c>
      <c r="BY88" s="128">
        <f>SUMIF('702-798'!$1:$1,BY$3,'702-798'!36:36)</f>
        <v>1156</v>
      </c>
      <c r="BZ88" s="128">
        <f>SUMIF('702-798'!$1:$1,BZ$3,'702-798'!36:36)</f>
        <v>0</v>
      </c>
      <c r="CA88" s="314">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7">
        <f t="shared" si="32"/>
        <v>-7821.3299999997744</v>
      </c>
      <c r="CJ88" s="122"/>
      <c r="CK88" s="169">
        <f>INDEX(SAP!C:C,MATCH('Actuals mapped to CFR'!A88,SAP!H:H,FALSE),1)</f>
        <v>-7821.33</v>
      </c>
      <c r="CL88" s="59">
        <f t="shared" si="33"/>
        <v>0</v>
      </c>
      <c r="CN88" s="81">
        <f t="shared" si="28"/>
        <v>1303386.4400000002</v>
      </c>
      <c r="CO88" s="81">
        <f t="shared" si="29"/>
        <v>1114137.2100000002</v>
      </c>
      <c r="CP88" s="166">
        <f>VLOOKUP(B88,'2526 GBP Data input'!$A$4:$CA$230,38,FALSE)</f>
        <v>1125824</v>
      </c>
      <c r="CQ88" s="166">
        <f>VLOOKUP(B88,'2526 GBP Data input'!$A$4:$CA$230,73,FALSE)</f>
        <v>15992</v>
      </c>
      <c r="CR88" s="89">
        <f t="shared" si="25"/>
        <v>177562.44000000018</v>
      </c>
      <c r="CS88" s="83">
        <f t="shared" si="26"/>
        <v>69.668409829914964</v>
      </c>
      <c r="CT88" s="82">
        <f t="shared" si="30"/>
        <v>18498.590000000084</v>
      </c>
      <c r="CU88" s="82">
        <f t="shared" si="31"/>
        <v>5650.26</v>
      </c>
      <c r="CV88" s="86">
        <f t="shared" si="27"/>
        <v>24148.850000000086</v>
      </c>
    </row>
    <row r="89" spans="1:100">
      <c r="A89" s="238">
        <v>107793</v>
      </c>
      <c r="B89" s="60">
        <v>793</v>
      </c>
      <c r="C89" s="60" t="s">
        <v>220</v>
      </c>
      <c r="D89" s="128">
        <f>SUMIF('702-798'!$1:$1,D$3,'702-798'!37:37)</f>
        <v>-256461.81</v>
      </c>
      <c r="E89" s="128">
        <f>SUMIF('702-798'!$1:$1,E$3,'702-798'!37:37)</f>
        <v>-2445.7800000000007</v>
      </c>
      <c r="F89" s="128">
        <f>SUMIF('702-798'!$1:$1,F$3,'702-798'!37:37)</f>
        <v>0</v>
      </c>
      <c r="G89" s="128">
        <f>SUMIF('702-798'!$1:$1,G$3,'702-798'!37:37)</f>
        <v>-4689.25</v>
      </c>
      <c r="H89" s="128">
        <f>SUMIF('702-798'!$1:$1,H$3,'702-798'!37:37)</f>
        <v>0</v>
      </c>
      <c r="I89" s="128">
        <f>SUMIF('702-798'!$1:$1,I$3,'702-798'!37:37)</f>
        <v>0</v>
      </c>
      <c r="J89" s="128">
        <f>SUMIF('702-798'!$1:$1,J$3,'702-798'!37:37)</f>
        <v>-37169.629999999997</v>
      </c>
      <c r="K89" s="128">
        <f>SUMIF('702-798'!$1:$1,K$3,'702-798'!37:37)</f>
        <v>-725240.99</v>
      </c>
      <c r="L89" s="128">
        <f>SUMIF('702-798'!$1:$1,L$3,'702-798'!37:37)</f>
        <v>0</v>
      </c>
      <c r="M89" s="128">
        <f>SUMIF('702-798'!$1:$1,M$3,'702-798'!37:37)</f>
        <v>-32885</v>
      </c>
      <c r="N89" s="128">
        <f>SUMIF('702-798'!$1:$1,N$3,'702-798'!37:37)</f>
        <v>0</v>
      </c>
      <c r="O89" s="128">
        <f>SUMIF('702-798'!$1:$1,O$3,'702-798'!37:37)</f>
        <v>-43230</v>
      </c>
      <c r="P89" s="128">
        <f>SUMIF('702-798'!$1:$1,P$3,'702-798'!37:37)</f>
        <v>-51775.91</v>
      </c>
      <c r="Q89" s="128">
        <f>SUMIF('702-798'!$1:$1,Q$3,'702-798'!37:37)</f>
        <v>0</v>
      </c>
      <c r="R89" s="128">
        <f>SUMIF('702-798'!$1:$1,R$3,'702-798'!37:37)</f>
        <v>0</v>
      </c>
      <c r="S89" s="128">
        <f>SUMIF('702-798'!$1:$1,S$3,'702-798'!37:37)</f>
        <v>-49191.559999999983</v>
      </c>
      <c r="T89" s="128">
        <f>SUMIF('702-798'!$1:$1,T$3,'702-798'!37:37)</f>
        <v>-6969.5599999999995</v>
      </c>
      <c r="U89" s="128">
        <f>SUMIF('702-798'!$1:$1,U$3,'702-798'!37:37)</f>
        <v>-4692</v>
      </c>
      <c r="V89" s="128">
        <f>SUMIF('702-798'!$1:$1,V$3,'702-798'!37:37)</f>
        <v>-1200</v>
      </c>
      <c r="W89" s="128">
        <f>SUMIF('702-798'!$1:$1,W$3,'702-798'!37:37)</f>
        <v>-9148.0799999999981</v>
      </c>
      <c r="X89" s="128">
        <f>SUMIF('702-798'!$1:$1,X$3,'702-798'!37:37)</f>
        <v>-1055.8800000000001</v>
      </c>
      <c r="Y89" s="164">
        <f>SUMIF('702-798'!$1:$1,Y$3,'702-798'!37:37)</f>
        <v>0</v>
      </c>
      <c r="Z89" s="128">
        <f>SUMIF('702-798'!$1:$1,Z$3,'702-798'!37:37)</f>
        <v>0</v>
      </c>
      <c r="AA89" s="128">
        <f>SUMIF('702-798'!$1:$1,AA$3,'702-798'!37:37)</f>
        <v>-77520.719999999987</v>
      </c>
      <c r="AB89" s="128">
        <f>SUMIF('702-798'!$1:$1,AB$3,'702-798'!37:37)</f>
        <v>-376.41999999999996</v>
      </c>
      <c r="AC89" s="314">
        <f>SUMIF('702-798'!$1:$1,AC$3,'702-798'!37:37)</f>
        <v>0</v>
      </c>
      <c r="AD89" s="314">
        <f>SUMIF('702-798'!$1:$1,AD$3,'702-798'!37:37)</f>
        <v>0</v>
      </c>
      <c r="AE89" s="314">
        <f>SUMIF('702-798'!$1:$1,AE$3,'702-798'!37:37)</f>
        <v>0</v>
      </c>
      <c r="AF89" s="314">
        <f>SUMIF('702-798'!$1:$1,AF$3,'702-798'!37:37)</f>
        <v>0</v>
      </c>
      <c r="AG89" s="128">
        <f>SUMIF('702-798'!$1:$1,AG$3,'702-798'!37:37)</f>
        <v>403223.04000000015</v>
      </c>
      <c r="AH89" s="128">
        <f>SUMIF('702-798'!$1:$1,AH$3,'702-798'!37:37)</f>
        <v>1214.81</v>
      </c>
      <c r="AI89" s="128">
        <f>SUMIF('702-798'!$1:$1,AI$3,'702-798'!37:37)</f>
        <v>144944.28</v>
      </c>
      <c r="AJ89" s="128">
        <f>SUMIF('702-798'!$1:$1,AJ$3,'702-798'!37:37)</f>
        <v>28114.1</v>
      </c>
      <c r="AK89" s="128">
        <f>SUMIF('702-798'!$1:$1,AK$3,'702-798'!37:37)</f>
        <v>55617.49</v>
      </c>
      <c r="AL89" s="128">
        <f>SUMIF('702-798'!$1:$1,AL$3,'702-798'!37:37)</f>
        <v>0</v>
      </c>
      <c r="AM89" s="128">
        <f>SUMIF('702-798'!$1:$1,AM$3,'702-798'!37:37)</f>
        <v>44445.919999999998</v>
      </c>
      <c r="AN89" s="128">
        <f>SUMIF('702-798'!$1:$1,AN$3,'702-798'!37:37)</f>
        <v>2872.08</v>
      </c>
      <c r="AO89" s="128">
        <f>SUMIF('702-798'!$1:$1,AO$3,'702-798'!37:37)</f>
        <v>2114.16</v>
      </c>
      <c r="AP89" s="128">
        <f>SUMIF('702-798'!$1:$1,AP$3,'702-798'!37:37)</f>
        <v>347.7</v>
      </c>
      <c r="AQ89" s="128">
        <f>SUMIF('702-798'!$1:$1,AQ$3,'702-798'!37:37)</f>
        <v>8750.94</v>
      </c>
      <c r="AR89" s="128">
        <f>SUMIF('702-798'!$1:$1,AR$3,'702-798'!37:37)</f>
        <v>12062.299999999996</v>
      </c>
      <c r="AS89" s="128">
        <f>SUMIF('702-798'!$1:$1,AS$3,'702-798'!37:37)</f>
        <v>562</v>
      </c>
      <c r="AT89" s="128">
        <f>SUMIF('702-798'!$1:$1,AT$3,'702-798'!37:37)</f>
        <v>4824.9299999999994</v>
      </c>
      <c r="AU89" s="128">
        <f>SUMIF('702-798'!$1:$1,AU$3,'702-798'!37:37)</f>
        <v>6063.98</v>
      </c>
      <c r="AV89" s="128">
        <f>SUMIF('702-798'!$1:$1,AV$3,'702-798'!37:37)</f>
        <v>13811.64</v>
      </c>
      <c r="AW89" s="128">
        <f>SUMIF('702-798'!$1:$1,AW$3,'702-798'!37:37)</f>
        <v>9730.5</v>
      </c>
      <c r="AX89" s="128">
        <f>SUMIF('702-798'!$1:$1,AX$3,'702-798'!37:37)</f>
        <v>4707.57</v>
      </c>
      <c r="AY89" s="128">
        <f>SUMIF('702-798'!$1:$1,AY$3,'702-798'!37:37)</f>
        <v>34019.08</v>
      </c>
      <c r="AZ89" s="314">
        <f>SUMIF('702-798'!$1:$1,AZ$3,'702-798'!37:37)</f>
        <v>0</v>
      </c>
      <c r="BA89" s="128">
        <f>SUMIF('702-798'!$1:$1,BA$3,'702-798'!37:37)</f>
        <v>7178.6</v>
      </c>
      <c r="BB89" s="128">
        <f>SUMIF('702-798'!$1:$1,BB$3,'702-798'!37:37)</f>
        <v>0</v>
      </c>
      <c r="BC89" s="128">
        <f>SUMIF('702-798'!$1:$1,BC$3,'702-798'!37:37)</f>
        <v>542.5</v>
      </c>
      <c r="BD89" s="128">
        <f>SUMIF('702-798'!$1:$1,BD$3,'702-798'!37:37)</f>
        <v>3063.89</v>
      </c>
      <c r="BE89" s="128">
        <f>SUMIF('702-798'!$1:$1,BE$3,'702-798'!37:37)</f>
        <v>0</v>
      </c>
      <c r="BF89" s="128">
        <f>SUMIF('702-798'!$1:$1,BF$3,'702-798'!37:37)</f>
        <v>30.69</v>
      </c>
      <c r="BG89" s="128">
        <f>SUMIF('702-798'!$1:$1,BG$3,'702-798'!37:37)</f>
        <v>4546.32</v>
      </c>
      <c r="BH89" s="128">
        <f>SUMIF('702-798'!$1:$1,BH$3,'702-798'!37:37)</f>
        <v>0</v>
      </c>
      <c r="BI89" s="128">
        <f>SUMIF('702-798'!$1:$1,BI$3,'702-798'!37:37)</f>
        <v>4997.9999999999991</v>
      </c>
      <c r="BJ89" s="128">
        <f>SUMIF('702-798'!$1:$1,BJ$3,'702-798'!37:37)</f>
        <v>6153.72</v>
      </c>
      <c r="BK89" s="128">
        <f>SUMIF('702-798'!$1:$1,BK$3,'702-798'!37:37)</f>
        <v>0</v>
      </c>
      <c r="BL89" s="128">
        <f>SUMIF('702-798'!$1:$1,BL$3,'702-798'!37:37)</f>
        <v>33196.909999999996</v>
      </c>
      <c r="BM89" s="128">
        <f>SUMIF('702-798'!$1:$1,BM$3,'702-798'!37:37)</f>
        <v>18847.29</v>
      </c>
      <c r="BN89" s="128">
        <f>SUMIF('702-798'!$1:$1,BN$3,'702-798'!37:37)</f>
        <v>23549.609999999997</v>
      </c>
      <c r="BO89" s="128">
        <f>SUMIF('702-798'!$1:$1,BO$3,'702-798'!37:37)</f>
        <v>16092.269999999999</v>
      </c>
      <c r="BP89" s="128">
        <f>SUMIF('702-798'!$1:$1,BP$3,'702-798'!37:37)</f>
        <v>0</v>
      </c>
      <c r="BQ89" s="128">
        <f>SUMIF('702-798'!$1:$1,BQ$3,'702-798'!37:37)</f>
        <v>0</v>
      </c>
      <c r="BR89" s="128">
        <f>SUMIF('702-798'!$1:$1,BR$3,'702-798'!37:37)</f>
        <v>0</v>
      </c>
      <c r="BS89" s="128">
        <f>SUMIF('702-798'!$1:$1,BS$3,'702-798'!37:37)</f>
        <v>44788.659999999996</v>
      </c>
      <c r="BT89" s="128">
        <f>SUMIF('702-798'!$1:$1,BT$3,'702-798'!37:37)</f>
        <v>7804.4000000000005</v>
      </c>
      <c r="BU89" s="128">
        <f>SUMIF('702-798'!$1:$1,BU$3,'702-798'!37:37)</f>
        <v>-110042.17</v>
      </c>
      <c r="BV89" s="128">
        <f>SUMIF('702-798'!$1:$1,BV$3,'702-798'!37:37)</f>
        <v>0</v>
      </c>
      <c r="BW89" s="128">
        <f>SUMIF('702-798'!$1:$1,BW$3,'702-798'!37:37)</f>
        <v>0</v>
      </c>
      <c r="BX89" s="128">
        <f>SUMIF('702-798'!$1:$1,BX$3,'702-798'!37:37)</f>
        <v>0</v>
      </c>
      <c r="BY89" s="128">
        <f>SUMIF('702-798'!$1:$1,BY$3,'702-798'!37:37)</f>
        <v>114308.89000000001</v>
      </c>
      <c r="BZ89" s="128">
        <f>SUMIF('702-798'!$1:$1,BZ$3,'702-798'!37:37)</f>
        <v>0</v>
      </c>
      <c r="CA89" s="314">
        <f>SUMIF('702-798'!$1:$1,CA$3,'702-798'!37:37)</f>
        <v>0</v>
      </c>
      <c r="CB89" s="128">
        <f>SUMIF('702-798'!$1:$1,CB$3,'702-798'!37:37)</f>
        <v>0</v>
      </c>
      <c r="CC89" s="128">
        <f>SUMIF('702-798'!$1:$1,CC$3,'702-798'!37:37)</f>
        <v>0</v>
      </c>
      <c r="CD89" s="128">
        <f>SUMIF('702-798'!$1:$1,CD$3,'702-798'!37:37)</f>
        <v>0</v>
      </c>
      <c r="CE89" s="128">
        <f>SUMIF('702-798'!$1:$1,CE$3,'702-798'!37:37)</f>
        <v>455</v>
      </c>
      <c r="CF89" s="128">
        <f>SUMIF('702-798'!$1:$1,CF$3,'702-798'!37:37)</f>
        <v>0</v>
      </c>
      <c r="CG89" s="257">
        <f t="shared" si="32"/>
        <v>-351111.48999999976</v>
      </c>
      <c r="CJ89" s="122"/>
      <c r="CK89" s="169">
        <f>INDEX(SAP!C:C,MATCH('Actuals mapped to CFR'!A89,SAP!H:H,FALSE),1)</f>
        <v>-351111.49</v>
      </c>
      <c r="CL89" s="59">
        <f t="shared" si="33"/>
        <v>0</v>
      </c>
      <c r="CN89" s="81">
        <f t="shared" si="28"/>
        <v>1003286.12</v>
      </c>
      <c r="CO89" s="81">
        <f t="shared" si="29"/>
        <v>948219.38</v>
      </c>
      <c r="CP89" s="166">
        <f>VLOOKUP(B89,'2526 GBP Data input'!$A$4:$CA$230,38,FALSE)</f>
        <v>921690</v>
      </c>
      <c r="CQ89" s="166">
        <f>VLOOKUP(B89,'2526 GBP Data input'!$A$4:$CA$230,73,FALSE)</f>
        <v>11521</v>
      </c>
      <c r="CR89" s="89">
        <f t="shared" si="25"/>
        <v>81596.12</v>
      </c>
      <c r="CS89" s="83">
        <f t="shared" si="26"/>
        <v>82.303565662702894</v>
      </c>
      <c r="CT89" s="82">
        <f t="shared" si="30"/>
        <v>311528.54999999993</v>
      </c>
      <c r="CU89" s="82">
        <f t="shared" si="31"/>
        <v>422.52999999998428</v>
      </c>
      <c r="CV89" s="86">
        <f t="shared" si="27"/>
        <v>311951.0799999999</v>
      </c>
    </row>
    <row r="90" spans="1:100">
      <c r="A90" s="238">
        <v>107797</v>
      </c>
      <c r="B90" s="60">
        <v>797</v>
      </c>
      <c r="C90" s="60" t="s">
        <v>286</v>
      </c>
      <c r="D90" s="128">
        <f>SUMIF('702-798'!$1:$1,D$3,'702-798'!38:38)</f>
        <v>-268759.78999999998</v>
      </c>
      <c r="E90" s="128">
        <f>SUMIF('702-798'!$1:$1,E$3,'702-798'!38:38)</f>
        <v>0</v>
      </c>
      <c r="F90" s="128">
        <f>SUMIF('702-798'!$1:$1,F$3,'702-798'!38:38)</f>
        <v>0</v>
      </c>
      <c r="G90" s="128">
        <f>SUMIF('702-798'!$1:$1,G$3,'702-798'!38:38)</f>
        <v>0.22</v>
      </c>
      <c r="H90" s="128">
        <f>SUMIF('702-798'!$1:$1,H$3,'702-798'!38:38)</f>
        <v>0</v>
      </c>
      <c r="I90" s="128">
        <f>SUMIF('702-798'!$1:$1,I$3,'702-798'!38:38)</f>
        <v>0</v>
      </c>
      <c r="J90" s="128">
        <f>SUMIF('702-798'!$1:$1,J$3,'702-798'!38:38)</f>
        <v>0</v>
      </c>
      <c r="K90" s="128">
        <f>SUMIF('702-798'!$1:$1,K$3,'702-798'!38:38)</f>
        <v>-1094677.6299999999</v>
      </c>
      <c r="L90" s="128">
        <f>SUMIF('702-798'!$1:$1,L$3,'702-798'!38:38)</f>
        <v>0</v>
      </c>
      <c r="M90" s="128">
        <f>SUMIF('702-798'!$1:$1,M$3,'702-798'!38:38)</f>
        <v>-272638</v>
      </c>
      <c r="N90" s="128">
        <f>SUMIF('702-798'!$1:$1,N$3,'702-798'!38:38)</f>
        <v>0</v>
      </c>
      <c r="O90" s="128">
        <f>SUMIF('702-798'!$1:$1,O$3,'702-798'!38:38)</f>
        <v>-97575</v>
      </c>
      <c r="P90" s="128">
        <f>SUMIF('702-798'!$1:$1,P$3,'702-798'!38:38)</f>
        <v>-20177.22</v>
      </c>
      <c r="Q90" s="128">
        <f>SUMIF('702-798'!$1:$1,Q$3,'702-798'!38:38)</f>
        <v>-3500</v>
      </c>
      <c r="R90" s="128">
        <f>SUMIF('702-798'!$1:$1,R$3,'702-798'!38:38)</f>
        <v>-6977.1299999999992</v>
      </c>
      <c r="S90" s="128">
        <f>SUMIF('702-798'!$1:$1,S$3,'702-798'!38:38)</f>
        <v>-13933.98</v>
      </c>
      <c r="T90" s="128">
        <f>SUMIF('702-798'!$1:$1,T$3,'702-798'!38:38)</f>
        <v>-3412.3</v>
      </c>
      <c r="U90" s="128">
        <f>SUMIF('702-798'!$1:$1,U$3,'702-798'!38:38)</f>
        <v>-16090</v>
      </c>
      <c r="V90" s="128">
        <f>SUMIF('702-798'!$1:$1,V$3,'702-798'!38:38)</f>
        <v>0</v>
      </c>
      <c r="W90" s="128">
        <f>SUMIF('702-798'!$1:$1,W$3,'702-798'!38:38)</f>
        <v>-16195.299999999996</v>
      </c>
      <c r="X90" s="128">
        <f>SUMIF('702-798'!$1:$1,X$3,'702-798'!38:38)</f>
        <v>-1215</v>
      </c>
      <c r="Y90" s="164">
        <f>SUMIF('702-798'!$1:$1,Y$3,'702-798'!38:38)</f>
        <v>0</v>
      </c>
      <c r="Z90" s="128">
        <f>SUMIF('702-798'!$1:$1,Z$3,'702-798'!38:38)</f>
        <v>0</v>
      </c>
      <c r="AA90" s="128">
        <f>SUMIF('702-798'!$1:$1,AA$3,'702-798'!38:38)</f>
        <v>0</v>
      </c>
      <c r="AB90" s="128">
        <f>SUMIF('702-798'!$1:$1,AB$3,'702-798'!38:38)</f>
        <v>0</v>
      </c>
      <c r="AC90" s="314">
        <f>SUMIF('702-798'!$1:$1,AC$3,'702-798'!38:38)</f>
        <v>0</v>
      </c>
      <c r="AD90" s="314">
        <f>SUMIF('702-798'!$1:$1,AD$3,'702-798'!38:38)</f>
        <v>0</v>
      </c>
      <c r="AE90" s="314">
        <f>SUMIF('702-798'!$1:$1,AE$3,'702-798'!38:38)</f>
        <v>0</v>
      </c>
      <c r="AF90" s="314">
        <f>SUMIF('702-798'!$1:$1,AF$3,'702-798'!38:38)</f>
        <v>0</v>
      </c>
      <c r="AG90" s="128">
        <f>SUMIF('702-798'!$1:$1,AG$3,'702-798'!38:38)</f>
        <v>554989.6</v>
      </c>
      <c r="AH90" s="128">
        <f>SUMIF('702-798'!$1:$1,AH$3,'702-798'!38:38)</f>
        <v>23139.86</v>
      </c>
      <c r="AI90" s="128">
        <f>SUMIF('702-798'!$1:$1,AI$3,'702-798'!38:38)</f>
        <v>339210.38999999996</v>
      </c>
      <c r="AJ90" s="128">
        <f>SUMIF('702-798'!$1:$1,AJ$3,'702-798'!38:38)</f>
        <v>73503.75</v>
      </c>
      <c r="AK90" s="128">
        <f>SUMIF('702-798'!$1:$1,AK$3,'702-798'!38:38)</f>
        <v>64160.450000000004</v>
      </c>
      <c r="AL90" s="128">
        <f>SUMIF('702-798'!$1:$1,AL$3,'702-798'!38:38)</f>
        <v>0</v>
      </c>
      <c r="AM90" s="128">
        <f>SUMIF('702-798'!$1:$1,AM$3,'702-798'!38:38)</f>
        <v>29039.929999999997</v>
      </c>
      <c r="AN90" s="128">
        <f>SUMIF('702-798'!$1:$1,AN$3,'702-798'!38:38)</f>
        <v>59733.279999999999</v>
      </c>
      <c r="AO90" s="128">
        <f>SUMIF('702-798'!$1:$1,AO$3,'702-798'!38:38)</f>
        <v>1767.75</v>
      </c>
      <c r="AP90" s="128">
        <f>SUMIF('702-798'!$1:$1,AP$3,'702-798'!38:38)</f>
        <v>11233.29</v>
      </c>
      <c r="AQ90" s="128">
        <f>SUMIF('702-798'!$1:$1,AQ$3,'702-798'!38:38)</f>
        <v>0</v>
      </c>
      <c r="AR90" s="128">
        <f>SUMIF('702-798'!$1:$1,AR$3,'702-798'!38:38)</f>
        <v>11897.310000000001</v>
      </c>
      <c r="AS90" s="128">
        <f>SUMIF('702-798'!$1:$1,AS$3,'702-798'!38:38)</f>
        <v>515.74</v>
      </c>
      <c r="AT90" s="128">
        <f>SUMIF('702-798'!$1:$1,AT$3,'702-798'!38:38)</f>
        <v>2556.9800000000005</v>
      </c>
      <c r="AU90" s="128">
        <f>SUMIF('702-798'!$1:$1,AU$3,'702-798'!38:38)</f>
        <v>3927.94</v>
      </c>
      <c r="AV90" s="128">
        <f>SUMIF('702-798'!$1:$1,AV$3,'702-798'!38:38)</f>
        <v>23993.65</v>
      </c>
      <c r="AW90" s="128">
        <f>SUMIF('702-798'!$1:$1,AW$3,'702-798'!38:38)</f>
        <v>19960</v>
      </c>
      <c r="AX90" s="128">
        <f>SUMIF('702-798'!$1:$1,AX$3,'702-798'!38:38)</f>
        <v>5305.7699999999995</v>
      </c>
      <c r="AY90" s="128">
        <f>SUMIF('702-798'!$1:$1,AY$3,'702-798'!38:38)</f>
        <v>41674.339999999997</v>
      </c>
      <c r="AZ90" s="314">
        <f>SUMIF('702-798'!$1:$1,AZ$3,'702-798'!38:38)</f>
        <v>0</v>
      </c>
      <c r="BA90" s="128">
        <f>SUMIF('702-798'!$1:$1,BA$3,'702-798'!38:38)</f>
        <v>1827.81</v>
      </c>
      <c r="BB90" s="128">
        <f>SUMIF('702-798'!$1:$1,BB$3,'702-798'!38:38)</f>
        <v>0</v>
      </c>
      <c r="BC90" s="128">
        <f>SUMIF('702-798'!$1:$1,BC$3,'702-798'!38:38)</f>
        <v>15664.7</v>
      </c>
      <c r="BD90" s="128">
        <f>SUMIF('702-798'!$1:$1,BD$3,'702-798'!38:38)</f>
        <v>19545.370000000003</v>
      </c>
      <c r="BE90" s="128">
        <f>SUMIF('702-798'!$1:$1,BE$3,'702-798'!38:38)</f>
        <v>12885.5</v>
      </c>
      <c r="BF90" s="128">
        <f>SUMIF('702-798'!$1:$1,BF$3,'702-798'!38:38)</f>
        <v>13367.72</v>
      </c>
      <c r="BG90" s="128">
        <f>SUMIF('702-798'!$1:$1,BG$3,'702-798'!38:38)</f>
        <v>4435</v>
      </c>
      <c r="BH90" s="128">
        <f>SUMIF('702-798'!$1:$1,BH$3,'702-798'!38:38)</f>
        <v>0</v>
      </c>
      <c r="BI90" s="128">
        <f>SUMIF('702-798'!$1:$1,BI$3,'702-798'!38:38)</f>
        <v>13928.009999999998</v>
      </c>
      <c r="BJ90" s="128">
        <f>SUMIF('702-798'!$1:$1,BJ$3,'702-798'!38:38)</f>
        <v>9176.6</v>
      </c>
      <c r="BK90" s="128">
        <f>SUMIF('702-798'!$1:$1,BK$3,'702-798'!38:38)</f>
        <v>0</v>
      </c>
      <c r="BL90" s="128">
        <f>SUMIF('702-798'!$1:$1,BL$3,'702-798'!38:38)</f>
        <v>33239.08</v>
      </c>
      <c r="BM90" s="128">
        <f>SUMIF('702-798'!$1:$1,BM$3,'702-798'!38:38)</f>
        <v>23892</v>
      </c>
      <c r="BN90" s="128">
        <f>SUMIF('702-798'!$1:$1,BN$3,'702-798'!38:38)</f>
        <v>21478.46</v>
      </c>
      <c r="BO90" s="128">
        <f>SUMIF('702-798'!$1:$1,BO$3,'702-798'!38:38)</f>
        <v>19150.270000000004</v>
      </c>
      <c r="BP90" s="128">
        <f>SUMIF('702-798'!$1:$1,BP$3,'702-798'!38:38)</f>
        <v>0</v>
      </c>
      <c r="BQ90" s="128">
        <f>SUMIF('702-798'!$1:$1,BQ$3,'702-798'!38:38)</f>
        <v>0</v>
      </c>
      <c r="BR90" s="128">
        <f>SUMIF('702-798'!$1:$1,BR$3,'702-798'!38:38)</f>
        <v>8522.08</v>
      </c>
      <c r="BS90" s="128">
        <f>SUMIF('702-798'!$1:$1,BS$3,'702-798'!38:38)</f>
        <v>0</v>
      </c>
      <c r="BT90" s="128">
        <f>SUMIF('702-798'!$1:$1,BT$3,'702-798'!38:38)</f>
        <v>0</v>
      </c>
      <c r="BU90" s="128">
        <f>SUMIF('702-798'!$1:$1,BU$3,'702-798'!38:38)</f>
        <v>-19441.400000000001</v>
      </c>
      <c r="BV90" s="128">
        <f>SUMIF('702-798'!$1:$1,BV$3,'702-798'!38:38)</f>
        <v>0</v>
      </c>
      <c r="BW90" s="128">
        <f>SUMIF('702-798'!$1:$1,BW$3,'702-798'!38:38)</f>
        <v>-8522.08</v>
      </c>
      <c r="BX90" s="128">
        <f>SUMIF('702-798'!$1:$1,BX$3,'702-798'!38:38)</f>
        <v>0</v>
      </c>
      <c r="BY90" s="128">
        <f>SUMIF('702-798'!$1:$1,BY$3,'702-798'!38:38)</f>
        <v>0</v>
      </c>
      <c r="BZ90" s="128">
        <f>SUMIF('702-798'!$1:$1,BZ$3,'702-798'!38:38)</f>
        <v>527.02</v>
      </c>
      <c r="CA90" s="314">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7">
        <f t="shared" si="32"/>
        <v>-378864.95999999973</v>
      </c>
      <c r="CJ90" s="122"/>
      <c r="CK90" s="169">
        <f>INDEX(SAP!C:C,MATCH('Actuals mapped to CFR'!A90,SAP!H:H,FALSE),1)</f>
        <v>-378864.96</v>
      </c>
      <c r="CL90" s="59">
        <f t="shared" si="33"/>
        <v>0</v>
      </c>
      <c r="CN90" s="81">
        <f t="shared" si="28"/>
        <v>1546391.5599999998</v>
      </c>
      <c r="CO90" s="81">
        <f t="shared" si="29"/>
        <v>1463722.6300000001</v>
      </c>
      <c r="CP90" s="166">
        <f>VLOOKUP(B90,'2526 GBP Data input'!$A$4:$CA$230,38,FALSE)</f>
        <v>1387845</v>
      </c>
      <c r="CQ90" s="166">
        <f>VLOOKUP(B90,'2526 GBP Data input'!$A$4:$CA$230,73,FALSE)</f>
        <v>18856</v>
      </c>
      <c r="CR90" s="89">
        <f t="shared" si="25"/>
        <v>158546.55999999982</v>
      </c>
      <c r="CS90" s="83">
        <f t="shared" si="26"/>
        <v>77.626359249045407</v>
      </c>
      <c r="CT90" s="82">
        <f t="shared" si="30"/>
        <v>351428.71999999974</v>
      </c>
      <c r="CU90" s="82">
        <f t="shared" si="31"/>
        <v>27436.240000000002</v>
      </c>
      <c r="CV90" s="86">
        <f t="shared" si="27"/>
        <v>378864.95999999973</v>
      </c>
    </row>
    <row r="91" spans="1:100" ht="13.5" thickBot="1">
      <c r="A91" s="258">
        <v>107798</v>
      </c>
      <c r="B91" s="230">
        <v>798</v>
      </c>
      <c r="C91" s="230" t="s">
        <v>203</v>
      </c>
      <c r="D91" s="128">
        <f>SUMIF('702-798'!$1:$1,D$3,'702-798'!39:39)</f>
        <v>0</v>
      </c>
      <c r="E91" s="128">
        <f>SUMIF('702-798'!$1:$1,E$3,'702-798'!39:39)</f>
        <v>1933.58</v>
      </c>
      <c r="F91" s="128">
        <f>SUMIF('702-798'!$1:$1,F$3,'702-798'!39:39)</f>
        <v>127920.49999999999</v>
      </c>
      <c r="G91" s="128">
        <f>SUMIF('702-798'!$1:$1,G$3,'702-798'!39:39)</f>
        <v>-15676.33</v>
      </c>
      <c r="H91" s="128">
        <f>SUMIF('702-798'!$1:$1,H$3,'702-798'!39:39)</f>
        <v>0</v>
      </c>
      <c r="I91" s="128">
        <f>SUMIF('702-798'!$1:$1,I$3,'702-798'!39:39)</f>
        <v>0</v>
      </c>
      <c r="J91" s="128">
        <f>SUMIF('702-798'!$1:$1,J$3,'702-798'!39:39)</f>
        <v>33795.93</v>
      </c>
      <c r="K91" s="128">
        <f>SUMIF('702-798'!$1:$1,K$3,'702-798'!39:39)</f>
        <v>-638137.73</v>
      </c>
      <c r="L91" s="128">
        <f>SUMIF('702-798'!$1:$1,L$3,'702-798'!39:39)</f>
        <v>0</v>
      </c>
      <c r="M91" s="128">
        <f>SUMIF('702-798'!$1:$1,M$3,'702-798'!39:39)</f>
        <v>-56628</v>
      </c>
      <c r="N91" s="128">
        <f>SUMIF('702-798'!$1:$1,N$3,'702-798'!39:39)</f>
        <v>0</v>
      </c>
      <c r="O91" s="128">
        <f>SUMIF('702-798'!$1:$1,O$3,'702-798'!39:39)</f>
        <v>-18180</v>
      </c>
      <c r="P91" s="128">
        <f>SUMIF('702-798'!$1:$1,P$3,'702-798'!39:39)</f>
        <v>-35545</v>
      </c>
      <c r="Q91" s="128">
        <f>SUMIF('702-798'!$1:$1,Q$3,'702-798'!39:39)</f>
        <v>-3000</v>
      </c>
      <c r="R91" s="128">
        <f>SUMIF('702-798'!$1:$1,R$3,'702-798'!39:39)</f>
        <v>-9639.5499999999993</v>
      </c>
      <c r="S91" s="128">
        <f>SUMIF('702-798'!$1:$1,S$3,'702-798'!39:39)</f>
        <v>-9082.0299999999988</v>
      </c>
      <c r="T91" s="128">
        <f>SUMIF('702-798'!$1:$1,T$3,'702-798'!39:39)</f>
        <v>34.239999999999995</v>
      </c>
      <c r="U91" s="128">
        <f>SUMIF('702-798'!$1:$1,U$3,'702-798'!39:39)</f>
        <v>0</v>
      </c>
      <c r="V91" s="128">
        <f>SUMIF('702-798'!$1:$1,V$3,'702-798'!39:39)</f>
        <v>0</v>
      </c>
      <c r="W91" s="128">
        <f>SUMIF('702-798'!$1:$1,W$3,'702-798'!39:39)</f>
        <v>-13264.510000000006</v>
      </c>
      <c r="X91" s="128">
        <f>SUMIF('702-798'!$1:$1,X$3,'702-798'!39:39)</f>
        <v>-16780</v>
      </c>
      <c r="Y91" s="164">
        <f>SUMIF('702-798'!$1:$1,Y$3,'702-798'!39:39)</f>
        <v>0</v>
      </c>
      <c r="Z91" s="128">
        <f>SUMIF('702-798'!$1:$1,Z$3,'702-798'!39:39)</f>
        <v>0</v>
      </c>
      <c r="AA91" s="128">
        <f>SUMIF('702-798'!$1:$1,AA$3,'702-798'!39:39)</f>
        <v>0</v>
      </c>
      <c r="AB91" s="128">
        <f>SUMIF('702-798'!$1:$1,AB$3,'702-798'!39:39)</f>
        <v>0</v>
      </c>
      <c r="AC91" s="314">
        <f>SUMIF('702-798'!$1:$1,AC$3,'702-798'!39:39)</f>
        <v>0</v>
      </c>
      <c r="AD91" s="314">
        <f>SUMIF('702-798'!$1:$1,AD$3,'702-798'!39:39)</f>
        <v>0</v>
      </c>
      <c r="AE91" s="314">
        <f>SUMIF('702-798'!$1:$1,AE$3,'702-798'!39:39)</f>
        <v>0</v>
      </c>
      <c r="AF91" s="314">
        <f>SUMIF('702-798'!$1:$1,AF$3,'702-798'!39:39)</f>
        <v>0</v>
      </c>
      <c r="AG91" s="128">
        <f>SUMIF('702-798'!$1:$1,AG$3,'702-798'!39:39)</f>
        <v>400650.4</v>
      </c>
      <c r="AH91" s="128">
        <f>SUMIF('702-798'!$1:$1,AH$3,'702-798'!39:39)</f>
        <v>6648.8799999999992</v>
      </c>
      <c r="AI91" s="128">
        <f>SUMIF('702-798'!$1:$1,AI$3,'702-798'!39:39)</f>
        <v>136736.38</v>
      </c>
      <c r="AJ91" s="128">
        <f>SUMIF('702-798'!$1:$1,AJ$3,'702-798'!39:39)</f>
        <v>26621.97</v>
      </c>
      <c r="AK91" s="128">
        <f>SUMIF('702-798'!$1:$1,AK$3,'702-798'!39:39)</f>
        <v>47597.80000000001</v>
      </c>
      <c r="AL91" s="128">
        <f>SUMIF('702-798'!$1:$1,AL$3,'702-798'!39:39)</f>
        <v>0</v>
      </c>
      <c r="AM91" s="128">
        <f>SUMIF('702-798'!$1:$1,AM$3,'702-798'!39:39)</f>
        <v>26408.940000000002</v>
      </c>
      <c r="AN91" s="128">
        <f>SUMIF('702-798'!$1:$1,AN$3,'702-798'!39:39)</f>
        <v>2279</v>
      </c>
      <c r="AO91" s="128">
        <f>SUMIF('702-798'!$1:$1,AO$3,'702-798'!39:39)</f>
        <v>722.25</v>
      </c>
      <c r="AP91" s="128">
        <f>SUMIF('702-798'!$1:$1,AP$3,'702-798'!39:39)</f>
        <v>8138.29</v>
      </c>
      <c r="AQ91" s="128">
        <f>SUMIF('702-798'!$1:$1,AQ$3,'702-798'!39:39)</f>
        <v>0</v>
      </c>
      <c r="AR91" s="128">
        <f>SUMIF('702-798'!$1:$1,AR$3,'702-798'!39:39)</f>
        <v>8302.9</v>
      </c>
      <c r="AS91" s="128">
        <f>SUMIF('702-798'!$1:$1,AS$3,'702-798'!39:39)</f>
        <v>6160.7799999999988</v>
      </c>
      <c r="AT91" s="128">
        <f>SUMIF('702-798'!$1:$1,AT$3,'702-798'!39:39)</f>
        <v>1916.6</v>
      </c>
      <c r="AU91" s="128">
        <f>SUMIF('702-798'!$1:$1,AU$3,'702-798'!39:39)</f>
        <v>2518.2200000000003</v>
      </c>
      <c r="AV91" s="128">
        <f>SUMIF('702-798'!$1:$1,AV$3,'702-798'!39:39)</f>
        <v>14106.489999999998</v>
      </c>
      <c r="AW91" s="128">
        <f>SUMIF('702-798'!$1:$1,AW$3,'702-798'!39:39)</f>
        <v>23827.25</v>
      </c>
      <c r="AX91" s="128">
        <f>SUMIF('702-798'!$1:$1,AX$3,'702-798'!39:39)</f>
        <v>2596.2599999999998</v>
      </c>
      <c r="AY91" s="128">
        <f>SUMIF('702-798'!$1:$1,AY$3,'702-798'!39:39)</f>
        <v>19890.78</v>
      </c>
      <c r="AZ91" s="314">
        <f>SUMIF('702-798'!$1:$1,AZ$3,'702-798'!39:39)</f>
        <v>0</v>
      </c>
      <c r="BA91" s="128">
        <f>SUMIF('702-798'!$1:$1,BA$3,'702-798'!39:39)</f>
        <v>0</v>
      </c>
      <c r="BB91" s="128">
        <f>SUMIF('702-798'!$1:$1,BB$3,'702-798'!39:39)</f>
        <v>0</v>
      </c>
      <c r="BC91" s="128">
        <f>SUMIF('702-798'!$1:$1,BC$3,'702-798'!39:39)</f>
        <v>2556.5500000000002</v>
      </c>
      <c r="BD91" s="128">
        <f>SUMIF('702-798'!$1:$1,BD$3,'702-798'!39:39)</f>
        <v>8501.7000000000007</v>
      </c>
      <c r="BE91" s="128">
        <f>SUMIF('702-798'!$1:$1,BE$3,'702-798'!39:39)</f>
        <v>0</v>
      </c>
      <c r="BF91" s="128">
        <f>SUMIF('702-798'!$1:$1,BF$3,'702-798'!39:39)</f>
        <v>0</v>
      </c>
      <c r="BG91" s="128">
        <f>SUMIF('702-798'!$1:$1,BG$3,'702-798'!39:39)</f>
        <v>3390.21</v>
      </c>
      <c r="BH91" s="128">
        <f>SUMIF('702-798'!$1:$1,BH$3,'702-798'!39:39)</f>
        <v>0</v>
      </c>
      <c r="BI91" s="128">
        <f>SUMIF('702-798'!$1:$1,BI$3,'702-798'!39:39)</f>
        <v>4229.72</v>
      </c>
      <c r="BJ91" s="128">
        <f>SUMIF('702-798'!$1:$1,BJ$3,'702-798'!39:39)</f>
        <v>5182.08</v>
      </c>
      <c r="BK91" s="128">
        <f>SUMIF('702-798'!$1:$1,BK$3,'702-798'!39:39)</f>
        <v>0</v>
      </c>
      <c r="BL91" s="128">
        <f>SUMIF('702-798'!$1:$1,BL$3,'702-798'!39:39)</f>
        <v>26128.21</v>
      </c>
      <c r="BM91" s="128">
        <f>SUMIF('702-798'!$1:$1,BM$3,'702-798'!39:39)</f>
        <v>864</v>
      </c>
      <c r="BN91" s="128">
        <f>SUMIF('702-798'!$1:$1,BN$3,'702-798'!39:39)</f>
        <v>38893.839999999997</v>
      </c>
      <c r="BO91" s="128">
        <f>SUMIF('702-798'!$1:$1,BO$3,'702-798'!39:39)</f>
        <v>12683.400000000003</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-5068.75</v>
      </c>
      <c r="BV91" s="128">
        <f>SUMIF('702-798'!$1:$1,BV$3,'702-798'!39:39)</f>
        <v>0</v>
      </c>
      <c r="BW91" s="128">
        <f>SUMIF('702-798'!$1:$1,BW$3,'702-798'!39:39)</f>
        <v>0</v>
      </c>
      <c r="BX91" s="128">
        <f>SUMIF('702-798'!$1:$1,BX$3,'702-798'!39:39)</f>
        <v>0</v>
      </c>
      <c r="BY91" s="128">
        <f>SUMIF('702-798'!$1:$1,BY$3,'702-798'!39:39)</f>
        <v>11155.91</v>
      </c>
      <c r="BZ91" s="128">
        <f>SUMIF('702-798'!$1:$1,BZ$3,'702-798'!39:39)</f>
        <v>0</v>
      </c>
      <c r="CA91" s="314">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59">
        <f t="shared" si="32"/>
        <v>191391.15999999989</v>
      </c>
      <c r="CJ91" s="122"/>
      <c r="CK91" s="169">
        <f>INDEX(SAP!C:C,MATCH('Actuals mapped to CFR'!A91,SAP!H:H,FALSE),1)</f>
        <v>191391.16</v>
      </c>
      <c r="CL91" s="59">
        <f t="shared" si="33"/>
        <v>0</v>
      </c>
      <c r="CN91" s="81">
        <f t="shared" si="28"/>
        <v>800222.58000000007</v>
      </c>
      <c r="CO91" s="81">
        <f t="shared" si="29"/>
        <v>837552.9</v>
      </c>
      <c r="CP91" s="166">
        <f>VLOOKUP(B91,'2526 GBP Data input'!$A$4:$CA$230,38,FALSE)</f>
        <v>774126</v>
      </c>
      <c r="CQ91" s="166">
        <f>VLOOKUP(B91,'2526 GBP Data input'!$A$4:$CA$230,73,FALSE)</f>
        <v>11615</v>
      </c>
      <c r="CR91" s="89">
        <f t="shared" si="25"/>
        <v>26096.580000000075</v>
      </c>
      <c r="CS91" s="83">
        <f t="shared" si="26"/>
        <v>72.109591046061126</v>
      </c>
      <c r="CT91" s="82">
        <f t="shared" si="30"/>
        <v>-165250.81999999995</v>
      </c>
      <c r="CU91" s="82">
        <f t="shared" si="31"/>
        <v>9589.1700000000019</v>
      </c>
      <c r="CV91" s="86">
        <f t="shared" si="27"/>
        <v>-155661.64999999994</v>
      </c>
    </row>
    <row r="92" spans="1:100">
      <c r="A92" s="252">
        <v>107800</v>
      </c>
      <c r="B92" s="253">
        <v>800</v>
      </c>
      <c r="C92" s="253" t="s">
        <v>240</v>
      </c>
      <c r="D92" s="299">
        <f>SUMIF('800-898'!$1:$1,D$3,'800-898'!3:3)</f>
        <v>0</v>
      </c>
      <c r="E92" s="299">
        <f>SUMIF('800-898'!$1:$1,E$3,'800-898'!3:3)</f>
        <v>-25056.720000000001</v>
      </c>
      <c r="F92" s="299">
        <f>SUMIF('800-898'!$1:$1,F$3,'800-898'!3:3)</f>
        <v>369657.17</v>
      </c>
      <c r="G92" s="299">
        <f>SUMIF('800-898'!$1:$1,G$3,'800-898'!3:3)</f>
        <v>-27162.639999999999</v>
      </c>
      <c r="H92" s="299">
        <f>SUMIF('800-898'!$1:$1,H$3,'800-898'!3:3)</f>
        <v>0</v>
      </c>
      <c r="I92" s="299">
        <f>SUMIF('800-898'!$1:$1,I$3,'800-898'!3:3)</f>
        <v>0</v>
      </c>
      <c r="J92" s="299">
        <f>SUMIF('800-898'!$1:$1,J$3,'800-898'!3:3)</f>
        <v>0</v>
      </c>
      <c r="K92" s="299">
        <f>SUMIF('800-898'!$1:$1,K$3,'800-898'!3:3)</f>
        <v>-1051728.3999999999</v>
      </c>
      <c r="L92" s="299">
        <f>SUMIF('800-898'!$1:$1,L$3,'800-898'!3:3)</f>
        <v>0</v>
      </c>
      <c r="M92" s="299">
        <f>SUMIF('800-898'!$1:$1,M$3,'800-898'!3:3)</f>
        <v>-121770</v>
      </c>
      <c r="N92" s="299">
        <f>SUMIF('800-898'!$1:$1,N$3,'800-898'!3:3)</f>
        <v>0</v>
      </c>
      <c r="O92" s="299">
        <f>SUMIF('800-898'!$1:$1,O$3,'800-898'!3:3)</f>
        <v>-16550</v>
      </c>
      <c r="P92" s="299">
        <f>SUMIF('800-898'!$1:$1,P$3,'800-898'!3:3)</f>
        <v>-57350</v>
      </c>
      <c r="Q92" s="299">
        <f>SUMIF('800-898'!$1:$1,Q$3,'800-898'!3:3)</f>
        <v>-50000</v>
      </c>
      <c r="R92" s="299">
        <f>SUMIF('800-898'!$1:$1,R$3,'800-898'!3:3)</f>
        <v>-1460.24</v>
      </c>
      <c r="S92" s="299">
        <f>SUMIF('800-898'!$1:$1,S$3,'800-898'!3:3)</f>
        <v>-50227.869999999995</v>
      </c>
      <c r="T92" s="299">
        <f>SUMIF('800-898'!$1:$1,T$3,'800-898'!3:3)</f>
        <v>-3741.8500000000004</v>
      </c>
      <c r="U92" s="299">
        <f>SUMIF('800-898'!$1:$1,U$3,'800-898'!3:3)</f>
        <v>0</v>
      </c>
      <c r="V92" s="299">
        <f>SUMIF('800-898'!$1:$1,V$3,'800-898'!3:3)</f>
        <v>0</v>
      </c>
      <c r="W92" s="299">
        <f>SUMIF('800-898'!$1:$1,W$3,'800-898'!3:3)</f>
        <v>-30859.549999999996</v>
      </c>
      <c r="X92" s="299">
        <f>SUMIF('800-898'!$1:$1,X$3,'800-898'!3:3)</f>
        <v>-19811.55</v>
      </c>
      <c r="Y92" s="299">
        <f>SUMIF('800-898'!$1:$1,Y$3,'800-898'!3:3)</f>
        <v>0</v>
      </c>
      <c r="Z92" s="299">
        <f>SUMIF('800-898'!$1:$1,Z$3,'800-898'!3:3)</f>
        <v>0</v>
      </c>
      <c r="AA92" s="299">
        <f>SUMIF('800-898'!$1:$1,AA$3,'800-898'!3:3)</f>
        <v>0</v>
      </c>
      <c r="AB92" s="299">
        <f>SUMIF('800-898'!$1:$1,AB$3,'800-898'!3:3)</f>
        <v>0</v>
      </c>
      <c r="AC92" s="419">
        <f>SUMIF('800-898'!$1:$1,AC$3,'800-898'!3:3)</f>
        <v>0</v>
      </c>
      <c r="AD92" s="419">
        <f>SUMIF('800-898'!$1:$1,AD$3,'800-898'!3:3)</f>
        <v>0</v>
      </c>
      <c r="AE92" s="419">
        <f>SUMIF('800-898'!$1:$1,AE$3,'800-898'!3:3)</f>
        <v>0</v>
      </c>
      <c r="AF92" s="419">
        <f>SUMIF('800-898'!$1:$1,AF$3,'800-898'!3:3)</f>
        <v>0</v>
      </c>
      <c r="AG92" s="299">
        <f>SUMIF('800-898'!$1:$1,AG$3,'800-898'!3:3)</f>
        <v>623517.62999999989</v>
      </c>
      <c r="AH92" s="299">
        <f>SUMIF('800-898'!$1:$1,AH$3,'800-898'!3:3)</f>
        <v>1737.08</v>
      </c>
      <c r="AI92" s="299">
        <f>SUMIF('800-898'!$1:$1,AI$3,'800-898'!3:3)</f>
        <v>296593.94</v>
      </c>
      <c r="AJ92" s="299">
        <f>SUMIF('800-898'!$1:$1,AJ$3,'800-898'!3:3)</f>
        <v>20753.899999999998</v>
      </c>
      <c r="AK92" s="299">
        <f>SUMIF('800-898'!$1:$1,AK$3,'800-898'!3:3)</f>
        <v>65478.2</v>
      </c>
      <c r="AL92" s="299">
        <f>SUMIF('800-898'!$1:$1,AL$3,'800-898'!3:3)</f>
        <v>0</v>
      </c>
      <c r="AM92" s="299">
        <f>SUMIF('800-898'!$1:$1,AM$3,'800-898'!3:3)</f>
        <v>56838.51999999999</v>
      </c>
      <c r="AN92" s="299">
        <f>SUMIF('800-898'!$1:$1,AN$3,'800-898'!3:3)</f>
        <v>3807</v>
      </c>
      <c r="AO92" s="299">
        <f>SUMIF('800-898'!$1:$1,AO$3,'800-898'!3:3)</f>
        <v>5468</v>
      </c>
      <c r="AP92" s="299">
        <f>SUMIF('800-898'!$1:$1,AP$3,'800-898'!3:3)</f>
        <v>610</v>
      </c>
      <c r="AQ92" s="299">
        <f>SUMIF('800-898'!$1:$1,AQ$3,'800-898'!3:3)</f>
        <v>0</v>
      </c>
      <c r="AR92" s="299">
        <f>SUMIF('800-898'!$1:$1,AR$3,'800-898'!3:3)</f>
        <v>14960.75</v>
      </c>
      <c r="AS92" s="299">
        <f>SUMIF('800-898'!$1:$1,AS$3,'800-898'!3:3)</f>
        <v>4595.12</v>
      </c>
      <c r="AT92" s="299">
        <f>SUMIF('800-898'!$1:$1,AT$3,'800-898'!3:3)</f>
        <v>2922.6600000000003</v>
      </c>
      <c r="AU92" s="299">
        <f>SUMIF('800-898'!$1:$1,AU$3,'800-898'!3:3)</f>
        <v>3440.96</v>
      </c>
      <c r="AV92" s="299">
        <f>SUMIF('800-898'!$1:$1,AV$3,'800-898'!3:3)</f>
        <v>20344.449999999997</v>
      </c>
      <c r="AW92" s="299">
        <f>SUMIF('800-898'!$1:$1,AW$3,'800-898'!3:3)</f>
        <v>15593.75</v>
      </c>
      <c r="AX92" s="299">
        <f>SUMIF('800-898'!$1:$1,AX$3,'800-898'!3:3)</f>
        <v>1836.84</v>
      </c>
      <c r="AY92" s="299">
        <f>SUMIF('800-898'!$1:$1,AY$3,'800-898'!3:3)</f>
        <v>73481.140000000014</v>
      </c>
      <c r="AZ92" s="299">
        <f>SUMIF('800-898'!$1:$1,AZ$3,'800-898'!3:3)</f>
        <v>0</v>
      </c>
      <c r="BA92" s="299">
        <f>SUMIF('800-898'!$1:$1,BA$3,'800-898'!3:3)</f>
        <v>3271.45</v>
      </c>
      <c r="BB92" s="299">
        <f>SUMIF('800-898'!$1:$1,BB$3,'800-898'!3:3)</f>
        <v>0</v>
      </c>
      <c r="BC92" s="299">
        <f>SUMIF('800-898'!$1:$1,BC$3,'800-898'!3:3)</f>
        <v>0</v>
      </c>
      <c r="BD92" s="299">
        <f>SUMIF('800-898'!$1:$1,BD$3,'800-898'!3:3)</f>
        <v>5029.5599999999995</v>
      </c>
      <c r="BE92" s="299">
        <f>SUMIF('800-898'!$1:$1,BE$3,'800-898'!3:3)</f>
        <v>0</v>
      </c>
      <c r="BF92" s="299">
        <f>SUMIF('800-898'!$1:$1,BF$3,'800-898'!3:3)</f>
        <v>0</v>
      </c>
      <c r="BG92" s="299">
        <f>SUMIF('800-898'!$1:$1,BG$3,'800-898'!3:3)</f>
        <v>5515</v>
      </c>
      <c r="BH92" s="299">
        <f>SUMIF('800-898'!$1:$1,BH$3,'800-898'!3:3)</f>
        <v>0</v>
      </c>
      <c r="BI92" s="299">
        <f>SUMIF('800-898'!$1:$1,BI$3,'800-898'!3:3)</f>
        <v>780.19999999999993</v>
      </c>
      <c r="BJ92" s="299">
        <f>SUMIF('800-898'!$1:$1,BJ$3,'800-898'!3:3)</f>
        <v>10796</v>
      </c>
      <c r="BK92" s="299">
        <f>SUMIF('800-898'!$1:$1,BK$3,'800-898'!3:3)</f>
        <v>0</v>
      </c>
      <c r="BL92" s="299">
        <f>SUMIF('800-898'!$1:$1,BL$3,'800-898'!3:3)</f>
        <v>48333.91</v>
      </c>
      <c r="BM92" s="299">
        <f>SUMIF('800-898'!$1:$1,BM$3,'800-898'!3:3)</f>
        <v>224.5</v>
      </c>
      <c r="BN92" s="299">
        <f>SUMIF('800-898'!$1:$1,BN$3,'800-898'!3:3)</f>
        <v>42048.17</v>
      </c>
      <c r="BO92" s="299">
        <f>SUMIF('800-898'!$1:$1,BO$3,'800-898'!3:3)</f>
        <v>16686.690000000002</v>
      </c>
      <c r="BP92" s="299">
        <f>SUMIF('800-898'!$1:$1,BP$3,'800-898'!3:3)</f>
        <v>0</v>
      </c>
      <c r="BQ92" s="299">
        <f>SUMIF('800-898'!$1:$1,BQ$3,'800-898'!3:3)</f>
        <v>0</v>
      </c>
      <c r="BR92" s="299">
        <f>SUMIF('800-898'!$1:$1,BR$3,'800-898'!3:3)</f>
        <v>0</v>
      </c>
      <c r="BS92" s="299">
        <f>SUMIF('800-898'!$1:$1,BS$3,'800-898'!3:3)</f>
        <v>0</v>
      </c>
      <c r="BT92" s="299">
        <f>SUMIF('800-898'!$1:$1,BT$3,'800-898'!3:3)</f>
        <v>0</v>
      </c>
      <c r="BU92" s="299">
        <f>SUMIF('800-898'!$1:$1,BU$3,'800-898'!3:3)</f>
        <v>-6227.5</v>
      </c>
      <c r="BV92" s="299">
        <f>SUMIF('800-898'!$1:$1,BV$3,'800-898'!3:3)</f>
        <v>0</v>
      </c>
      <c r="BW92" s="299">
        <f>SUMIF('800-898'!$1:$1,BW$3,'800-898'!3:3)</f>
        <v>0</v>
      </c>
      <c r="BX92" s="299">
        <f>SUMIF('800-898'!$1:$1,BX$3,'800-898'!3:3)</f>
        <v>0</v>
      </c>
      <c r="BY92" s="299">
        <f>SUMIF('800-898'!$1:$1,BY$3,'800-898'!3:3)</f>
        <v>8583.9200000000055</v>
      </c>
      <c r="BZ92" s="299">
        <f>SUMIF('800-898'!$1:$1,BZ$3,'800-898'!3:3)</f>
        <v>0</v>
      </c>
      <c r="CA92" s="314">
        <f>SUMIF('800-898'!$1:$1,CA$3,'800-898'!3:3)</f>
        <v>0</v>
      </c>
      <c r="CB92" s="299">
        <f>SUMIF('800-898'!$1:$1,CB$3,'800-898'!3:3)</f>
        <v>0</v>
      </c>
      <c r="CC92" s="299">
        <f>SUMIF('800-898'!$1:$1,CC$3,'800-898'!3:3)</f>
        <v>0</v>
      </c>
      <c r="CD92" s="299">
        <f>SUMIF('800-898'!$1:$1,CD$3,'800-898'!3:3)</f>
        <v>0</v>
      </c>
      <c r="CE92" s="299">
        <f>SUMIF('800-898'!$1:$1,CE$3,'800-898'!3:3)</f>
        <v>0</v>
      </c>
      <c r="CF92" s="299">
        <f>SUMIF('800-898'!$1:$1,CF$3,'800-898'!3:3)</f>
        <v>0</v>
      </c>
      <c r="CG92" s="300">
        <f t="shared" ref="CG92:CG121" si="34">SUM(D92:CF92)</f>
        <v>260960.19000000003</v>
      </c>
      <c r="CJ92" s="122"/>
      <c r="CK92" s="169">
        <f>INDEX(SAP!C:C,MATCH('Actuals mapped to CFR'!A92,SAP!H:H,FALSE),1)</f>
        <v>260960.19</v>
      </c>
      <c r="CL92" s="59">
        <f t="shared" si="33"/>
        <v>0</v>
      </c>
      <c r="CN92" s="81">
        <f t="shared" ref="CN92:CN121" si="35">SUM(K92:AF92)*-1</f>
        <v>1403499.46</v>
      </c>
      <c r="CO92" s="81">
        <f t="shared" ref="CO92:CO121" si="36">SUM(AG92:BT92)</f>
        <v>1344665.4199999997</v>
      </c>
      <c r="CP92" s="166">
        <f>VLOOKUP(B92,'2526 GBP Data input'!$A$4:$CA$230,38,FALSE)</f>
        <v>1288757</v>
      </c>
      <c r="CQ92" s="166">
        <f>VLOOKUP(B92,'2526 GBP Data input'!$A$4:$CA$230,73,FALSE)</f>
        <v>14809</v>
      </c>
      <c r="CR92" s="89">
        <f t="shared" si="25"/>
        <v>114742.45999999996</v>
      </c>
      <c r="CS92" s="83">
        <f t="shared" si="26"/>
        <v>90.80055506786411</v>
      </c>
      <c r="CT92" s="82">
        <f t="shared" ref="CT92:CT121" si="37">SUM(D92+F92)*-1+CN92-CO92</f>
        <v>-310823.12999999966</v>
      </c>
      <c r="CU92" s="82">
        <f t="shared" ref="CU92:CU121" si="38">SUM(G92+H92+I92+BU92+BV92+BW92)*-1-BX92-BY92-BZ92-CF92</f>
        <v>24806.219999999994</v>
      </c>
      <c r="CV92" s="86">
        <f t="shared" si="27"/>
        <v>-286016.90999999968</v>
      </c>
    </row>
    <row r="93" spans="1:100">
      <c r="A93" s="238">
        <v>107803</v>
      </c>
      <c r="B93" s="60">
        <v>803</v>
      </c>
      <c r="C93" s="60" t="s">
        <v>193</v>
      </c>
      <c r="D93" s="128">
        <f>SUMIF('800-898'!$1:$1,D$3,'800-898'!4:4)</f>
        <v>-211213.8</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-1442234.78</v>
      </c>
      <c r="L93" s="128">
        <f>SUMIF('800-898'!$1:$1,L$3,'800-898'!4:4)</f>
        <v>0</v>
      </c>
      <c r="M93" s="128">
        <f>SUMIF('800-898'!$1:$1,M$3,'800-898'!4:4)</f>
        <v>-85690</v>
      </c>
      <c r="N93" s="128">
        <f>SUMIF('800-898'!$1:$1,N$3,'800-898'!4:4)</f>
        <v>0</v>
      </c>
      <c r="O93" s="128">
        <f>SUMIF('800-898'!$1:$1,O$3,'800-898'!4:4)</f>
        <v>-116970</v>
      </c>
      <c r="P93" s="128">
        <f>SUMIF('800-898'!$1:$1,P$3,'800-898'!4:4)</f>
        <v>-66527.929999999993</v>
      </c>
      <c r="Q93" s="128">
        <f>SUMIF('800-898'!$1:$1,Q$3,'800-898'!4:4)</f>
        <v>0</v>
      </c>
      <c r="R93" s="128">
        <f>SUMIF('800-898'!$1:$1,R$3,'800-898'!4:4)</f>
        <v>0</v>
      </c>
      <c r="S93" s="128">
        <f>SUMIF('800-898'!$1:$1,S$3,'800-898'!4:4)</f>
        <v>-76887.200000000026</v>
      </c>
      <c r="T93" s="128">
        <f>SUMIF('800-898'!$1:$1,T$3,'800-898'!4:4)</f>
        <v>-17039.919999999998</v>
      </c>
      <c r="U93" s="128">
        <f>SUMIF('800-898'!$1:$1,U$3,'800-898'!4:4)</f>
        <v>-4124</v>
      </c>
      <c r="V93" s="128">
        <f>SUMIF('800-898'!$1:$1,V$3,'800-898'!4:4)</f>
        <v>-1992</v>
      </c>
      <c r="W93" s="128">
        <f>SUMIF('800-898'!$1:$1,W$3,'800-898'!4:4)</f>
        <v>-22616.809999999998</v>
      </c>
      <c r="X93" s="128">
        <f>SUMIF('800-898'!$1:$1,X$3,'800-898'!4:4)</f>
        <v>-780</v>
      </c>
      <c r="Y93" s="164">
        <f>SUMIF('800-898'!$1:$1,Y$3,'800-898'!4:4)</f>
        <v>0</v>
      </c>
      <c r="Z93" s="128">
        <f>SUMIF('800-898'!$1:$1,Z$3,'800-898'!4:4)</f>
        <v>0</v>
      </c>
      <c r="AA93" s="128">
        <f>SUMIF('800-898'!$1:$1,AA$3,'800-898'!4:4)</f>
        <v>0</v>
      </c>
      <c r="AB93" s="128">
        <f>SUMIF('800-898'!$1:$1,AB$3,'800-898'!4:4)</f>
        <v>0</v>
      </c>
      <c r="AC93" s="314">
        <f>SUMIF('800-898'!$1:$1,AC$3,'800-898'!4:4)</f>
        <v>0</v>
      </c>
      <c r="AD93" s="314">
        <f>SUMIF('800-898'!$1:$1,AD$3,'800-898'!4:4)</f>
        <v>0</v>
      </c>
      <c r="AE93" s="314">
        <f>SUMIF('800-898'!$1:$1,AE$3,'800-898'!4:4)</f>
        <v>0</v>
      </c>
      <c r="AF93" s="314">
        <f>SUMIF('800-898'!$1:$1,AF$3,'800-898'!4:4)</f>
        <v>0</v>
      </c>
      <c r="AG93" s="128">
        <f>SUMIF('800-898'!$1:$1,AG$3,'800-898'!4:4)</f>
        <v>768546.37999999989</v>
      </c>
      <c r="AH93" s="128">
        <f>SUMIF('800-898'!$1:$1,AH$3,'800-898'!4:4)</f>
        <v>17075.229999999996</v>
      </c>
      <c r="AI93" s="128">
        <f>SUMIF('800-898'!$1:$1,AI$3,'800-898'!4:4)</f>
        <v>384887.68</v>
      </c>
      <c r="AJ93" s="128">
        <f>SUMIF('800-898'!$1:$1,AJ$3,'800-898'!4:4)</f>
        <v>15456.750000000002</v>
      </c>
      <c r="AK93" s="128">
        <f>SUMIF('800-898'!$1:$1,AK$3,'800-898'!4:4)</f>
        <v>52846.400000000001</v>
      </c>
      <c r="AL93" s="128">
        <f>SUMIF('800-898'!$1:$1,AL$3,'800-898'!4:4)</f>
        <v>35249.139999999992</v>
      </c>
      <c r="AM93" s="128">
        <f>SUMIF('800-898'!$1:$1,AM$3,'800-898'!4:4)</f>
        <v>55678.35</v>
      </c>
      <c r="AN93" s="128">
        <f>SUMIF('800-898'!$1:$1,AN$3,'800-898'!4:4)</f>
        <v>4943.8</v>
      </c>
      <c r="AO93" s="128">
        <f>SUMIF('800-898'!$1:$1,AO$3,'800-898'!4:4)</f>
        <v>11695.51</v>
      </c>
      <c r="AP93" s="128">
        <f>SUMIF('800-898'!$1:$1,AP$3,'800-898'!4:4)</f>
        <v>828.54</v>
      </c>
      <c r="AQ93" s="128">
        <f>SUMIF('800-898'!$1:$1,AQ$3,'800-898'!4:4)</f>
        <v>17286.38</v>
      </c>
      <c r="AR93" s="128">
        <f>SUMIF('800-898'!$1:$1,AR$3,'800-898'!4:4)</f>
        <v>10730.330000000002</v>
      </c>
      <c r="AS93" s="128">
        <f>SUMIF('800-898'!$1:$1,AS$3,'800-898'!4:4)</f>
        <v>334.24</v>
      </c>
      <c r="AT93" s="128">
        <f>SUMIF('800-898'!$1:$1,AT$3,'800-898'!4:4)</f>
        <v>42129.259999999995</v>
      </c>
      <c r="AU93" s="128">
        <f>SUMIF('800-898'!$1:$1,AU$3,'800-898'!4:4)</f>
        <v>5029.4600000000009</v>
      </c>
      <c r="AV93" s="128">
        <f>SUMIF('800-898'!$1:$1,AV$3,'800-898'!4:4)</f>
        <v>28411.21</v>
      </c>
      <c r="AW93" s="128">
        <f>SUMIF('800-898'!$1:$1,AW$3,'800-898'!4:4)</f>
        <v>36855</v>
      </c>
      <c r="AX93" s="128">
        <f>SUMIF('800-898'!$1:$1,AX$3,'800-898'!4:4)</f>
        <v>3817.1599999999994</v>
      </c>
      <c r="AY93" s="128">
        <f>SUMIF('800-898'!$1:$1,AY$3,'800-898'!4:4)</f>
        <v>81087.879999999976</v>
      </c>
      <c r="AZ93" s="314">
        <f>SUMIF('800-898'!$1:$1,AZ$3,'800-898'!4:4)</f>
        <v>0</v>
      </c>
      <c r="BA93" s="128">
        <f>SUMIF('800-898'!$1:$1,BA$3,'800-898'!4:4)</f>
        <v>4825.8599999999997</v>
      </c>
      <c r="BB93" s="128">
        <f>SUMIF('800-898'!$1:$1,BB$3,'800-898'!4:4)</f>
        <v>0</v>
      </c>
      <c r="BC93" s="128">
        <f>SUMIF('800-898'!$1:$1,BC$3,'800-898'!4:4)</f>
        <v>2062.66</v>
      </c>
      <c r="BD93" s="128">
        <f>SUMIF('800-898'!$1:$1,BD$3,'800-898'!4:4)</f>
        <v>1532.29</v>
      </c>
      <c r="BE93" s="128">
        <f>SUMIF('800-898'!$1:$1,BE$3,'800-898'!4:4)</f>
        <v>5998.2599999999993</v>
      </c>
      <c r="BF93" s="128">
        <f>SUMIF('800-898'!$1:$1,BF$3,'800-898'!4:4)</f>
        <v>0</v>
      </c>
      <c r="BG93" s="128">
        <f>SUMIF('800-898'!$1:$1,BG$3,'800-898'!4:4)</f>
        <v>10073.790000000001</v>
      </c>
      <c r="BH93" s="128">
        <f>SUMIF('800-898'!$1:$1,BH$3,'800-898'!4:4)</f>
        <v>0</v>
      </c>
      <c r="BI93" s="128">
        <f>SUMIF('800-898'!$1:$1,BI$3,'800-898'!4:4)</f>
        <v>9485.59</v>
      </c>
      <c r="BJ93" s="128">
        <f>SUMIF('800-898'!$1:$1,BJ$3,'800-898'!4:4)</f>
        <v>13511.59</v>
      </c>
      <c r="BK93" s="128">
        <f>SUMIF('800-898'!$1:$1,BK$3,'800-898'!4:4)</f>
        <v>0</v>
      </c>
      <c r="BL93" s="128">
        <f>SUMIF('800-898'!$1:$1,BL$3,'800-898'!4:4)</f>
        <v>59745.280000000028</v>
      </c>
      <c r="BM93" s="128">
        <f>SUMIF('800-898'!$1:$1,BM$3,'800-898'!4:4)</f>
        <v>17269.099999999995</v>
      </c>
      <c r="BN93" s="128">
        <f>SUMIF('800-898'!$1:$1,BN$3,'800-898'!4:4)</f>
        <v>104264.79999999999</v>
      </c>
      <c r="BO93" s="128">
        <f>SUMIF('800-898'!$1:$1,BO$3,'800-898'!4:4)</f>
        <v>36298.479999999996</v>
      </c>
      <c r="BP93" s="128">
        <f>SUMIF('800-898'!$1:$1,BP$3,'800-898'!4:4)</f>
        <v>0</v>
      </c>
      <c r="BQ93" s="128">
        <f>SUMIF('800-898'!$1:$1,BQ$3,'800-898'!4:4)</f>
        <v>0</v>
      </c>
      <c r="BR93" s="128">
        <f>SUMIF('800-898'!$1:$1,BR$3,'800-898'!4:4)</f>
        <v>0</v>
      </c>
      <c r="BS93" s="128">
        <f>SUMIF('800-898'!$1:$1,BS$3,'800-898'!4:4)</f>
        <v>0</v>
      </c>
      <c r="BT93" s="128">
        <f>SUMIF('800-898'!$1:$1,BT$3,'800-898'!4:4)</f>
        <v>0</v>
      </c>
      <c r="BU93" s="128">
        <f>SUMIF('800-898'!$1:$1,BU$3,'800-898'!4:4)</f>
        <v>-6868.75</v>
      </c>
      <c r="BV93" s="128">
        <f>SUMIF('800-898'!$1:$1,BV$3,'800-898'!4:4)</f>
        <v>0</v>
      </c>
      <c r="BW93" s="128">
        <f>SUMIF('800-898'!$1:$1,BW$3,'800-898'!4:4)</f>
        <v>0</v>
      </c>
      <c r="BX93" s="128">
        <f>SUMIF('800-898'!$1:$1,BX$3,'800-898'!4:4)</f>
        <v>0</v>
      </c>
      <c r="BY93" s="128">
        <f>SUMIF('800-898'!$1:$1,BY$3,'800-898'!4:4)</f>
        <v>27336.239999999998</v>
      </c>
      <c r="BZ93" s="128">
        <f>SUMIF('800-898'!$1:$1,BZ$3,'800-898'!4:4)</f>
        <v>0</v>
      </c>
      <c r="CA93" s="314">
        <f>SUMIF('800-898'!$1:$1,CA$3,'800-898'!4:4)</f>
        <v>0</v>
      </c>
      <c r="CB93" s="128">
        <f>SUMIF('800-898'!$1:$1,CB$3,'800-898'!4:4)</f>
        <v>0</v>
      </c>
      <c r="CC93" s="128">
        <f>SUMIF('800-898'!$1:$1,CC$3,'800-898'!4:4)</f>
        <v>0</v>
      </c>
      <c r="CD93" s="128">
        <f>SUMIF('800-898'!$1:$1,CD$3,'800-898'!4:4)</f>
        <v>0</v>
      </c>
      <c r="CE93" s="128">
        <f>SUMIF('800-898'!$1:$1,CE$3,'800-898'!4:4)</f>
        <v>0</v>
      </c>
      <c r="CF93" s="128">
        <f>SUMIF('800-898'!$1:$1,CF$3,'800-898'!4:4)</f>
        <v>0</v>
      </c>
      <c r="CG93" s="302">
        <f t="shared" si="34"/>
        <v>-187652.55000000016</v>
      </c>
      <c r="CJ93" s="122"/>
      <c r="CK93" s="169">
        <f>INDEX(SAP!C:C,MATCH('Actuals mapped to CFR'!A93,SAP!H:H,FALSE),1)</f>
        <v>-187652.55</v>
      </c>
      <c r="CL93" s="59">
        <f t="shared" si="33"/>
        <v>0</v>
      </c>
      <c r="CN93" s="81">
        <f t="shared" si="35"/>
        <v>1834862.64</v>
      </c>
      <c r="CO93" s="81">
        <f t="shared" si="36"/>
        <v>1837956.4</v>
      </c>
      <c r="CP93" s="166">
        <f>VLOOKUP(B93,'2526 GBP Data input'!$A$4:$CA$230,38,FALSE)</f>
        <v>1733237</v>
      </c>
      <c r="CQ93" s="166">
        <f>VLOOKUP(B93,'2526 GBP Data input'!$A$4:$CA$230,73,FALSE)</f>
        <v>21999</v>
      </c>
      <c r="CR93" s="89">
        <f t="shared" si="25"/>
        <v>101625.6399999999</v>
      </c>
      <c r="CS93" s="83">
        <f t="shared" si="26"/>
        <v>83.547270330469559</v>
      </c>
      <c r="CT93" s="82">
        <f t="shared" si="37"/>
        <v>208120.04000000004</v>
      </c>
      <c r="CU93" s="82">
        <f t="shared" si="38"/>
        <v>-20467.489999999998</v>
      </c>
      <c r="CV93" s="86">
        <f t="shared" si="27"/>
        <v>187652.55000000005</v>
      </c>
    </row>
    <row r="94" spans="1:100">
      <c r="A94" s="238">
        <v>107805</v>
      </c>
      <c r="B94" s="60">
        <v>805</v>
      </c>
      <c r="C94" s="60" t="s">
        <v>282</v>
      </c>
      <c r="D94" s="128">
        <f>SUMIF('800-898'!$1:$1,D$3,'800-898'!5:5)</f>
        <v>-44544.37</v>
      </c>
      <c r="E94" s="128">
        <f>SUMIF('800-898'!$1:$1,E$3,'800-898'!5:5)</f>
        <v>0</v>
      </c>
      <c r="F94" s="128">
        <f>SUMIF('800-898'!$1:$1,F$3,'800-898'!5:5)</f>
        <v>0</v>
      </c>
      <c r="G94" s="128">
        <f>SUMIF('800-898'!$1:$1,G$3,'800-898'!5:5)</f>
        <v>-11060.74</v>
      </c>
      <c r="H94" s="128">
        <f>SUMIF('800-898'!$1:$1,H$3,'800-898'!5:5)</f>
        <v>0</v>
      </c>
      <c r="I94" s="128">
        <f>SUMIF('800-898'!$1:$1,I$3,'800-898'!5:5)</f>
        <v>-11264.75</v>
      </c>
      <c r="J94" s="128">
        <f>SUMIF('800-898'!$1:$1,J$3,'800-898'!5:5)</f>
        <v>-45903.66</v>
      </c>
      <c r="K94" s="128">
        <f>SUMIF('800-898'!$1:$1,K$3,'800-898'!5:5)</f>
        <v>-647724.41</v>
      </c>
      <c r="L94" s="128">
        <f>SUMIF('800-898'!$1:$1,L$3,'800-898'!5:5)</f>
        <v>0</v>
      </c>
      <c r="M94" s="128">
        <f>SUMIF('800-898'!$1:$1,M$3,'800-898'!5:5)</f>
        <v>-125766</v>
      </c>
      <c r="N94" s="128">
        <f>SUMIF('800-898'!$1:$1,N$3,'800-898'!5:5)</f>
        <v>0</v>
      </c>
      <c r="O94" s="128">
        <f>SUMIF('800-898'!$1:$1,O$3,'800-898'!5:5)</f>
        <v>-44250</v>
      </c>
      <c r="P94" s="128">
        <f>SUMIF('800-898'!$1:$1,P$3,'800-898'!5:5)</f>
        <v>-64152.639999999999</v>
      </c>
      <c r="Q94" s="128">
        <f>SUMIF('800-898'!$1:$1,Q$3,'800-898'!5:5)</f>
        <v>0</v>
      </c>
      <c r="R94" s="128">
        <f>SUMIF('800-898'!$1:$1,R$3,'800-898'!5:5)</f>
        <v>0</v>
      </c>
      <c r="S94" s="128">
        <f>SUMIF('800-898'!$1:$1,S$3,'800-898'!5:5)</f>
        <v>-23934.92</v>
      </c>
      <c r="T94" s="128">
        <f>SUMIF('800-898'!$1:$1,T$3,'800-898'!5:5)</f>
        <v>0</v>
      </c>
      <c r="U94" s="128">
        <f>SUMIF('800-898'!$1:$1,U$3,'800-898'!5:5)</f>
        <v>-1107</v>
      </c>
      <c r="V94" s="128">
        <f>SUMIF('800-898'!$1:$1,V$3,'800-898'!5:5)</f>
        <v>-2973</v>
      </c>
      <c r="W94" s="128">
        <f>SUMIF('800-898'!$1:$1,W$3,'800-898'!5:5)</f>
        <v>-8495.3100000000013</v>
      </c>
      <c r="X94" s="128">
        <f>SUMIF('800-898'!$1:$1,X$3,'800-898'!5:5)</f>
        <v>-3928.7800000000011</v>
      </c>
      <c r="Y94" s="164">
        <f>SUMIF('800-898'!$1:$1,Y$3,'800-898'!5:5)</f>
        <v>0</v>
      </c>
      <c r="Z94" s="128">
        <f>SUMIF('800-898'!$1:$1,Z$3,'800-898'!5:5)</f>
        <v>0</v>
      </c>
      <c r="AA94" s="128">
        <f>SUMIF('800-898'!$1:$1,AA$3,'800-898'!5:5)</f>
        <v>-82284.110000000015</v>
      </c>
      <c r="AB94" s="128">
        <f>SUMIF('800-898'!$1:$1,AB$3,'800-898'!5:5)</f>
        <v>-9365.6400000000012</v>
      </c>
      <c r="AC94" s="314">
        <f>SUMIF('800-898'!$1:$1,AC$3,'800-898'!5:5)</f>
        <v>0</v>
      </c>
      <c r="AD94" s="314">
        <f>SUMIF('800-898'!$1:$1,AD$3,'800-898'!5:5)</f>
        <v>0</v>
      </c>
      <c r="AE94" s="314">
        <f>SUMIF('800-898'!$1:$1,AE$3,'800-898'!5:5)</f>
        <v>0</v>
      </c>
      <c r="AF94" s="314">
        <f>SUMIF('800-898'!$1:$1,AF$3,'800-898'!5:5)</f>
        <v>0</v>
      </c>
      <c r="AG94" s="128">
        <f>SUMIF('800-898'!$1:$1,AG$3,'800-898'!5:5)</f>
        <v>399109.83</v>
      </c>
      <c r="AH94" s="128">
        <f>SUMIF('800-898'!$1:$1,AH$3,'800-898'!5:5)</f>
        <v>185.3</v>
      </c>
      <c r="AI94" s="128">
        <f>SUMIF('800-898'!$1:$1,AI$3,'800-898'!5:5)</f>
        <v>204731.03999999998</v>
      </c>
      <c r="AJ94" s="128">
        <f>SUMIF('800-898'!$1:$1,AJ$3,'800-898'!5:5)</f>
        <v>1819.6699999999996</v>
      </c>
      <c r="AK94" s="128">
        <f>SUMIF('800-898'!$1:$1,AK$3,'800-898'!5:5)</f>
        <v>59987.5</v>
      </c>
      <c r="AL94" s="128">
        <f>SUMIF('800-898'!$1:$1,AL$3,'800-898'!5:5)</f>
        <v>0</v>
      </c>
      <c r="AM94" s="128">
        <f>SUMIF('800-898'!$1:$1,AM$3,'800-898'!5:5)</f>
        <v>30392.09</v>
      </c>
      <c r="AN94" s="128">
        <f>SUMIF('800-898'!$1:$1,AN$3,'800-898'!5:5)</f>
        <v>2823</v>
      </c>
      <c r="AO94" s="128">
        <f>SUMIF('800-898'!$1:$1,AO$3,'800-898'!5:5)</f>
        <v>6302.8799999999992</v>
      </c>
      <c r="AP94" s="128">
        <f>SUMIF('800-898'!$1:$1,AP$3,'800-898'!5:5)</f>
        <v>5179.1099999999997</v>
      </c>
      <c r="AQ94" s="128">
        <f>SUMIF('800-898'!$1:$1,AQ$3,'800-898'!5:5)</f>
        <v>1619.61</v>
      </c>
      <c r="AR94" s="128">
        <f>SUMIF('800-898'!$1:$1,AR$3,'800-898'!5:5)</f>
        <v>16424.880000000005</v>
      </c>
      <c r="AS94" s="128">
        <f>SUMIF('800-898'!$1:$1,AS$3,'800-898'!5:5)</f>
        <v>1789.83</v>
      </c>
      <c r="AT94" s="128">
        <f>SUMIF('800-898'!$1:$1,AT$3,'800-898'!5:5)</f>
        <v>19515.950000000004</v>
      </c>
      <c r="AU94" s="128">
        <f>SUMIF('800-898'!$1:$1,AU$3,'800-898'!5:5)</f>
        <v>1968.6900000000005</v>
      </c>
      <c r="AV94" s="128">
        <f>SUMIF('800-898'!$1:$1,AV$3,'800-898'!5:5)</f>
        <v>11454.55</v>
      </c>
      <c r="AW94" s="128">
        <f>SUMIF('800-898'!$1:$1,AW$3,'800-898'!5:5)</f>
        <v>12475</v>
      </c>
      <c r="AX94" s="128">
        <f>SUMIF('800-898'!$1:$1,AX$3,'800-898'!5:5)</f>
        <v>2318.31</v>
      </c>
      <c r="AY94" s="128">
        <f>SUMIF('800-898'!$1:$1,AY$3,'800-898'!5:5)</f>
        <v>40644.200000000004</v>
      </c>
      <c r="AZ94" s="314">
        <f>SUMIF('800-898'!$1:$1,AZ$3,'800-898'!5:5)</f>
        <v>350</v>
      </c>
      <c r="BA94" s="128">
        <f>SUMIF('800-898'!$1:$1,BA$3,'800-898'!5:5)</f>
        <v>2547.09</v>
      </c>
      <c r="BB94" s="128">
        <f>SUMIF('800-898'!$1:$1,BB$3,'800-898'!5:5)</f>
        <v>0</v>
      </c>
      <c r="BC94" s="128">
        <f>SUMIF('800-898'!$1:$1,BC$3,'800-898'!5:5)</f>
        <v>1325.5</v>
      </c>
      <c r="BD94" s="128">
        <f>SUMIF('800-898'!$1:$1,BD$3,'800-898'!5:5)</f>
        <v>0</v>
      </c>
      <c r="BE94" s="128">
        <f>SUMIF('800-898'!$1:$1,BE$3,'800-898'!5:5)</f>
        <v>0</v>
      </c>
      <c r="BF94" s="128">
        <f>SUMIF('800-898'!$1:$1,BF$3,'800-898'!5:5)</f>
        <v>0</v>
      </c>
      <c r="BG94" s="128">
        <f>SUMIF('800-898'!$1:$1,BG$3,'800-898'!5:5)</f>
        <v>2782.5</v>
      </c>
      <c r="BH94" s="128">
        <f>SUMIF('800-898'!$1:$1,BH$3,'800-898'!5:5)</f>
        <v>0</v>
      </c>
      <c r="BI94" s="128">
        <f>SUMIF('800-898'!$1:$1,BI$3,'800-898'!5:5)</f>
        <v>2319.4700000000003</v>
      </c>
      <c r="BJ94" s="128">
        <f>SUMIF('800-898'!$1:$1,BJ$3,'800-898'!5:5)</f>
        <v>5667.9</v>
      </c>
      <c r="BK94" s="128">
        <f>SUMIF('800-898'!$1:$1,BK$3,'800-898'!5:5)</f>
        <v>0</v>
      </c>
      <c r="BL94" s="128">
        <f>SUMIF('800-898'!$1:$1,BL$3,'800-898'!5:5)</f>
        <v>34486.29</v>
      </c>
      <c r="BM94" s="128">
        <f>SUMIF('800-898'!$1:$1,BM$3,'800-898'!5:5)</f>
        <v>10509</v>
      </c>
      <c r="BN94" s="128">
        <f>SUMIF('800-898'!$1:$1,BN$3,'800-898'!5:5)</f>
        <v>47450.630000000005</v>
      </c>
      <c r="BO94" s="128">
        <f>SUMIF('800-898'!$1:$1,BO$3,'800-898'!5:5)</f>
        <v>9556.16</v>
      </c>
      <c r="BP94" s="128">
        <f>SUMIF('800-898'!$1:$1,BP$3,'800-898'!5:5)</f>
        <v>0</v>
      </c>
      <c r="BQ94" s="128">
        <f>SUMIF('800-898'!$1:$1,BQ$3,'800-898'!5:5)</f>
        <v>0</v>
      </c>
      <c r="BR94" s="128">
        <f>SUMIF('800-898'!$1:$1,BR$3,'800-898'!5:5)</f>
        <v>0</v>
      </c>
      <c r="BS94" s="128">
        <f>SUMIF('800-898'!$1:$1,BS$3,'800-898'!5:5)</f>
        <v>59532.659999999989</v>
      </c>
      <c r="BT94" s="128">
        <f>SUMIF('800-898'!$1:$1,BT$3,'800-898'!5:5)</f>
        <v>8952.93</v>
      </c>
      <c r="BU94" s="128">
        <f>SUMIF('800-898'!$1:$1,BU$3,'800-898'!5:5)</f>
        <v>-5170</v>
      </c>
      <c r="BV94" s="128">
        <f>SUMIF('800-898'!$1:$1,BV$3,'800-898'!5:5)</f>
        <v>0</v>
      </c>
      <c r="BW94" s="128">
        <f>SUMIF('800-898'!$1:$1,BW$3,'800-898'!5:5)</f>
        <v>0</v>
      </c>
      <c r="BX94" s="128">
        <f>SUMIF('800-898'!$1:$1,BX$3,'800-898'!5:5)</f>
        <v>0</v>
      </c>
      <c r="BY94" s="128">
        <f>SUMIF('800-898'!$1:$1,BY$3,'800-898'!5:5)</f>
        <v>4613.5600000000004</v>
      </c>
      <c r="BZ94" s="128">
        <f>SUMIF('800-898'!$1:$1,BZ$3,'800-898'!5:5)</f>
        <v>0</v>
      </c>
      <c r="CA94" s="314">
        <f>SUMIF('800-898'!$1:$1,CA$3,'800-898'!5:5)</f>
        <v>0</v>
      </c>
      <c r="CB94" s="128">
        <f>SUMIF('800-898'!$1:$1,CB$3,'800-898'!5:5)</f>
        <v>156.36000000000001</v>
      </c>
      <c r="CC94" s="128">
        <f>SUMIF('800-898'!$1:$1,CC$3,'800-898'!5:5)</f>
        <v>0</v>
      </c>
      <c r="CD94" s="128">
        <f>SUMIF('800-898'!$1:$1,CD$3,'800-898'!5:5)</f>
        <v>0</v>
      </c>
      <c r="CE94" s="128">
        <f>SUMIF('800-898'!$1:$1,CE$3,'800-898'!5:5)</f>
        <v>530</v>
      </c>
      <c r="CF94" s="128">
        <f>SUMIF('800-898'!$1:$1,CF$3,'800-898'!5:5)</f>
        <v>0</v>
      </c>
      <c r="CG94" s="302">
        <f t="shared" si="34"/>
        <v>-122403.83999999995</v>
      </c>
      <c r="CJ94" s="122"/>
      <c r="CK94" s="169">
        <f>INDEX(SAP!C:C,MATCH('Actuals mapped to CFR'!A94,SAP!H:H,FALSE),1)</f>
        <v>-122403.84</v>
      </c>
      <c r="CL94" s="59">
        <f t="shared" si="33"/>
        <v>0</v>
      </c>
      <c r="CN94" s="81">
        <f t="shared" si="35"/>
        <v>1013981.8100000002</v>
      </c>
      <c r="CO94" s="81">
        <f t="shared" si="36"/>
        <v>1004221.57</v>
      </c>
      <c r="CP94" s="166">
        <f>VLOOKUP(B94,'2526 GBP Data input'!$A$4:$CA$230,38,FALSE)</f>
        <v>889990</v>
      </c>
      <c r="CQ94" s="166">
        <f>VLOOKUP(B94,'2526 GBP Data input'!$A$4:$CA$230,73,FALSE)</f>
        <v>10293</v>
      </c>
      <c r="CR94" s="89">
        <f t="shared" ref="CR94:CR135" si="39">CN94-CP94</f>
        <v>123991.81000000017</v>
      </c>
      <c r="CS94" s="83">
        <f t="shared" ref="CS94:CS135" si="40">CO94/CQ94</f>
        <v>97.563545127756726</v>
      </c>
      <c r="CT94" s="82">
        <f t="shared" si="37"/>
        <v>54304.610000000219</v>
      </c>
      <c r="CU94" s="82">
        <f t="shared" si="38"/>
        <v>22881.929999999997</v>
      </c>
      <c r="CV94" s="86">
        <f t="shared" si="27"/>
        <v>77186.540000000212</v>
      </c>
    </row>
    <row r="95" spans="1:100">
      <c r="A95" s="238">
        <v>107808</v>
      </c>
      <c r="B95" s="60">
        <v>808</v>
      </c>
      <c r="C95" s="60" t="s">
        <v>268</v>
      </c>
      <c r="D95" s="128">
        <f>SUMIF('800-898'!$1:$1,D$3,'800-898'!6:6)</f>
        <v>-106327.89</v>
      </c>
      <c r="E95" s="128">
        <f>SUMIF('800-898'!$1:$1,E$3,'800-898'!6:6)</f>
        <v>-4887.6899999999996</v>
      </c>
      <c r="F95" s="128">
        <f>SUMIF('800-898'!$1:$1,F$3,'800-898'!6:6)</f>
        <v>0</v>
      </c>
      <c r="G95" s="128">
        <f>SUMIF('800-898'!$1:$1,G$3,'800-898'!6:6)</f>
        <v>0</v>
      </c>
      <c r="H95" s="128">
        <f>SUMIF('800-898'!$1:$1,H$3,'800-898'!6:6)</f>
        <v>0</v>
      </c>
      <c r="I95" s="128">
        <f>SUMIF('800-898'!$1:$1,I$3,'800-898'!6:6)</f>
        <v>0</v>
      </c>
      <c r="J95" s="128">
        <f>SUMIF('800-898'!$1:$1,J$3,'800-898'!6:6)</f>
        <v>0</v>
      </c>
      <c r="K95" s="128">
        <f>SUMIF('800-898'!$1:$1,K$3,'800-898'!6:6)</f>
        <v>-643928.72</v>
      </c>
      <c r="L95" s="128">
        <f>SUMIF('800-898'!$1:$1,L$3,'800-898'!6:6)</f>
        <v>0</v>
      </c>
      <c r="M95" s="128">
        <f>SUMIF('800-898'!$1:$1,M$3,'800-898'!6:6)</f>
        <v>-25104</v>
      </c>
      <c r="N95" s="128">
        <f>SUMIF('800-898'!$1:$1,N$3,'800-898'!6:6)</f>
        <v>0</v>
      </c>
      <c r="O95" s="128">
        <f>SUMIF('800-898'!$1:$1,O$3,'800-898'!6:6)</f>
        <v>-12820</v>
      </c>
      <c r="P95" s="128">
        <f>SUMIF('800-898'!$1:$1,P$3,'800-898'!6:6)</f>
        <v>-34323</v>
      </c>
      <c r="Q95" s="128">
        <f>SUMIF('800-898'!$1:$1,Q$3,'800-898'!6:6)</f>
        <v>0</v>
      </c>
      <c r="R95" s="128">
        <f>SUMIF('800-898'!$1:$1,R$3,'800-898'!6:6)</f>
        <v>0</v>
      </c>
      <c r="S95" s="128">
        <f>SUMIF('800-898'!$1:$1,S$3,'800-898'!6:6)</f>
        <v>-105867.09</v>
      </c>
      <c r="T95" s="128">
        <f>SUMIF('800-898'!$1:$1,T$3,'800-898'!6:6)</f>
        <v>0</v>
      </c>
      <c r="U95" s="128">
        <f>SUMIF('800-898'!$1:$1,U$3,'800-898'!6:6)</f>
        <v>-4200</v>
      </c>
      <c r="V95" s="128">
        <f>SUMIF('800-898'!$1:$1,V$3,'800-898'!6:6)</f>
        <v>0</v>
      </c>
      <c r="W95" s="128">
        <f>SUMIF('800-898'!$1:$1,W$3,'800-898'!6:6)</f>
        <v>-22715.689999999977</v>
      </c>
      <c r="X95" s="128">
        <f>SUMIF('800-898'!$1:$1,X$3,'800-898'!6:6)</f>
        <v>-1206.4200000000003</v>
      </c>
      <c r="Y95" s="164">
        <f>SUMIF('800-898'!$1:$1,Y$3,'800-898'!6:6)</f>
        <v>0</v>
      </c>
      <c r="Z95" s="128">
        <f>SUMIF('800-898'!$1:$1,Z$3,'800-898'!6:6)</f>
        <v>0</v>
      </c>
      <c r="AA95" s="128">
        <f>SUMIF('800-898'!$1:$1,AA$3,'800-898'!6:6)</f>
        <v>0</v>
      </c>
      <c r="AB95" s="128">
        <f>SUMIF('800-898'!$1:$1,AB$3,'800-898'!6:6)</f>
        <v>0</v>
      </c>
      <c r="AC95" s="314">
        <f>SUMIF('800-898'!$1:$1,AC$3,'800-898'!6:6)</f>
        <v>0</v>
      </c>
      <c r="AD95" s="314">
        <f>SUMIF('800-898'!$1:$1,AD$3,'800-898'!6:6)</f>
        <v>0</v>
      </c>
      <c r="AE95" s="314">
        <f>SUMIF('800-898'!$1:$1,AE$3,'800-898'!6:6)</f>
        <v>0</v>
      </c>
      <c r="AF95" s="314">
        <f>SUMIF('800-898'!$1:$1,AF$3,'800-898'!6:6)</f>
        <v>0</v>
      </c>
      <c r="AG95" s="128">
        <f>SUMIF('800-898'!$1:$1,AG$3,'800-898'!6:6)</f>
        <v>409777.18</v>
      </c>
      <c r="AH95" s="128">
        <f>SUMIF('800-898'!$1:$1,AH$3,'800-898'!6:6)</f>
        <v>8586.84</v>
      </c>
      <c r="AI95" s="128">
        <f>SUMIF('800-898'!$1:$1,AI$3,'800-898'!6:6)</f>
        <v>126919.26999999999</v>
      </c>
      <c r="AJ95" s="128">
        <f>SUMIF('800-898'!$1:$1,AJ$3,'800-898'!6:6)</f>
        <v>18781.640000000003</v>
      </c>
      <c r="AK95" s="128">
        <f>SUMIF('800-898'!$1:$1,AK$3,'800-898'!6:6)</f>
        <v>34216.209999999992</v>
      </c>
      <c r="AL95" s="128">
        <f>SUMIF('800-898'!$1:$1,AL$3,'800-898'!6:6)</f>
        <v>0</v>
      </c>
      <c r="AM95" s="128">
        <f>SUMIF('800-898'!$1:$1,AM$3,'800-898'!6:6)</f>
        <v>18645.97</v>
      </c>
      <c r="AN95" s="128">
        <f>SUMIF('800-898'!$1:$1,AN$3,'800-898'!6:6)</f>
        <v>2289.4</v>
      </c>
      <c r="AO95" s="128">
        <f>SUMIF('800-898'!$1:$1,AO$3,'800-898'!6:6)</f>
        <v>2372.25</v>
      </c>
      <c r="AP95" s="128">
        <f>SUMIF('800-898'!$1:$1,AP$3,'800-898'!6:6)</f>
        <v>6233.74</v>
      </c>
      <c r="AQ95" s="128">
        <f>SUMIF('800-898'!$1:$1,AQ$3,'800-898'!6:6)</f>
        <v>0</v>
      </c>
      <c r="AR95" s="128">
        <f>SUMIF('800-898'!$1:$1,AR$3,'800-898'!6:6)</f>
        <v>35404.629999999997</v>
      </c>
      <c r="AS95" s="128">
        <f>SUMIF('800-898'!$1:$1,AS$3,'800-898'!6:6)</f>
        <v>9958.5999999999985</v>
      </c>
      <c r="AT95" s="128">
        <f>SUMIF('800-898'!$1:$1,AT$3,'800-898'!6:6)</f>
        <v>1279.25</v>
      </c>
      <c r="AU95" s="128">
        <f>SUMIF('800-898'!$1:$1,AU$3,'800-898'!6:6)</f>
        <v>2537.12</v>
      </c>
      <c r="AV95" s="128">
        <f>SUMIF('800-898'!$1:$1,AV$3,'800-898'!6:6)</f>
        <v>11613.279999999999</v>
      </c>
      <c r="AW95" s="128">
        <f>SUMIF('800-898'!$1:$1,AW$3,'800-898'!6:6)</f>
        <v>5738.5</v>
      </c>
      <c r="AX95" s="128">
        <f>SUMIF('800-898'!$1:$1,AX$3,'800-898'!6:6)</f>
        <v>7552.9000000000005</v>
      </c>
      <c r="AY95" s="128">
        <f>SUMIF('800-898'!$1:$1,AY$3,'800-898'!6:6)</f>
        <v>40664.67</v>
      </c>
      <c r="AZ95" s="314">
        <f>SUMIF('800-898'!$1:$1,AZ$3,'800-898'!6:6)</f>
        <v>0</v>
      </c>
      <c r="BA95" s="128">
        <f>SUMIF('800-898'!$1:$1,BA$3,'800-898'!6:6)</f>
        <v>1084.6500000000001</v>
      </c>
      <c r="BB95" s="128">
        <f>SUMIF('800-898'!$1:$1,BB$3,'800-898'!6:6)</f>
        <v>0</v>
      </c>
      <c r="BC95" s="128">
        <f>SUMIF('800-898'!$1:$1,BC$3,'800-898'!6:6)</f>
        <v>1711.05</v>
      </c>
      <c r="BD95" s="128">
        <f>SUMIF('800-898'!$1:$1,BD$3,'800-898'!6:6)</f>
        <v>3619.32</v>
      </c>
      <c r="BE95" s="128">
        <f>SUMIF('800-898'!$1:$1,BE$3,'800-898'!6:6)</f>
        <v>11788.7</v>
      </c>
      <c r="BF95" s="128">
        <f>SUMIF('800-898'!$1:$1,BF$3,'800-898'!6:6)</f>
        <v>0</v>
      </c>
      <c r="BG95" s="128">
        <f>SUMIF('800-898'!$1:$1,BG$3,'800-898'!6:6)</f>
        <v>3579</v>
      </c>
      <c r="BH95" s="128">
        <f>SUMIF('800-898'!$1:$1,BH$3,'800-898'!6:6)</f>
        <v>0</v>
      </c>
      <c r="BI95" s="128">
        <f>SUMIF('800-898'!$1:$1,BI$3,'800-898'!6:6)</f>
        <v>5235.1400000000003</v>
      </c>
      <c r="BJ95" s="128">
        <f>SUMIF('800-898'!$1:$1,BJ$3,'800-898'!6:6)</f>
        <v>5344.02</v>
      </c>
      <c r="BK95" s="128">
        <f>SUMIF('800-898'!$1:$1,BK$3,'800-898'!6:6)</f>
        <v>0</v>
      </c>
      <c r="BL95" s="128">
        <f>SUMIF('800-898'!$1:$1,BL$3,'800-898'!6:6)</f>
        <v>25609.18</v>
      </c>
      <c r="BM95" s="128">
        <f>SUMIF('800-898'!$1:$1,BM$3,'800-898'!6:6)</f>
        <v>185</v>
      </c>
      <c r="BN95" s="128">
        <f>SUMIF('800-898'!$1:$1,BN$3,'800-898'!6:6)</f>
        <v>19913.45</v>
      </c>
      <c r="BO95" s="128">
        <f>SUMIF('800-898'!$1:$1,BO$3,'800-898'!6:6)</f>
        <v>25927.64</v>
      </c>
      <c r="BP95" s="128">
        <f>SUMIF('800-898'!$1:$1,BP$3,'800-898'!6:6)</f>
        <v>0</v>
      </c>
      <c r="BQ95" s="128">
        <f>SUMIF('800-898'!$1:$1,BQ$3,'800-898'!6:6)</f>
        <v>0</v>
      </c>
      <c r="BR95" s="128">
        <f>SUMIF('800-898'!$1:$1,BR$3,'800-898'!6:6)</f>
        <v>0</v>
      </c>
      <c r="BS95" s="128">
        <f>SUMIF('800-898'!$1:$1,BS$3,'800-898'!6:6)</f>
        <v>0</v>
      </c>
      <c r="BT95" s="128">
        <f>SUMIF('800-898'!$1:$1,BT$3,'800-898'!6:6)</f>
        <v>0</v>
      </c>
      <c r="BU95" s="128">
        <f>SUMIF('800-898'!$1:$1,BU$3,'800-898'!6:6)</f>
        <v>-5035</v>
      </c>
      <c r="BV95" s="128">
        <f>SUMIF('800-898'!$1:$1,BV$3,'800-898'!6:6)</f>
        <v>0</v>
      </c>
      <c r="BW95" s="128">
        <f>SUMIF('800-898'!$1:$1,BW$3,'800-898'!6:6)</f>
        <v>0</v>
      </c>
      <c r="BX95" s="128">
        <f>SUMIF('800-898'!$1:$1,BX$3,'800-898'!6:6)</f>
        <v>0</v>
      </c>
      <c r="BY95" s="128">
        <f>SUMIF('800-898'!$1:$1,BY$3,'800-898'!6:6)</f>
        <v>27572.870000000003</v>
      </c>
      <c r="BZ95" s="128">
        <f>SUMIF('800-898'!$1:$1,BZ$3,'800-898'!6:6)</f>
        <v>0</v>
      </c>
      <c r="CA95" s="314">
        <f>SUMIF('800-898'!$1:$1,CA$3,'800-898'!6:6)</f>
        <v>0</v>
      </c>
      <c r="CB95" s="128">
        <f>SUMIF('800-898'!$1:$1,CB$3,'800-898'!6:6)</f>
        <v>0</v>
      </c>
      <c r="CC95" s="128">
        <f>SUMIF('800-898'!$1:$1,CC$3,'800-898'!6:6)</f>
        <v>0</v>
      </c>
      <c r="CD95" s="128">
        <f>SUMIF('800-898'!$1:$1,CD$3,'800-898'!6:6)</f>
        <v>0</v>
      </c>
      <c r="CE95" s="128">
        <f>SUMIF('800-898'!$1:$1,CE$3,'800-898'!6:6)</f>
        <v>0</v>
      </c>
      <c r="CF95" s="128">
        <f>SUMIF('800-898'!$1:$1,CF$3,'800-898'!6:6)</f>
        <v>0</v>
      </c>
      <c r="CG95" s="302">
        <f t="shared" si="34"/>
        <v>-92274.029999999853</v>
      </c>
      <c r="CJ95" s="122"/>
      <c r="CK95" s="169">
        <f>INDEX(SAP!C:C,MATCH('Actuals mapped to CFR'!A95,SAP!H:H,FALSE),1)</f>
        <v>-92274.03</v>
      </c>
      <c r="CL95" s="59">
        <f t="shared" si="33"/>
        <v>0</v>
      </c>
      <c r="CN95" s="81">
        <f t="shared" si="35"/>
        <v>850164.91999999993</v>
      </c>
      <c r="CO95" s="81">
        <f t="shared" si="36"/>
        <v>846568.60000000009</v>
      </c>
      <c r="CP95" s="166">
        <f>VLOOKUP(B95,'2526 GBP Data input'!$A$4:$CA$230,38,FALSE)</f>
        <v>765732</v>
      </c>
      <c r="CQ95" s="166">
        <f>VLOOKUP(B95,'2526 GBP Data input'!$A$4:$CA$230,73,FALSE)</f>
        <v>36806</v>
      </c>
      <c r="CR95" s="89">
        <f t="shared" si="39"/>
        <v>84432.919999999925</v>
      </c>
      <c r="CS95" s="83">
        <f t="shared" si="40"/>
        <v>23.000831386187038</v>
      </c>
      <c r="CT95" s="82">
        <f t="shared" si="37"/>
        <v>109924.20999999985</v>
      </c>
      <c r="CU95" s="82">
        <f t="shared" si="38"/>
        <v>-22537.870000000003</v>
      </c>
      <c r="CV95" s="86">
        <f t="shared" si="27"/>
        <v>87386.339999999851</v>
      </c>
    </row>
    <row r="96" spans="1:100">
      <c r="A96" s="238">
        <v>107811</v>
      </c>
      <c r="B96" s="60">
        <v>811</v>
      </c>
      <c r="C96" s="60" t="s">
        <v>235</v>
      </c>
      <c r="D96" s="128">
        <f>SUMIF('800-898'!$1:$1,D$3,'800-898'!7:7)</f>
        <v>-5340.4</v>
      </c>
      <c r="E96" s="128">
        <f>SUMIF('800-898'!$1:$1,E$3,'800-898'!7:7)</f>
        <v>-456.65</v>
      </c>
      <c r="F96" s="128">
        <f>SUMIF('800-898'!$1:$1,F$3,'800-898'!7:7)</f>
        <v>0</v>
      </c>
      <c r="G96" s="128">
        <f>SUMIF('800-898'!$1:$1,G$3,'800-898'!7:7)</f>
        <v>-9378.2199999999993</v>
      </c>
      <c r="H96" s="128">
        <f>SUMIF('800-898'!$1:$1,H$3,'800-898'!7:7)</f>
        <v>0</v>
      </c>
      <c r="I96" s="128">
        <f>SUMIF('800-898'!$1:$1,I$3,'800-898'!7:7)</f>
        <v>0</v>
      </c>
      <c r="J96" s="128">
        <f>SUMIF('800-898'!$1:$1,J$3,'800-898'!7:7)</f>
        <v>-22237.09</v>
      </c>
      <c r="K96" s="128">
        <f>SUMIF('800-898'!$1:$1,K$3,'800-898'!7:7)</f>
        <v>-1463231.63</v>
      </c>
      <c r="L96" s="128">
        <f>SUMIF('800-898'!$1:$1,L$3,'800-898'!7:7)</f>
        <v>0</v>
      </c>
      <c r="M96" s="128">
        <f>SUMIF('800-898'!$1:$1,M$3,'800-898'!7:7)</f>
        <v>-80681</v>
      </c>
      <c r="N96" s="128">
        <f>SUMIF('800-898'!$1:$1,N$3,'800-898'!7:7)</f>
        <v>0</v>
      </c>
      <c r="O96" s="128">
        <f>SUMIF('800-898'!$1:$1,O$3,'800-898'!7:7)</f>
        <v>-90335</v>
      </c>
      <c r="P96" s="128">
        <f>SUMIF('800-898'!$1:$1,P$3,'800-898'!7:7)</f>
        <v>-55343.93</v>
      </c>
      <c r="Q96" s="128">
        <f>SUMIF('800-898'!$1:$1,Q$3,'800-898'!7:7)</f>
        <v>0</v>
      </c>
      <c r="R96" s="128">
        <f>SUMIF('800-898'!$1:$1,R$3,'800-898'!7:7)</f>
        <v>0</v>
      </c>
      <c r="S96" s="128">
        <f>SUMIF('800-898'!$1:$1,S$3,'800-898'!7:7)</f>
        <v>-50092.39</v>
      </c>
      <c r="T96" s="128">
        <f>SUMIF('800-898'!$1:$1,T$3,'800-898'!7:7)</f>
        <v>-25000</v>
      </c>
      <c r="U96" s="128">
        <f>SUMIF('800-898'!$1:$1,U$3,'800-898'!7:7)</f>
        <v>0</v>
      </c>
      <c r="V96" s="128">
        <f>SUMIF('800-898'!$1:$1,V$3,'800-898'!7:7)</f>
        <v>0</v>
      </c>
      <c r="W96" s="128">
        <f>SUMIF('800-898'!$1:$1,W$3,'800-898'!7:7)</f>
        <v>-22599.040000000001</v>
      </c>
      <c r="X96" s="128">
        <f>SUMIF('800-898'!$1:$1,X$3,'800-898'!7:7)</f>
        <v>-6797.57</v>
      </c>
      <c r="Y96" s="164">
        <f>SUMIF('800-898'!$1:$1,Y$3,'800-898'!7:7)</f>
        <v>0</v>
      </c>
      <c r="Z96" s="128">
        <f>SUMIF('800-898'!$1:$1,Z$3,'800-898'!7:7)</f>
        <v>0</v>
      </c>
      <c r="AA96" s="128">
        <f>SUMIF('800-898'!$1:$1,AA$3,'800-898'!7:7)</f>
        <v>-148724.26999999999</v>
      </c>
      <c r="AB96" s="128">
        <f>SUMIF('800-898'!$1:$1,AB$3,'800-898'!7:7)</f>
        <v>-6123.35</v>
      </c>
      <c r="AC96" s="314">
        <f>SUMIF('800-898'!$1:$1,AC$3,'800-898'!7:7)</f>
        <v>0</v>
      </c>
      <c r="AD96" s="314">
        <f>SUMIF('800-898'!$1:$1,AD$3,'800-898'!7:7)</f>
        <v>0</v>
      </c>
      <c r="AE96" s="314">
        <f>SUMIF('800-898'!$1:$1,AE$3,'800-898'!7:7)</f>
        <v>0</v>
      </c>
      <c r="AF96" s="314">
        <f>SUMIF('800-898'!$1:$1,AF$3,'800-898'!7:7)</f>
        <v>0</v>
      </c>
      <c r="AG96" s="128">
        <f>SUMIF('800-898'!$1:$1,AG$3,'800-898'!7:7)</f>
        <v>999906.85999999987</v>
      </c>
      <c r="AH96" s="128">
        <f>SUMIF('800-898'!$1:$1,AH$3,'800-898'!7:7)</f>
        <v>2917.46</v>
      </c>
      <c r="AI96" s="128">
        <f>SUMIF('800-898'!$1:$1,AI$3,'800-898'!7:7)</f>
        <v>322649.59000000003</v>
      </c>
      <c r="AJ96" s="128">
        <f>SUMIF('800-898'!$1:$1,AJ$3,'800-898'!7:7)</f>
        <v>89039.430000000008</v>
      </c>
      <c r="AK96" s="128">
        <f>SUMIF('800-898'!$1:$1,AK$3,'800-898'!7:7)</f>
        <v>100221.44999999998</v>
      </c>
      <c r="AL96" s="128">
        <f>SUMIF('800-898'!$1:$1,AL$3,'800-898'!7:7)</f>
        <v>52514.189999999995</v>
      </c>
      <c r="AM96" s="128">
        <f>SUMIF('800-898'!$1:$1,AM$3,'800-898'!7:7)</f>
        <v>55106.07</v>
      </c>
      <c r="AN96" s="128">
        <f>SUMIF('800-898'!$1:$1,AN$3,'800-898'!7:7)</f>
        <v>6443.36</v>
      </c>
      <c r="AO96" s="128">
        <f>SUMIF('800-898'!$1:$1,AO$3,'800-898'!7:7)</f>
        <v>3517.25</v>
      </c>
      <c r="AP96" s="128">
        <f>SUMIF('800-898'!$1:$1,AP$3,'800-898'!7:7)</f>
        <v>753.35</v>
      </c>
      <c r="AQ96" s="128">
        <f>SUMIF('800-898'!$1:$1,AQ$3,'800-898'!7:7)</f>
        <v>0</v>
      </c>
      <c r="AR96" s="128">
        <f>SUMIF('800-898'!$1:$1,AR$3,'800-898'!7:7)</f>
        <v>8205.8299999999981</v>
      </c>
      <c r="AS96" s="128">
        <f>SUMIF('800-898'!$1:$1,AS$3,'800-898'!7:7)</f>
        <v>1941.7</v>
      </c>
      <c r="AT96" s="128">
        <f>SUMIF('800-898'!$1:$1,AT$3,'800-898'!7:7)</f>
        <v>5432.53</v>
      </c>
      <c r="AU96" s="128">
        <f>SUMIF('800-898'!$1:$1,AU$3,'800-898'!7:7)</f>
        <v>3832.8599999999997</v>
      </c>
      <c r="AV96" s="128">
        <f>SUMIF('800-898'!$1:$1,AV$3,'800-898'!7:7)</f>
        <v>27809.720000000008</v>
      </c>
      <c r="AW96" s="128">
        <f>SUMIF('800-898'!$1:$1,AW$3,'800-898'!7:7)</f>
        <v>56030.25</v>
      </c>
      <c r="AX96" s="128">
        <f>SUMIF('800-898'!$1:$1,AX$3,'800-898'!7:7)</f>
        <v>6380.65</v>
      </c>
      <c r="AY96" s="128">
        <f>SUMIF('800-898'!$1:$1,AY$3,'800-898'!7:7)</f>
        <v>81462.469999999972</v>
      </c>
      <c r="AZ96" s="314">
        <f>SUMIF('800-898'!$1:$1,AZ$3,'800-898'!7:7)</f>
        <v>0</v>
      </c>
      <c r="BA96" s="128">
        <f>SUMIF('800-898'!$1:$1,BA$3,'800-898'!7:7)</f>
        <v>6425.69</v>
      </c>
      <c r="BB96" s="128">
        <f>SUMIF('800-898'!$1:$1,BB$3,'800-898'!7:7)</f>
        <v>0</v>
      </c>
      <c r="BC96" s="128">
        <f>SUMIF('800-898'!$1:$1,BC$3,'800-898'!7:7)</f>
        <v>0</v>
      </c>
      <c r="BD96" s="128">
        <f>SUMIF('800-898'!$1:$1,BD$3,'800-898'!7:7)</f>
        <v>0</v>
      </c>
      <c r="BE96" s="128">
        <f>SUMIF('800-898'!$1:$1,BE$3,'800-898'!7:7)</f>
        <v>0</v>
      </c>
      <c r="BF96" s="128">
        <f>SUMIF('800-898'!$1:$1,BF$3,'800-898'!7:7)</f>
        <v>1770.3600000000001</v>
      </c>
      <c r="BG96" s="128">
        <f>SUMIF('800-898'!$1:$1,BG$3,'800-898'!7:7)</f>
        <v>5916.5</v>
      </c>
      <c r="BH96" s="128">
        <f>SUMIF('800-898'!$1:$1,BH$3,'800-898'!7:7)</f>
        <v>0</v>
      </c>
      <c r="BI96" s="128">
        <f>SUMIF('800-898'!$1:$1,BI$3,'800-898'!7:7)</f>
        <v>4028.3</v>
      </c>
      <c r="BJ96" s="128">
        <f>SUMIF('800-898'!$1:$1,BJ$3,'800-898'!7:7)</f>
        <v>13333.06</v>
      </c>
      <c r="BK96" s="128">
        <f>SUMIF('800-898'!$1:$1,BK$3,'800-898'!7:7)</f>
        <v>0</v>
      </c>
      <c r="BL96" s="128">
        <f>SUMIF('800-898'!$1:$1,BL$3,'800-898'!7:7)</f>
        <v>44258.57999999998</v>
      </c>
      <c r="BM96" s="128">
        <f>SUMIF('800-898'!$1:$1,BM$3,'800-898'!7:7)</f>
        <v>6683.46</v>
      </c>
      <c r="BN96" s="128">
        <f>SUMIF('800-898'!$1:$1,BN$3,'800-898'!7:7)</f>
        <v>7308.5</v>
      </c>
      <c r="BO96" s="128">
        <f>SUMIF('800-898'!$1:$1,BO$3,'800-898'!7:7)</f>
        <v>31360.420000000002</v>
      </c>
      <c r="BP96" s="128">
        <f>SUMIF('800-898'!$1:$1,BP$3,'800-898'!7:7)</f>
        <v>0</v>
      </c>
      <c r="BQ96" s="128">
        <f>SUMIF('800-898'!$1:$1,BQ$3,'800-898'!7:7)</f>
        <v>0</v>
      </c>
      <c r="BR96" s="128">
        <f>SUMIF('800-898'!$1:$1,BR$3,'800-898'!7:7)</f>
        <v>0</v>
      </c>
      <c r="BS96" s="128">
        <f>SUMIF('800-898'!$1:$1,BS$3,'800-898'!7:7)</f>
        <v>122770.09</v>
      </c>
      <c r="BT96" s="128">
        <f>SUMIF('800-898'!$1:$1,BT$3,'800-898'!7:7)</f>
        <v>24567.250000000011</v>
      </c>
      <c r="BU96" s="128">
        <f>SUMIF('800-898'!$1:$1,BU$3,'800-898'!7:7)</f>
        <v>-7060</v>
      </c>
      <c r="BV96" s="128">
        <f>SUMIF('800-898'!$1:$1,BV$3,'800-898'!7:7)</f>
        <v>0</v>
      </c>
      <c r="BW96" s="128">
        <f>SUMIF('800-898'!$1:$1,BW$3,'800-898'!7:7)</f>
        <v>0</v>
      </c>
      <c r="BX96" s="128">
        <f>SUMIF('800-898'!$1:$1,BX$3,'800-898'!7:7)</f>
        <v>0</v>
      </c>
      <c r="BY96" s="128">
        <f>SUMIF('800-898'!$1:$1,BY$3,'800-898'!7:7)</f>
        <v>3992.4399999999987</v>
      </c>
      <c r="BZ96" s="128">
        <f>SUMIF('800-898'!$1:$1,BZ$3,'800-898'!7:7)</f>
        <v>0</v>
      </c>
      <c r="CA96" s="314">
        <f>SUMIF('800-898'!$1:$1,CA$3,'800-898'!7:7)</f>
        <v>0</v>
      </c>
      <c r="CB96" s="128">
        <f>SUMIF('800-898'!$1:$1,CB$3,'800-898'!7:7)</f>
        <v>0</v>
      </c>
      <c r="CC96" s="128">
        <f>SUMIF('800-898'!$1:$1,CC$3,'800-898'!7:7)</f>
        <v>0</v>
      </c>
      <c r="CD96" s="128">
        <f>SUMIF('800-898'!$1:$1,CD$3,'800-898'!7:7)</f>
        <v>0</v>
      </c>
      <c r="CE96" s="128">
        <f>SUMIF('800-898'!$1:$1,CE$3,'800-898'!7:7)</f>
        <v>0</v>
      </c>
      <c r="CF96" s="128">
        <f>SUMIF('800-898'!$1:$1,CF$3,'800-898'!7:7)</f>
        <v>0</v>
      </c>
      <c r="CG96" s="302">
        <f t="shared" si="34"/>
        <v>103179.12999999987</v>
      </c>
      <c r="CJ96" s="122"/>
      <c r="CK96" s="169">
        <f>INDEX(SAP!C:C,MATCH('Actuals mapped to CFR'!A96,SAP!H:H,FALSE),1)</f>
        <v>103179.13</v>
      </c>
      <c r="CL96" s="59">
        <f t="shared" si="33"/>
        <v>0</v>
      </c>
      <c r="CN96" s="81">
        <f t="shared" si="35"/>
        <v>1948928.18</v>
      </c>
      <c r="CO96" s="81">
        <f t="shared" si="36"/>
        <v>2092587.2300000002</v>
      </c>
      <c r="CP96" s="166">
        <f>VLOOKUP(B96,'2526 GBP Data input'!$A$4:$CA$230,38,FALSE)</f>
        <v>1908178</v>
      </c>
      <c r="CQ96" s="166">
        <f>VLOOKUP(B96,'2526 GBP Data input'!$A$4:$CA$230,73,FALSE)</f>
        <v>16973</v>
      </c>
      <c r="CR96" s="89">
        <f t="shared" si="39"/>
        <v>40750.179999999935</v>
      </c>
      <c r="CS96" s="83">
        <f t="shared" si="40"/>
        <v>123.28917869557534</v>
      </c>
      <c r="CT96" s="82">
        <f t="shared" si="37"/>
        <v>-138318.65000000037</v>
      </c>
      <c r="CU96" s="82">
        <f t="shared" si="38"/>
        <v>12445.780000000002</v>
      </c>
      <c r="CV96" s="86">
        <f t="shared" si="27"/>
        <v>-125872.87000000037</v>
      </c>
    </row>
    <row r="97" spans="1:100">
      <c r="A97" s="238">
        <v>107812</v>
      </c>
      <c r="B97" s="60">
        <v>812</v>
      </c>
      <c r="C97" s="60" t="s">
        <v>208</v>
      </c>
      <c r="D97" s="128">
        <f>SUMIF('800-898'!$1:$1,D$3,'800-898'!8:8)</f>
        <v>-68424.02</v>
      </c>
      <c r="E97" s="128">
        <f>SUMIF('800-898'!$1:$1,E$3,'800-898'!8:8)</f>
        <v>-7247.91</v>
      </c>
      <c r="F97" s="128">
        <f>SUMIF('800-898'!$1:$1,F$3,'800-898'!8:8)</f>
        <v>0</v>
      </c>
      <c r="G97" s="128">
        <f>SUMIF('800-898'!$1:$1,G$3,'800-898'!8:8)</f>
        <v>-10786</v>
      </c>
      <c r="H97" s="128">
        <f>SUMIF('800-898'!$1:$1,H$3,'800-898'!8:8)</f>
        <v>0</v>
      </c>
      <c r="I97" s="128">
        <f>SUMIF('800-898'!$1:$1,I$3,'800-898'!8:8)</f>
        <v>0</v>
      </c>
      <c r="J97" s="128">
        <f>SUMIF('800-898'!$1:$1,J$3,'800-898'!8:8)</f>
        <v>-25008.45</v>
      </c>
      <c r="K97" s="128">
        <f>SUMIF('800-898'!$1:$1,K$3,'800-898'!8:8)</f>
        <v>-1615623.33</v>
      </c>
      <c r="L97" s="128">
        <f>SUMIF('800-898'!$1:$1,L$3,'800-898'!8:8)</f>
        <v>0</v>
      </c>
      <c r="M97" s="128">
        <f>SUMIF('800-898'!$1:$1,M$3,'800-898'!8:8)</f>
        <v>-161784</v>
      </c>
      <c r="N97" s="128">
        <f>SUMIF('800-898'!$1:$1,N$3,'800-898'!8:8)</f>
        <v>0</v>
      </c>
      <c r="O97" s="128">
        <f>SUMIF('800-898'!$1:$1,O$3,'800-898'!8:8)</f>
        <v>-90085</v>
      </c>
      <c r="P97" s="128">
        <f>SUMIF('800-898'!$1:$1,P$3,'800-898'!8:8)</f>
        <v>-73170</v>
      </c>
      <c r="Q97" s="128">
        <f>SUMIF('800-898'!$1:$1,Q$3,'800-898'!8:8)</f>
        <v>0</v>
      </c>
      <c r="R97" s="128">
        <f>SUMIF('800-898'!$1:$1,R$3,'800-898'!8:8)</f>
        <v>-9287.5</v>
      </c>
      <c r="S97" s="128">
        <f>SUMIF('800-898'!$1:$1,S$3,'800-898'!8:8)</f>
        <v>-89045.049999999988</v>
      </c>
      <c r="T97" s="128">
        <f>SUMIF('800-898'!$1:$1,T$3,'800-898'!8:8)</f>
        <v>1.1000000000000001</v>
      </c>
      <c r="U97" s="128">
        <f>SUMIF('800-898'!$1:$1,U$3,'800-898'!8:8)</f>
        <v>0</v>
      </c>
      <c r="V97" s="128">
        <f>SUMIF('800-898'!$1:$1,V$3,'800-898'!8:8)</f>
        <v>0</v>
      </c>
      <c r="W97" s="128">
        <f>SUMIF('800-898'!$1:$1,W$3,'800-898'!8:8)</f>
        <v>-34484.849999999991</v>
      </c>
      <c r="X97" s="128">
        <f>SUMIF('800-898'!$1:$1,X$3,'800-898'!8:8)</f>
        <v>-11825.06</v>
      </c>
      <c r="Y97" s="164">
        <f>SUMIF('800-898'!$1:$1,Y$3,'800-898'!8:8)</f>
        <v>0</v>
      </c>
      <c r="Z97" s="128">
        <f>SUMIF('800-898'!$1:$1,Z$3,'800-898'!8:8)</f>
        <v>0</v>
      </c>
      <c r="AA97" s="128">
        <f>SUMIF('800-898'!$1:$1,AA$3,'800-898'!8:8)</f>
        <v>-258094.31999999998</v>
      </c>
      <c r="AB97" s="128">
        <f>SUMIF('800-898'!$1:$1,AB$3,'800-898'!8:8)</f>
        <v>-16043.659999999993</v>
      </c>
      <c r="AC97" s="314">
        <f>SUMIF('800-898'!$1:$1,AC$3,'800-898'!8:8)</f>
        <v>0</v>
      </c>
      <c r="AD97" s="314">
        <f>SUMIF('800-898'!$1:$1,AD$3,'800-898'!8:8)</f>
        <v>0</v>
      </c>
      <c r="AE97" s="314">
        <f>SUMIF('800-898'!$1:$1,AE$3,'800-898'!8:8)</f>
        <v>0</v>
      </c>
      <c r="AF97" s="314">
        <f>SUMIF('800-898'!$1:$1,AF$3,'800-898'!8:8)</f>
        <v>0</v>
      </c>
      <c r="AG97" s="128">
        <f>SUMIF('800-898'!$1:$1,AG$3,'800-898'!8:8)</f>
        <v>1012415.5800000001</v>
      </c>
      <c r="AH97" s="128">
        <f>SUMIF('800-898'!$1:$1,AH$3,'800-898'!8:8)</f>
        <v>15978.099999999999</v>
      </c>
      <c r="AI97" s="128">
        <f>SUMIF('800-898'!$1:$1,AI$3,'800-898'!8:8)</f>
        <v>466864.76999999996</v>
      </c>
      <c r="AJ97" s="128">
        <f>SUMIF('800-898'!$1:$1,AJ$3,'800-898'!8:8)</f>
        <v>29586.080000000005</v>
      </c>
      <c r="AK97" s="128">
        <f>SUMIF('800-898'!$1:$1,AK$3,'800-898'!8:8)</f>
        <v>80510.050000000017</v>
      </c>
      <c r="AL97" s="128">
        <f>SUMIF('800-898'!$1:$1,AL$3,'800-898'!8:8)</f>
        <v>0</v>
      </c>
      <c r="AM97" s="128">
        <f>SUMIF('800-898'!$1:$1,AM$3,'800-898'!8:8)</f>
        <v>98964.030000000013</v>
      </c>
      <c r="AN97" s="128">
        <f>SUMIF('800-898'!$1:$1,AN$3,'800-898'!8:8)</f>
        <v>8026.53</v>
      </c>
      <c r="AO97" s="128">
        <f>SUMIF('800-898'!$1:$1,AO$3,'800-898'!8:8)</f>
        <v>2566.5</v>
      </c>
      <c r="AP97" s="128">
        <f>SUMIF('800-898'!$1:$1,AP$3,'800-898'!8:8)</f>
        <v>915</v>
      </c>
      <c r="AQ97" s="128">
        <f>SUMIF('800-898'!$1:$1,AQ$3,'800-898'!8:8)</f>
        <v>0</v>
      </c>
      <c r="AR97" s="128">
        <f>SUMIF('800-898'!$1:$1,AR$3,'800-898'!8:8)</f>
        <v>16960.209999999995</v>
      </c>
      <c r="AS97" s="128">
        <f>SUMIF('800-898'!$1:$1,AS$3,'800-898'!8:8)</f>
        <v>3849.4100000000003</v>
      </c>
      <c r="AT97" s="128">
        <f>SUMIF('800-898'!$1:$1,AT$3,'800-898'!8:8)</f>
        <v>11709.519999999997</v>
      </c>
      <c r="AU97" s="128">
        <f>SUMIF('800-898'!$1:$1,AU$3,'800-898'!8:8)</f>
        <v>3595.0599999999995</v>
      </c>
      <c r="AV97" s="128">
        <f>SUMIF('800-898'!$1:$1,AV$3,'800-898'!8:8)</f>
        <v>27337.250000000004</v>
      </c>
      <c r="AW97" s="128">
        <f>SUMIF('800-898'!$1:$1,AW$3,'800-898'!8:8)</f>
        <v>51487.05</v>
      </c>
      <c r="AX97" s="128">
        <f>SUMIF('800-898'!$1:$1,AX$3,'800-898'!8:8)</f>
        <v>6460.6499999999987</v>
      </c>
      <c r="AY97" s="128">
        <f>SUMIF('800-898'!$1:$1,AY$3,'800-898'!8:8)</f>
        <v>57721.26</v>
      </c>
      <c r="AZ97" s="314">
        <f>SUMIF('800-898'!$1:$1,AZ$3,'800-898'!8:8)</f>
        <v>0</v>
      </c>
      <c r="BA97" s="128">
        <f>SUMIF('800-898'!$1:$1,BA$3,'800-898'!8:8)</f>
        <v>1707.75</v>
      </c>
      <c r="BB97" s="128">
        <f>SUMIF('800-898'!$1:$1,BB$3,'800-898'!8:8)</f>
        <v>0</v>
      </c>
      <c r="BC97" s="128">
        <f>SUMIF('800-898'!$1:$1,BC$3,'800-898'!8:8)</f>
        <v>3203.26</v>
      </c>
      <c r="BD97" s="128">
        <f>SUMIF('800-898'!$1:$1,BD$3,'800-898'!8:8)</f>
        <v>16268.249999999996</v>
      </c>
      <c r="BE97" s="128">
        <f>SUMIF('800-898'!$1:$1,BE$3,'800-898'!8:8)</f>
        <v>6108.82</v>
      </c>
      <c r="BF97" s="128">
        <f>SUMIF('800-898'!$1:$1,BF$3,'800-898'!8:8)</f>
        <v>7548.32</v>
      </c>
      <c r="BG97" s="128">
        <f>SUMIF('800-898'!$1:$1,BG$3,'800-898'!8:8)</f>
        <v>8848.6</v>
      </c>
      <c r="BH97" s="128">
        <f>SUMIF('800-898'!$1:$1,BH$3,'800-898'!8:8)</f>
        <v>0</v>
      </c>
      <c r="BI97" s="128">
        <f>SUMIF('800-898'!$1:$1,BI$3,'800-898'!8:8)</f>
        <v>3627.7100000000005</v>
      </c>
      <c r="BJ97" s="128">
        <f>SUMIF('800-898'!$1:$1,BJ$3,'800-898'!8:8)</f>
        <v>7331.4500000000007</v>
      </c>
      <c r="BK97" s="128">
        <f>SUMIF('800-898'!$1:$1,BK$3,'800-898'!8:8)</f>
        <v>0</v>
      </c>
      <c r="BL97" s="128">
        <f>SUMIF('800-898'!$1:$1,BL$3,'800-898'!8:8)</f>
        <v>84604</v>
      </c>
      <c r="BM97" s="128">
        <f>SUMIF('800-898'!$1:$1,BM$3,'800-898'!8:8)</f>
        <v>4855</v>
      </c>
      <c r="BN97" s="128">
        <f>SUMIF('800-898'!$1:$1,BN$3,'800-898'!8:8)</f>
        <v>25095.480000000003</v>
      </c>
      <c r="BO97" s="128">
        <f>SUMIF('800-898'!$1:$1,BO$3,'800-898'!8:8)</f>
        <v>15823.190000000002</v>
      </c>
      <c r="BP97" s="128">
        <f>SUMIF('800-898'!$1:$1,BP$3,'800-898'!8:8)</f>
        <v>0</v>
      </c>
      <c r="BQ97" s="128">
        <f>SUMIF('800-898'!$1:$1,BQ$3,'800-898'!8:8)</f>
        <v>0</v>
      </c>
      <c r="BR97" s="128">
        <f>SUMIF('800-898'!$1:$1,BR$3,'800-898'!8:8)</f>
        <v>5000</v>
      </c>
      <c r="BS97" s="128">
        <f>SUMIF('800-898'!$1:$1,BS$3,'800-898'!8:8)</f>
        <v>256356.59</v>
      </c>
      <c r="BT97" s="128">
        <f>SUMIF('800-898'!$1:$1,BT$3,'800-898'!8:8)</f>
        <v>27209.689999999995</v>
      </c>
      <c r="BU97" s="128">
        <f>SUMIF('800-898'!$1:$1,BU$3,'800-898'!8:8)</f>
        <v>-7195</v>
      </c>
      <c r="BV97" s="128">
        <f>SUMIF('800-898'!$1:$1,BV$3,'800-898'!8:8)</f>
        <v>0</v>
      </c>
      <c r="BW97" s="128">
        <f>SUMIF('800-898'!$1:$1,BW$3,'800-898'!8:8)</f>
        <v>-5000</v>
      </c>
      <c r="BX97" s="128">
        <f>SUMIF('800-898'!$1:$1,BX$3,'800-898'!8:8)</f>
        <v>0</v>
      </c>
      <c r="BY97" s="128">
        <f>SUMIF('800-898'!$1:$1,BY$3,'800-898'!8:8)</f>
        <v>6533.55</v>
      </c>
      <c r="BZ97" s="128">
        <f>SUMIF('800-898'!$1:$1,BZ$3,'800-898'!8:8)</f>
        <v>0</v>
      </c>
      <c r="CA97" s="314">
        <f>SUMIF('800-898'!$1:$1,CA$3,'800-898'!8:8)</f>
        <v>0</v>
      </c>
      <c r="CB97" s="128">
        <f>SUMIF('800-898'!$1:$1,CB$3,'800-898'!8:8)</f>
        <v>0</v>
      </c>
      <c r="CC97" s="128">
        <f>SUMIF('800-898'!$1:$1,CC$3,'800-898'!8:8)</f>
        <v>0</v>
      </c>
      <c r="CD97" s="128">
        <f>SUMIF('800-898'!$1:$1,CD$3,'800-898'!8:8)</f>
        <v>0</v>
      </c>
      <c r="CE97" s="128">
        <f>SUMIF('800-898'!$1:$1,CE$3,'800-898'!8:8)</f>
        <v>0</v>
      </c>
      <c r="CF97" s="128">
        <f>SUMIF('800-898'!$1:$1,CF$3,'800-898'!8:8)</f>
        <v>0</v>
      </c>
      <c r="CG97" s="302">
        <f t="shared" si="34"/>
        <v>-108034.33999999957</v>
      </c>
      <c r="CJ97" s="122"/>
      <c r="CK97" s="169">
        <f>INDEX(SAP!C:C,MATCH('Actuals mapped to CFR'!A97,SAP!H:H,FALSE),1)</f>
        <v>-108034.34</v>
      </c>
      <c r="CL97" s="59">
        <f t="shared" si="33"/>
        <v>0</v>
      </c>
      <c r="CN97" s="81">
        <f t="shared" si="35"/>
        <v>2359441.6700000004</v>
      </c>
      <c r="CO97" s="81">
        <f t="shared" si="36"/>
        <v>2368535.16</v>
      </c>
      <c r="CP97" s="166">
        <f>VLOOKUP(B97,'2526 GBP Data input'!$A$4:$CA$230,38,FALSE)</f>
        <v>2332023</v>
      </c>
      <c r="CQ97" s="166">
        <f>VLOOKUP(B97,'2526 GBP Data input'!$A$4:$CA$230,73,FALSE)</f>
        <v>19280</v>
      </c>
      <c r="CR97" s="89">
        <f t="shared" si="39"/>
        <v>27418.670000000391</v>
      </c>
      <c r="CS97" s="83">
        <f t="shared" si="40"/>
        <v>122.84933402489628</v>
      </c>
      <c r="CT97" s="82">
        <f t="shared" si="37"/>
        <v>59330.530000000261</v>
      </c>
      <c r="CU97" s="82">
        <f t="shared" si="38"/>
        <v>16447.45</v>
      </c>
      <c r="CV97" s="86">
        <f t="shared" si="27"/>
        <v>75777.980000000258</v>
      </c>
    </row>
    <row r="98" spans="1:100">
      <c r="A98" s="238">
        <v>107816</v>
      </c>
      <c r="B98" s="60">
        <v>816</v>
      </c>
      <c r="C98" s="60" t="s">
        <v>189</v>
      </c>
      <c r="D98" s="128">
        <f>SUMIF('800-898'!$1:$1,D$3,'800-898'!9:9)</f>
        <v>0</v>
      </c>
      <c r="E98" s="128">
        <f>SUMIF('800-898'!$1:$1,E$3,'800-898'!9:9)</f>
        <v>-11525.89</v>
      </c>
      <c r="F98" s="128">
        <f>SUMIF('800-898'!$1:$1,F$3,'800-898'!9:9)</f>
        <v>24141.74</v>
      </c>
      <c r="G98" s="128">
        <f>SUMIF('800-898'!$1:$1,G$3,'800-898'!9:9)</f>
        <v>-2455.15</v>
      </c>
      <c r="H98" s="128">
        <f>SUMIF('800-898'!$1:$1,H$3,'800-898'!9:9)</f>
        <v>0</v>
      </c>
      <c r="I98" s="128">
        <f>SUMIF('800-898'!$1:$1,I$3,'800-898'!9:9)</f>
        <v>0</v>
      </c>
      <c r="J98" s="128">
        <f>SUMIF('800-898'!$1:$1,J$3,'800-898'!9:9)</f>
        <v>0</v>
      </c>
      <c r="K98" s="128">
        <f>SUMIF('800-898'!$1:$1,K$3,'800-898'!9:9)</f>
        <v>-1144067.32</v>
      </c>
      <c r="L98" s="128">
        <f>SUMIF('800-898'!$1:$1,L$3,'800-898'!9:9)</f>
        <v>0</v>
      </c>
      <c r="M98" s="128">
        <f>SUMIF('800-898'!$1:$1,M$3,'800-898'!9:9)</f>
        <v>-102673</v>
      </c>
      <c r="N98" s="128">
        <f>SUMIF('800-898'!$1:$1,N$3,'800-898'!9:9)</f>
        <v>0</v>
      </c>
      <c r="O98" s="128">
        <f>SUMIF('800-898'!$1:$1,O$3,'800-898'!9:9)</f>
        <v>-38331.99</v>
      </c>
      <c r="P98" s="128">
        <f>SUMIF('800-898'!$1:$1,P$3,'800-898'!9:9)</f>
        <v>-43762</v>
      </c>
      <c r="Q98" s="128">
        <f>SUMIF('800-898'!$1:$1,Q$3,'800-898'!9:9)</f>
        <v>-1680</v>
      </c>
      <c r="R98" s="128">
        <f>SUMIF('800-898'!$1:$1,R$3,'800-898'!9:9)</f>
        <v>-2885.2200000000007</v>
      </c>
      <c r="S98" s="128">
        <f>SUMIF('800-898'!$1:$1,S$3,'800-898'!9:9)</f>
        <v>7364.58</v>
      </c>
      <c r="T98" s="128">
        <f>SUMIF('800-898'!$1:$1,T$3,'800-898'!9:9)</f>
        <v>330.98</v>
      </c>
      <c r="U98" s="128">
        <f>SUMIF('800-898'!$1:$1,U$3,'800-898'!9:9)</f>
        <v>0</v>
      </c>
      <c r="V98" s="128">
        <f>SUMIF('800-898'!$1:$1,V$3,'800-898'!9:9)</f>
        <v>-666</v>
      </c>
      <c r="W98" s="128">
        <f>SUMIF('800-898'!$1:$1,W$3,'800-898'!9:9)</f>
        <v>-23439.319999999971</v>
      </c>
      <c r="X98" s="128">
        <f>SUMIF('800-898'!$1:$1,X$3,'800-898'!9:9)</f>
        <v>-12785.4</v>
      </c>
      <c r="Y98" s="164">
        <f>SUMIF('800-898'!$1:$1,Y$3,'800-898'!9:9)</f>
        <v>0</v>
      </c>
      <c r="Z98" s="128">
        <f>SUMIF('800-898'!$1:$1,Z$3,'800-898'!9:9)</f>
        <v>0</v>
      </c>
      <c r="AA98" s="128">
        <f>SUMIF('800-898'!$1:$1,AA$3,'800-898'!9:9)</f>
        <v>0</v>
      </c>
      <c r="AB98" s="128">
        <f>SUMIF('800-898'!$1:$1,AB$3,'800-898'!9:9)</f>
        <v>0</v>
      </c>
      <c r="AC98" s="314">
        <f>SUMIF('800-898'!$1:$1,AC$3,'800-898'!9:9)</f>
        <v>0</v>
      </c>
      <c r="AD98" s="314">
        <f>SUMIF('800-898'!$1:$1,AD$3,'800-898'!9:9)</f>
        <v>0</v>
      </c>
      <c r="AE98" s="314">
        <f>SUMIF('800-898'!$1:$1,AE$3,'800-898'!9:9)</f>
        <v>0</v>
      </c>
      <c r="AF98" s="314">
        <f>SUMIF('800-898'!$1:$1,AF$3,'800-898'!9:9)</f>
        <v>0</v>
      </c>
      <c r="AG98" s="128">
        <f>SUMIF('800-898'!$1:$1,AG$3,'800-898'!9:9)</f>
        <v>650784.28</v>
      </c>
      <c r="AH98" s="128">
        <f>SUMIF('800-898'!$1:$1,AH$3,'800-898'!9:9)</f>
        <v>11911.31</v>
      </c>
      <c r="AI98" s="128">
        <f>SUMIF('800-898'!$1:$1,AI$3,'800-898'!9:9)</f>
        <v>284381.48999999993</v>
      </c>
      <c r="AJ98" s="128">
        <f>SUMIF('800-898'!$1:$1,AJ$3,'800-898'!9:9)</f>
        <v>43448.639999999992</v>
      </c>
      <c r="AK98" s="128">
        <f>SUMIF('800-898'!$1:$1,AK$3,'800-898'!9:9)</f>
        <v>49534.03</v>
      </c>
      <c r="AL98" s="128">
        <f>SUMIF('800-898'!$1:$1,AL$3,'800-898'!9:9)</f>
        <v>0</v>
      </c>
      <c r="AM98" s="128">
        <f>SUMIF('800-898'!$1:$1,AM$3,'800-898'!9:9)</f>
        <v>37252.03</v>
      </c>
      <c r="AN98" s="128">
        <f>SUMIF('800-898'!$1:$1,AN$3,'800-898'!9:9)</f>
        <v>4761.78</v>
      </c>
      <c r="AO98" s="128">
        <f>SUMIF('800-898'!$1:$1,AO$3,'800-898'!9:9)</f>
        <v>4078</v>
      </c>
      <c r="AP98" s="128">
        <f>SUMIF('800-898'!$1:$1,AP$3,'800-898'!9:9)</f>
        <v>3300.45</v>
      </c>
      <c r="AQ98" s="128">
        <f>SUMIF('800-898'!$1:$1,AQ$3,'800-898'!9:9)</f>
        <v>666.13</v>
      </c>
      <c r="AR98" s="128">
        <f>SUMIF('800-898'!$1:$1,AR$3,'800-898'!9:9)</f>
        <v>18226.650000000001</v>
      </c>
      <c r="AS98" s="128">
        <f>SUMIF('800-898'!$1:$1,AS$3,'800-898'!9:9)</f>
        <v>3227.8000000000006</v>
      </c>
      <c r="AT98" s="128">
        <f>SUMIF('800-898'!$1:$1,AT$3,'800-898'!9:9)</f>
        <v>2296.3700000000003</v>
      </c>
      <c r="AU98" s="128">
        <f>SUMIF('800-898'!$1:$1,AU$3,'800-898'!9:9)</f>
        <v>1446.8399999999997</v>
      </c>
      <c r="AV98" s="128">
        <f>SUMIF('800-898'!$1:$1,AV$3,'800-898'!9:9)</f>
        <v>17417.78</v>
      </c>
      <c r="AW98" s="128">
        <f>SUMIF('800-898'!$1:$1,AW$3,'800-898'!9:9)</f>
        <v>38185</v>
      </c>
      <c r="AX98" s="128">
        <f>SUMIF('800-898'!$1:$1,AX$3,'800-898'!9:9)</f>
        <v>4395.6999999999989</v>
      </c>
      <c r="AY98" s="128">
        <f>SUMIF('800-898'!$1:$1,AY$3,'800-898'!9:9)</f>
        <v>50224.87999999999</v>
      </c>
      <c r="AZ98" s="314">
        <f>SUMIF('800-898'!$1:$1,AZ$3,'800-898'!9:9)</f>
        <v>0</v>
      </c>
      <c r="BA98" s="128">
        <f>SUMIF('800-898'!$1:$1,BA$3,'800-898'!9:9)</f>
        <v>2826.75</v>
      </c>
      <c r="BB98" s="128">
        <f>SUMIF('800-898'!$1:$1,BB$3,'800-898'!9:9)</f>
        <v>0</v>
      </c>
      <c r="BC98" s="128">
        <f>SUMIF('800-898'!$1:$1,BC$3,'800-898'!9:9)</f>
        <v>1462.55</v>
      </c>
      <c r="BD98" s="128">
        <f>SUMIF('800-898'!$1:$1,BD$3,'800-898'!9:9)</f>
        <v>4335.6799999999985</v>
      </c>
      <c r="BE98" s="128">
        <f>SUMIF('800-898'!$1:$1,BE$3,'800-898'!9:9)</f>
        <v>660</v>
      </c>
      <c r="BF98" s="128">
        <f>SUMIF('800-898'!$1:$1,BF$3,'800-898'!9:9)</f>
        <v>36.979999999999997</v>
      </c>
      <c r="BG98" s="128">
        <f>SUMIF('800-898'!$1:$1,BG$3,'800-898'!9:9)</f>
        <v>6633.03</v>
      </c>
      <c r="BH98" s="128">
        <f>SUMIF('800-898'!$1:$1,BH$3,'800-898'!9:9)</f>
        <v>0</v>
      </c>
      <c r="BI98" s="128">
        <f>SUMIF('800-898'!$1:$1,BI$3,'800-898'!9:9)</f>
        <v>3092.21</v>
      </c>
      <c r="BJ98" s="128">
        <f>SUMIF('800-898'!$1:$1,BJ$3,'800-898'!9:9)</f>
        <v>11281.82</v>
      </c>
      <c r="BK98" s="128">
        <f>SUMIF('800-898'!$1:$1,BK$3,'800-898'!9:9)</f>
        <v>0</v>
      </c>
      <c r="BL98" s="128">
        <f>SUMIF('800-898'!$1:$1,BL$3,'800-898'!9:9)</f>
        <v>40131.03</v>
      </c>
      <c r="BM98" s="128">
        <f>SUMIF('800-898'!$1:$1,BM$3,'800-898'!9:9)</f>
        <v>4889.5</v>
      </c>
      <c r="BN98" s="128">
        <f>SUMIF('800-898'!$1:$1,BN$3,'800-898'!9:9)</f>
        <v>38794.050000000003</v>
      </c>
      <c r="BO98" s="128">
        <f>SUMIF('800-898'!$1:$1,BO$3,'800-898'!9:9)</f>
        <v>31742.220000000005</v>
      </c>
      <c r="BP98" s="128">
        <f>SUMIF('800-898'!$1:$1,BP$3,'800-898'!9:9)</f>
        <v>0</v>
      </c>
      <c r="BQ98" s="128">
        <f>SUMIF('800-898'!$1:$1,BQ$3,'800-898'!9:9)</f>
        <v>0</v>
      </c>
      <c r="BR98" s="128">
        <f>SUMIF('800-898'!$1:$1,BR$3,'800-898'!9:9)</f>
        <v>0</v>
      </c>
      <c r="BS98" s="128">
        <f>SUMIF('800-898'!$1:$1,BS$3,'800-898'!9:9)</f>
        <v>0</v>
      </c>
      <c r="BT98" s="128">
        <f>SUMIF('800-898'!$1:$1,BT$3,'800-898'!9:9)</f>
        <v>0</v>
      </c>
      <c r="BU98" s="128">
        <f>SUMIF('800-898'!$1:$1,BU$3,'800-898'!9:9)</f>
        <v>-6373.75</v>
      </c>
      <c r="BV98" s="128">
        <f>SUMIF('800-898'!$1:$1,BV$3,'800-898'!9:9)</f>
        <v>0</v>
      </c>
      <c r="BW98" s="128">
        <f>SUMIF('800-898'!$1:$1,BW$3,'800-898'!9:9)</f>
        <v>0</v>
      </c>
      <c r="BX98" s="128">
        <f>SUMIF('800-898'!$1:$1,BX$3,'800-898'!9:9)</f>
        <v>0</v>
      </c>
      <c r="BY98" s="128">
        <f>SUMIF('800-898'!$1:$1,BY$3,'800-898'!9:9)</f>
        <v>0</v>
      </c>
      <c r="BZ98" s="128">
        <f>SUMIF('800-898'!$1:$1,BZ$3,'800-898'!9:9)</f>
        <v>0</v>
      </c>
      <c r="CA98" s="314">
        <f>SUMIF('800-898'!$1:$1,CA$3,'800-898'!9:9)</f>
        <v>0</v>
      </c>
      <c r="CB98" s="128">
        <f>SUMIF('800-898'!$1:$1,CB$3,'800-898'!9:9)</f>
        <v>0</v>
      </c>
      <c r="CC98" s="128">
        <f>SUMIF('800-898'!$1:$1,CC$3,'800-898'!9:9)</f>
        <v>0</v>
      </c>
      <c r="CD98" s="128">
        <f>SUMIF('800-898'!$1:$1,CD$3,'800-898'!9:9)</f>
        <v>0</v>
      </c>
      <c r="CE98" s="128">
        <f>SUMIF('800-898'!$1:$1,CE$3,'800-898'!9:9)</f>
        <v>8828</v>
      </c>
      <c r="CF98" s="128">
        <f>SUMIF('800-898'!$1:$1,CF$3,'800-898'!9:9)</f>
        <v>0</v>
      </c>
      <c r="CG98" s="302">
        <f t="shared" si="34"/>
        <v>21445.240000000067</v>
      </c>
      <c r="CJ98" s="122"/>
      <c r="CK98" s="169">
        <f>INDEX(SAP!C:C,MATCH('Actuals mapped to CFR'!A98,SAP!H:H,FALSE),1)</f>
        <v>21445.24</v>
      </c>
      <c r="CL98" s="59">
        <f t="shared" si="33"/>
        <v>0</v>
      </c>
      <c r="CN98" s="81">
        <f t="shared" si="35"/>
        <v>1362594.69</v>
      </c>
      <c r="CO98" s="81">
        <f t="shared" si="36"/>
        <v>1371424.98</v>
      </c>
      <c r="CP98" s="166">
        <f>VLOOKUP(B98,'2526 GBP Data input'!$A$4:$CA$230,38,FALSE)</f>
        <v>1266381</v>
      </c>
      <c r="CQ98" s="166">
        <f>VLOOKUP(B98,'2526 GBP Data input'!$A$4:$CA$230,73,FALSE)</f>
        <v>26714</v>
      </c>
      <c r="CR98" s="89">
        <f t="shared" si="39"/>
        <v>96213.689999999944</v>
      </c>
      <c r="CS98" s="83">
        <f t="shared" si="40"/>
        <v>51.337313019390578</v>
      </c>
      <c r="CT98" s="82">
        <f t="shared" si="37"/>
        <v>-32972.030000000028</v>
      </c>
      <c r="CU98" s="82">
        <f t="shared" si="38"/>
        <v>8828.9</v>
      </c>
      <c r="CV98" s="86">
        <f t="shared" si="27"/>
        <v>-24143.130000000026</v>
      </c>
    </row>
    <row r="99" spans="1:100">
      <c r="A99" s="238">
        <v>107817</v>
      </c>
      <c r="B99" s="60">
        <v>817</v>
      </c>
      <c r="C99" s="60" t="s">
        <v>409</v>
      </c>
      <c r="D99" s="128">
        <f>SUMIF('800-898'!$1:$1,D$3,'800-898'!10:10)</f>
        <v>-43118.11</v>
      </c>
      <c r="E99" s="128">
        <f>SUMIF('800-898'!$1:$1,E$3,'800-898'!10:10)</f>
        <v>-18535.86</v>
      </c>
      <c r="F99" s="128">
        <f>SUMIF('800-898'!$1:$1,F$3,'800-898'!10:10)</f>
        <v>0</v>
      </c>
      <c r="G99" s="128">
        <f>SUMIF('800-898'!$1:$1,G$3,'800-898'!10:10)</f>
        <v>-482.17</v>
      </c>
      <c r="H99" s="128">
        <f>SUMIF('800-898'!$1:$1,H$3,'800-898'!10:10)</f>
        <v>0</v>
      </c>
      <c r="I99" s="128">
        <f>SUMIF('800-898'!$1:$1,I$3,'800-898'!10:10)</f>
        <v>0</v>
      </c>
      <c r="J99" s="128">
        <f>SUMIF('800-898'!$1:$1,J$3,'800-898'!10:10)</f>
        <v>5452.65</v>
      </c>
      <c r="K99" s="128">
        <f>SUMIF('800-898'!$1:$1,K$3,'800-898'!10:10)</f>
        <v>-2263323.0699999998</v>
      </c>
      <c r="L99" s="128">
        <f>SUMIF('800-898'!$1:$1,L$3,'800-898'!10:10)</f>
        <v>0</v>
      </c>
      <c r="M99" s="128">
        <f>SUMIF('800-898'!$1:$1,M$3,'800-898'!10:10)</f>
        <v>-346400</v>
      </c>
      <c r="N99" s="128">
        <f>SUMIF('800-898'!$1:$1,N$3,'800-898'!10:10)</f>
        <v>0</v>
      </c>
      <c r="O99" s="128">
        <f>SUMIF('800-898'!$1:$1,O$3,'800-898'!10:10)</f>
        <v>-164936.78999999998</v>
      </c>
      <c r="P99" s="128">
        <f>SUMIF('800-898'!$1:$1,P$3,'800-898'!10:10)</f>
        <v>-93190.57</v>
      </c>
      <c r="Q99" s="128">
        <f>SUMIF('800-898'!$1:$1,Q$3,'800-898'!10:10)</f>
        <v>-2750</v>
      </c>
      <c r="R99" s="128">
        <f>SUMIF('800-898'!$1:$1,R$3,'800-898'!10:10)</f>
        <v>-3195.25</v>
      </c>
      <c r="S99" s="128">
        <f>SUMIF('800-898'!$1:$1,S$3,'800-898'!10:10)</f>
        <v>-49515.350000000006</v>
      </c>
      <c r="T99" s="128">
        <f>SUMIF('800-898'!$1:$1,T$3,'800-898'!10:10)</f>
        <v>147.56</v>
      </c>
      <c r="U99" s="128">
        <f>SUMIF('800-898'!$1:$1,U$3,'800-898'!10:10)</f>
        <v>0</v>
      </c>
      <c r="V99" s="128">
        <f>SUMIF('800-898'!$1:$1,V$3,'800-898'!10:10)</f>
        <v>0</v>
      </c>
      <c r="W99" s="128">
        <f>SUMIF('800-898'!$1:$1,W$3,'800-898'!10:10)</f>
        <v>-20475.459999999992</v>
      </c>
      <c r="X99" s="128">
        <f>SUMIF('800-898'!$1:$1,X$3,'800-898'!10:10)</f>
        <v>-2295</v>
      </c>
      <c r="Y99" s="164">
        <f>SUMIF('800-898'!$1:$1,Y$3,'800-898'!10:10)</f>
        <v>0</v>
      </c>
      <c r="Z99" s="128">
        <f>SUMIF('800-898'!$1:$1,Z$3,'800-898'!10:10)</f>
        <v>0</v>
      </c>
      <c r="AA99" s="128">
        <f>SUMIF('800-898'!$1:$1,AA$3,'800-898'!10:10)</f>
        <v>-242253.82000000004</v>
      </c>
      <c r="AB99" s="128">
        <f>SUMIF('800-898'!$1:$1,AB$3,'800-898'!10:10)</f>
        <v>-26972.26</v>
      </c>
      <c r="AC99" s="314">
        <f>SUMIF('800-898'!$1:$1,AC$3,'800-898'!10:10)</f>
        <v>0</v>
      </c>
      <c r="AD99" s="314">
        <f>SUMIF('800-898'!$1:$1,AD$3,'800-898'!10:10)</f>
        <v>0</v>
      </c>
      <c r="AE99" s="314">
        <f>SUMIF('800-898'!$1:$1,AE$3,'800-898'!10:10)</f>
        <v>0</v>
      </c>
      <c r="AF99" s="314">
        <f>SUMIF('800-898'!$1:$1,AF$3,'800-898'!10:10)</f>
        <v>0</v>
      </c>
      <c r="AG99" s="128">
        <f>SUMIF('800-898'!$1:$1,AG$3,'800-898'!10:10)</f>
        <v>1286384.19</v>
      </c>
      <c r="AH99" s="128">
        <f>SUMIF('800-898'!$1:$1,AH$3,'800-898'!10:10)</f>
        <v>5507.58</v>
      </c>
      <c r="AI99" s="128">
        <f>SUMIF('800-898'!$1:$1,AI$3,'800-898'!10:10)</f>
        <v>450136.05000000005</v>
      </c>
      <c r="AJ99" s="128">
        <f>SUMIF('800-898'!$1:$1,AJ$3,'800-898'!10:10)</f>
        <v>43846.2</v>
      </c>
      <c r="AK99" s="128">
        <f>SUMIF('800-898'!$1:$1,AK$3,'800-898'!10:10)</f>
        <v>133576.9</v>
      </c>
      <c r="AL99" s="128">
        <f>SUMIF('800-898'!$1:$1,AL$3,'800-898'!10:10)</f>
        <v>0</v>
      </c>
      <c r="AM99" s="128">
        <f>SUMIF('800-898'!$1:$1,AM$3,'800-898'!10:10)</f>
        <v>99305.069999999992</v>
      </c>
      <c r="AN99" s="128">
        <f>SUMIF('800-898'!$1:$1,AN$3,'800-898'!10:10)</f>
        <v>9485.08</v>
      </c>
      <c r="AO99" s="128">
        <f>SUMIF('800-898'!$1:$1,AO$3,'800-898'!10:10)</f>
        <v>10688.83</v>
      </c>
      <c r="AP99" s="128">
        <f>SUMIF('800-898'!$1:$1,AP$3,'800-898'!10:10)</f>
        <v>1262.7</v>
      </c>
      <c r="AQ99" s="128">
        <f>SUMIF('800-898'!$1:$1,AQ$3,'800-898'!10:10)</f>
        <v>0</v>
      </c>
      <c r="AR99" s="128">
        <f>SUMIF('800-898'!$1:$1,AR$3,'800-898'!10:10)</f>
        <v>31149.07</v>
      </c>
      <c r="AS99" s="128">
        <f>SUMIF('800-898'!$1:$1,AS$3,'800-898'!10:10)</f>
        <v>749.78000000000009</v>
      </c>
      <c r="AT99" s="128">
        <f>SUMIF('800-898'!$1:$1,AT$3,'800-898'!10:10)</f>
        <v>34031.840000000011</v>
      </c>
      <c r="AU99" s="128">
        <f>SUMIF('800-898'!$1:$1,AU$3,'800-898'!10:10)</f>
        <v>4634.03</v>
      </c>
      <c r="AV99" s="128">
        <f>SUMIF('800-898'!$1:$1,AV$3,'800-898'!10:10)</f>
        <v>44301.539999999994</v>
      </c>
      <c r="AW99" s="128">
        <f>SUMIF('800-898'!$1:$1,AW$3,'800-898'!10:10)</f>
        <v>80774.8</v>
      </c>
      <c r="AX99" s="128">
        <f>SUMIF('800-898'!$1:$1,AX$3,'800-898'!10:10)</f>
        <v>11255.43</v>
      </c>
      <c r="AY99" s="128">
        <f>SUMIF('800-898'!$1:$1,AY$3,'800-898'!10:10)</f>
        <v>166298.54999999999</v>
      </c>
      <c r="AZ99" s="314">
        <f>SUMIF('800-898'!$1:$1,AZ$3,'800-898'!10:10)</f>
        <v>0</v>
      </c>
      <c r="BA99" s="128">
        <f>SUMIF('800-898'!$1:$1,BA$3,'800-898'!10:10)</f>
        <v>861.51</v>
      </c>
      <c r="BB99" s="128">
        <f>SUMIF('800-898'!$1:$1,BB$3,'800-898'!10:10)</f>
        <v>0</v>
      </c>
      <c r="BC99" s="128">
        <f>SUMIF('800-898'!$1:$1,BC$3,'800-898'!10:10)</f>
        <v>1601</v>
      </c>
      <c r="BD99" s="128">
        <f>SUMIF('800-898'!$1:$1,BD$3,'800-898'!10:10)</f>
        <v>1205.22</v>
      </c>
      <c r="BE99" s="128">
        <f>SUMIF('800-898'!$1:$1,BE$3,'800-898'!10:10)</f>
        <v>0</v>
      </c>
      <c r="BF99" s="128">
        <f>SUMIF('800-898'!$1:$1,BF$3,'800-898'!10:10)</f>
        <v>362.14</v>
      </c>
      <c r="BG99" s="128">
        <f>SUMIF('800-898'!$1:$1,BG$3,'800-898'!10:10)</f>
        <v>6280</v>
      </c>
      <c r="BH99" s="128">
        <f>SUMIF('800-898'!$1:$1,BH$3,'800-898'!10:10)</f>
        <v>0</v>
      </c>
      <c r="BI99" s="128">
        <f>SUMIF('800-898'!$1:$1,BI$3,'800-898'!10:10)</f>
        <v>14627.839999999998</v>
      </c>
      <c r="BJ99" s="128">
        <f>SUMIF('800-898'!$1:$1,BJ$3,'800-898'!10:10)</f>
        <v>22347.72</v>
      </c>
      <c r="BK99" s="128">
        <f>SUMIF('800-898'!$1:$1,BK$3,'800-898'!10:10)</f>
        <v>0</v>
      </c>
      <c r="BL99" s="128">
        <f>SUMIF('800-898'!$1:$1,BL$3,'800-898'!10:10)</f>
        <v>116508.28</v>
      </c>
      <c r="BM99" s="128">
        <f>SUMIF('800-898'!$1:$1,BM$3,'800-898'!10:10)</f>
        <v>57424.92</v>
      </c>
      <c r="BN99" s="128">
        <f>SUMIF('800-898'!$1:$1,BN$3,'800-898'!10:10)</f>
        <v>304955.72000000015</v>
      </c>
      <c r="BO99" s="128">
        <f>SUMIF('800-898'!$1:$1,BO$3,'800-898'!10:10)</f>
        <v>43429.8</v>
      </c>
      <c r="BP99" s="128">
        <f>SUMIF('800-898'!$1:$1,BP$3,'800-898'!10:10)</f>
        <v>0</v>
      </c>
      <c r="BQ99" s="128">
        <f>SUMIF('800-898'!$1:$1,BQ$3,'800-898'!10:10)</f>
        <v>0</v>
      </c>
      <c r="BR99" s="128">
        <f>SUMIF('800-898'!$1:$1,BR$3,'800-898'!10:10)</f>
        <v>0</v>
      </c>
      <c r="BS99" s="128">
        <f>SUMIF('800-898'!$1:$1,BS$3,'800-898'!10:10)</f>
        <v>199790.08000000002</v>
      </c>
      <c r="BT99" s="128">
        <f>SUMIF('800-898'!$1:$1,BT$3,'800-898'!10:10)</f>
        <v>73292.939999999988</v>
      </c>
      <c r="BU99" s="128">
        <f>SUMIF('800-898'!$1:$1,BU$3,'800-898'!10:10)</f>
        <v>-8680</v>
      </c>
      <c r="BV99" s="128">
        <f>SUMIF('800-898'!$1:$1,BV$3,'800-898'!10:10)</f>
        <v>0</v>
      </c>
      <c r="BW99" s="128">
        <f>SUMIF('800-898'!$1:$1,BW$3,'800-898'!10:10)</f>
        <v>0</v>
      </c>
      <c r="BX99" s="128">
        <f>SUMIF('800-898'!$1:$1,BX$3,'800-898'!10:10)</f>
        <v>0</v>
      </c>
      <c r="BY99" s="128">
        <f>SUMIF('800-898'!$1:$1,BY$3,'800-898'!10:10)</f>
        <v>2339.44</v>
      </c>
      <c r="BZ99" s="128">
        <f>SUMIF('800-898'!$1:$1,BZ$3,'800-898'!10:10)</f>
        <v>0</v>
      </c>
      <c r="CA99" s="314">
        <f>SUMIF('800-898'!$1:$1,CA$3,'800-898'!10:10)</f>
        <v>0</v>
      </c>
      <c r="CB99" s="128">
        <f>SUMIF('800-898'!$1:$1,CB$3,'800-898'!10:10)</f>
        <v>0</v>
      </c>
      <c r="CC99" s="128">
        <f>SUMIF('800-898'!$1:$1,CC$3,'800-898'!10:10)</f>
        <v>0</v>
      </c>
      <c r="CD99" s="128">
        <f>SUMIF('800-898'!$1:$1,CD$3,'800-898'!10:10)</f>
        <v>405</v>
      </c>
      <c r="CE99" s="128">
        <f>SUMIF('800-898'!$1:$1,CE$3,'800-898'!10:10)</f>
        <v>7032.88</v>
      </c>
      <c r="CF99" s="128">
        <f>SUMIF('800-898'!$1:$1,CF$3,'800-898'!10:10)</f>
        <v>0</v>
      </c>
      <c r="CG99" s="302">
        <f t="shared" si="34"/>
        <v>-14671.369999999028</v>
      </c>
      <c r="CJ99" s="122"/>
      <c r="CK99" s="169">
        <f>INDEX(SAP!C:C,MATCH('Actuals mapped to CFR'!A99,SAP!H:H,FALSE),1)</f>
        <v>-14671.37</v>
      </c>
      <c r="CL99" s="59">
        <f t="shared" si="33"/>
        <v>0</v>
      </c>
      <c r="CN99" s="81">
        <f t="shared" si="35"/>
        <v>3215160.0099999993</v>
      </c>
      <c r="CO99" s="81">
        <f t="shared" si="36"/>
        <v>3256074.8099999996</v>
      </c>
      <c r="CP99" s="166">
        <f>VLOOKUP(B99,'2526 GBP Data input'!$A$4:$CA$230,38,FALSE)</f>
        <v>3038154</v>
      </c>
      <c r="CQ99" s="166">
        <f>VLOOKUP(B99,'2526 GBP Data input'!$A$4:$CA$230,73,FALSE)</f>
        <v>31383</v>
      </c>
      <c r="CR99" s="89">
        <f t="shared" si="39"/>
        <v>177006.00999999931</v>
      </c>
      <c r="CS99" s="83">
        <f t="shared" si="40"/>
        <v>103.75282190995124</v>
      </c>
      <c r="CT99" s="82">
        <f t="shared" si="37"/>
        <v>2203.3099999995902</v>
      </c>
      <c r="CU99" s="82">
        <f t="shared" si="38"/>
        <v>6822.73</v>
      </c>
      <c r="CV99" s="86">
        <f t="shared" si="27"/>
        <v>9026.0399999995898</v>
      </c>
    </row>
    <row r="100" spans="1:100">
      <c r="A100" s="238">
        <v>107818</v>
      </c>
      <c r="B100" s="60">
        <v>818</v>
      </c>
      <c r="C100" s="60" t="s">
        <v>194</v>
      </c>
      <c r="D100" s="128">
        <f>SUMIF('800-898'!$1:$1,D$3,'800-898'!11:11)</f>
        <v>0</v>
      </c>
      <c r="E100" s="128">
        <f>SUMIF('800-898'!$1:$1,E$3,'800-898'!11:11)</f>
        <v>-10026.629999999999</v>
      </c>
      <c r="F100" s="128">
        <f>SUMIF('800-898'!$1:$1,F$3,'800-898'!11:11)</f>
        <v>47601</v>
      </c>
      <c r="G100" s="128">
        <f>SUMIF('800-898'!$1:$1,G$3,'800-898'!11:11)</f>
        <v>-14028.78</v>
      </c>
      <c r="H100" s="128">
        <f>SUMIF('800-898'!$1:$1,H$3,'800-898'!11:11)</f>
        <v>0</v>
      </c>
      <c r="I100" s="128">
        <f>SUMIF('800-898'!$1:$1,I$3,'800-898'!11:11)</f>
        <v>0</v>
      </c>
      <c r="J100" s="128">
        <f>SUMIF('800-898'!$1:$1,J$3,'800-898'!11:11)</f>
        <v>3517.19</v>
      </c>
      <c r="K100" s="128">
        <f>SUMIF('800-898'!$1:$1,K$3,'800-898'!11:11)</f>
        <v>-790952.76</v>
      </c>
      <c r="L100" s="128">
        <f>SUMIF('800-898'!$1:$1,L$3,'800-898'!11:11)</f>
        <v>0</v>
      </c>
      <c r="M100" s="128">
        <f>SUMIF('800-898'!$1:$1,M$3,'800-898'!11:11)</f>
        <v>-208430</v>
      </c>
      <c r="N100" s="128">
        <f>SUMIF('800-898'!$1:$1,N$3,'800-898'!11:11)</f>
        <v>0</v>
      </c>
      <c r="O100" s="128">
        <f>SUMIF('800-898'!$1:$1,O$3,'800-898'!11:11)</f>
        <v>-31700</v>
      </c>
      <c r="P100" s="128">
        <f>SUMIF('800-898'!$1:$1,P$3,'800-898'!11:11)</f>
        <v>-42576</v>
      </c>
      <c r="Q100" s="128">
        <f>SUMIF('800-898'!$1:$1,Q$3,'800-898'!11:11)</f>
        <v>0</v>
      </c>
      <c r="R100" s="128">
        <f>SUMIF('800-898'!$1:$1,R$3,'800-898'!11:11)</f>
        <v>0</v>
      </c>
      <c r="S100" s="128">
        <f>SUMIF('800-898'!$1:$1,S$3,'800-898'!11:11)</f>
        <v>-42182.35</v>
      </c>
      <c r="T100" s="128">
        <f>SUMIF('800-898'!$1:$1,T$3,'800-898'!11:11)</f>
        <v>-6392.2900000000009</v>
      </c>
      <c r="U100" s="128">
        <f>SUMIF('800-898'!$1:$1,U$3,'800-898'!11:11)</f>
        <v>0</v>
      </c>
      <c r="V100" s="128">
        <f>SUMIF('800-898'!$1:$1,V$3,'800-898'!11:11)</f>
        <v>0</v>
      </c>
      <c r="W100" s="128">
        <f>SUMIF('800-898'!$1:$1,W$3,'800-898'!11:11)</f>
        <v>-10739.97</v>
      </c>
      <c r="X100" s="128">
        <f>SUMIF('800-898'!$1:$1,X$3,'800-898'!11:11)</f>
        <v>-4949.8999999999996</v>
      </c>
      <c r="Y100" s="164">
        <f>SUMIF('800-898'!$1:$1,Y$3,'800-898'!11:11)</f>
        <v>0</v>
      </c>
      <c r="Z100" s="128">
        <f>SUMIF('800-898'!$1:$1,Z$3,'800-898'!11:11)</f>
        <v>0</v>
      </c>
      <c r="AA100" s="128">
        <f>SUMIF('800-898'!$1:$1,AA$3,'800-898'!11:11)</f>
        <v>0</v>
      </c>
      <c r="AB100" s="128">
        <f>SUMIF('800-898'!$1:$1,AB$3,'800-898'!11:11)</f>
        <v>-84481</v>
      </c>
      <c r="AC100" s="314">
        <f>SUMIF('800-898'!$1:$1,AC$3,'800-898'!11:11)</f>
        <v>0</v>
      </c>
      <c r="AD100" s="314">
        <f>SUMIF('800-898'!$1:$1,AD$3,'800-898'!11:11)</f>
        <v>0</v>
      </c>
      <c r="AE100" s="314">
        <f>SUMIF('800-898'!$1:$1,AE$3,'800-898'!11:11)</f>
        <v>0</v>
      </c>
      <c r="AF100" s="314">
        <f>SUMIF('800-898'!$1:$1,AF$3,'800-898'!11:11)</f>
        <v>0</v>
      </c>
      <c r="AG100" s="128">
        <f>SUMIF('800-898'!$1:$1,AG$3,'800-898'!11:11)</f>
        <v>504550.48000000004</v>
      </c>
      <c r="AH100" s="128">
        <f>SUMIF('800-898'!$1:$1,AH$3,'800-898'!11:11)</f>
        <v>21082.46</v>
      </c>
      <c r="AI100" s="128">
        <f>SUMIF('800-898'!$1:$1,AI$3,'800-898'!11:11)</f>
        <v>272219.07</v>
      </c>
      <c r="AJ100" s="128">
        <f>SUMIF('800-898'!$1:$1,AJ$3,'800-898'!11:11)</f>
        <v>742.31</v>
      </c>
      <c r="AK100" s="128">
        <f>SUMIF('800-898'!$1:$1,AK$3,'800-898'!11:11)</f>
        <v>49165.3</v>
      </c>
      <c r="AL100" s="128">
        <f>SUMIF('800-898'!$1:$1,AL$3,'800-898'!11:11)</f>
        <v>0</v>
      </c>
      <c r="AM100" s="128">
        <f>SUMIF('800-898'!$1:$1,AM$3,'800-898'!11:11)</f>
        <v>60626.399999999994</v>
      </c>
      <c r="AN100" s="128">
        <f>SUMIF('800-898'!$1:$1,AN$3,'800-898'!11:11)</f>
        <v>3643.34</v>
      </c>
      <c r="AO100" s="128">
        <f>SUMIF('800-898'!$1:$1,AO$3,'800-898'!11:11)</f>
        <v>5306.1399999999994</v>
      </c>
      <c r="AP100" s="128">
        <f>SUMIF('800-898'!$1:$1,AP$3,'800-898'!11:11)</f>
        <v>2561.56</v>
      </c>
      <c r="AQ100" s="128">
        <f>SUMIF('800-898'!$1:$1,AQ$3,'800-898'!11:11)</f>
        <v>4543.2999999999993</v>
      </c>
      <c r="AR100" s="128">
        <f>SUMIF('800-898'!$1:$1,AR$3,'800-898'!11:11)</f>
        <v>8192.2199999999993</v>
      </c>
      <c r="AS100" s="128">
        <f>SUMIF('800-898'!$1:$1,AS$3,'800-898'!11:11)</f>
        <v>3837.76</v>
      </c>
      <c r="AT100" s="128">
        <f>SUMIF('800-898'!$1:$1,AT$3,'800-898'!11:11)</f>
        <v>24687.870000000003</v>
      </c>
      <c r="AU100" s="128">
        <f>SUMIF('800-898'!$1:$1,AU$3,'800-898'!11:11)</f>
        <v>128.28999999999979</v>
      </c>
      <c r="AV100" s="128">
        <f>SUMIF('800-898'!$1:$1,AV$3,'800-898'!11:11)</f>
        <v>5078.5099999999993</v>
      </c>
      <c r="AW100" s="128">
        <f>SUMIF('800-898'!$1:$1,AW$3,'800-898'!11:11)</f>
        <v>15469</v>
      </c>
      <c r="AX100" s="128">
        <f>SUMIF('800-898'!$1:$1,AX$3,'800-898'!11:11)</f>
        <v>3756.47</v>
      </c>
      <c r="AY100" s="128">
        <f>SUMIF('800-898'!$1:$1,AY$3,'800-898'!11:11)</f>
        <v>25845.199999999997</v>
      </c>
      <c r="AZ100" s="314">
        <f>SUMIF('800-898'!$1:$1,AZ$3,'800-898'!11:11)</f>
        <v>0</v>
      </c>
      <c r="BA100" s="128">
        <f>SUMIF('800-898'!$1:$1,BA$3,'800-898'!11:11)</f>
        <v>2663.25</v>
      </c>
      <c r="BB100" s="128">
        <f>SUMIF('800-898'!$1:$1,BB$3,'800-898'!11:11)</f>
        <v>0</v>
      </c>
      <c r="BC100" s="128">
        <f>SUMIF('800-898'!$1:$1,BC$3,'800-898'!11:11)</f>
        <v>3727.0899999999997</v>
      </c>
      <c r="BD100" s="128">
        <f>SUMIF('800-898'!$1:$1,BD$3,'800-898'!11:11)</f>
        <v>6897.7400000000007</v>
      </c>
      <c r="BE100" s="128">
        <f>SUMIF('800-898'!$1:$1,BE$3,'800-898'!11:11)</f>
        <v>0</v>
      </c>
      <c r="BF100" s="128">
        <f>SUMIF('800-898'!$1:$1,BF$3,'800-898'!11:11)</f>
        <v>71.64</v>
      </c>
      <c r="BG100" s="128">
        <f>SUMIF('800-898'!$1:$1,BG$3,'800-898'!11:11)</f>
        <v>2667.9300000000003</v>
      </c>
      <c r="BH100" s="128">
        <f>SUMIF('800-898'!$1:$1,BH$3,'800-898'!11:11)</f>
        <v>0</v>
      </c>
      <c r="BI100" s="128">
        <f>SUMIF('800-898'!$1:$1,BI$3,'800-898'!11:11)</f>
        <v>9226.4699999999993</v>
      </c>
      <c r="BJ100" s="128">
        <f>SUMIF('800-898'!$1:$1,BJ$3,'800-898'!11:11)</f>
        <v>7395.26</v>
      </c>
      <c r="BK100" s="128">
        <f>SUMIF('800-898'!$1:$1,BK$3,'800-898'!11:11)</f>
        <v>0</v>
      </c>
      <c r="BL100" s="128">
        <f>SUMIF('800-898'!$1:$1,BL$3,'800-898'!11:11)</f>
        <v>37378.949999999997</v>
      </c>
      <c r="BM100" s="128">
        <f>SUMIF('800-898'!$1:$1,BM$3,'800-898'!11:11)</f>
        <v>630</v>
      </c>
      <c r="BN100" s="128">
        <f>SUMIF('800-898'!$1:$1,BN$3,'800-898'!11:11)</f>
        <v>46721.299999999996</v>
      </c>
      <c r="BO100" s="128">
        <f>SUMIF('800-898'!$1:$1,BO$3,'800-898'!11:11)</f>
        <v>30831.180000000004</v>
      </c>
      <c r="BP100" s="128">
        <f>SUMIF('800-898'!$1:$1,BP$3,'800-898'!11:11)</f>
        <v>0</v>
      </c>
      <c r="BQ100" s="128">
        <f>SUMIF('800-898'!$1:$1,BQ$3,'800-898'!11:11)</f>
        <v>0</v>
      </c>
      <c r="BR100" s="128">
        <f>SUMIF('800-898'!$1:$1,BR$3,'800-898'!11:11)</f>
        <v>0</v>
      </c>
      <c r="BS100" s="128">
        <f>SUMIF('800-898'!$1:$1,BS$3,'800-898'!11:11)</f>
        <v>100252.47999999998</v>
      </c>
      <c r="BT100" s="128">
        <f>SUMIF('800-898'!$1:$1,BT$3,'800-898'!11:11)</f>
        <v>7191.7000000000007</v>
      </c>
      <c r="BU100" s="128">
        <f>SUMIF('800-898'!$1:$1,BU$3,'800-898'!11:11)</f>
        <v>-5575</v>
      </c>
      <c r="BV100" s="128">
        <f>SUMIF('800-898'!$1:$1,BV$3,'800-898'!11:11)</f>
        <v>0</v>
      </c>
      <c r="BW100" s="128">
        <f>SUMIF('800-898'!$1:$1,BW$3,'800-898'!11:11)</f>
        <v>0</v>
      </c>
      <c r="BX100" s="128">
        <f>SUMIF('800-898'!$1:$1,BX$3,'800-898'!11:11)</f>
        <v>0</v>
      </c>
      <c r="BY100" s="128">
        <f>SUMIF('800-898'!$1:$1,BY$3,'800-898'!11:11)</f>
        <v>1885</v>
      </c>
      <c r="BZ100" s="128">
        <f>SUMIF('800-898'!$1:$1,BZ$3,'800-898'!11:11)</f>
        <v>0</v>
      </c>
      <c r="CA100" s="314">
        <f>SUMIF('800-898'!$1:$1,CA$3,'800-898'!11:11)</f>
        <v>0</v>
      </c>
      <c r="CB100" s="128">
        <f>SUMIF('800-898'!$1:$1,CB$3,'800-898'!11:11)</f>
        <v>0</v>
      </c>
      <c r="CC100" s="128">
        <f>SUMIF('800-898'!$1:$1,CC$3,'800-898'!11:11)</f>
        <v>0</v>
      </c>
      <c r="CD100" s="128">
        <f>SUMIF('800-898'!$1:$1,CD$3,'800-898'!11:11)</f>
        <v>4190.76</v>
      </c>
      <c r="CE100" s="128">
        <f>SUMIF('800-898'!$1:$1,CE$3,'800-898'!11:11)</f>
        <v>788</v>
      </c>
      <c r="CF100" s="128">
        <f>SUMIF('800-898'!$1:$1,CF$3,'800-898'!11:11)</f>
        <v>450.94000000000005</v>
      </c>
      <c r="CG100" s="302">
        <f t="shared" si="34"/>
        <v>73488.879999999932</v>
      </c>
      <c r="CJ100" s="122"/>
      <c r="CK100" s="169">
        <f>INDEX(SAP!C:C,MATCH('Actuals mapped to CFR'!A100,SAP!H:H,FALSE),1)</f>
        <v>73488.88</v>
      </c>
      <c r="CL100" s="59">
        <f t="shared" si="33"/>
        <v>0</v>
      </c>
      <c r="CN100" s="81">
        <f t="shared" si="35"/>
        <v>1222404.27</v>
      </c>
      <c r="CO100" s="81">
        <f t="shared" si="36"/>
        <v>1267090.6700000002</v>
      </c>
      <c r="CP100" s="166">
        <f>VLOOKUP(B100,'2526 GBP Data input'!$A$4:$CA$230,38,FALSE)</f>
        <v>1141503</v>
      </c>
      <c r="CQ100" s="166">
        <f>VLOOKUP(B100,'2526 GBP Data input'!$A$4:$CA$230,73,FALSE)</f>
        <v>18707</v>
      </c>
      <c r="CR100" s="89">
        <f t="shared" si="39"/>
        <v>80901.270000000019</v>
      </c>
      <c r="CS100" s="83">
        <f t="shared" si="40"/>
        <v>67.733504570481642</v>
      </c>
      <c r="CT100" s="82">
        <f t="shared" si="37"/>
        <v>-92287.40000000014</v>
      </c>
      <c r="CU100" s="82">
        <f t="shared" si="38"/>
        <v>17267.84</v>
      </c>
      <c r="CV100" s="86">
        <f t="shared" si="27"/>
        <v>-75019.560000000143</v>
      </c>
    </row>
    <row r="101" spans="1:100">
      <c r="A101" s="238">
        <v>107825</v>
      </c>
      <c r="B101" s="60">
        <v>825</v>
      </c>
      <c r="C101" s="60" t="s">
        <v>198</v>
      </c>
      <c r="D101" s="128">
        <f>SUMIF('800-898'!$1:$1,D$3,'800-898'!12:12)</f>
        <v>-114856.31</v>
      </c>
      <c r="E101" s="128">
        <f>SUMIF('800-898'!$1:$1,E$3,'800-898'!12:12)</f>
        <v>-17338.439999999999</v>
      </c>
      <c r="F101" s="128">
        <f>SUMIF('800-898'!$1:$1,F$3,'800-898'!12:12)</f>
        <v>0</v>
      </c>
      <c r="G101" s="128">
        <f>SUMIF('800-898'!$1:$1,G$3,'800-898'!12:12)</f>
        <v>-15181.53</v>
      </c>
      <c r="H101" s="128">
        <f>SUMIF('800-898'!$1:$1,H$3,'800-898'!12:12)</f>
        <v>0</v>
      </c>
      <c r="I101" s="128">
        <f>SUMIF('800-898'!$1:$1,I$3,'800-898'!12:12)</f>
        <v>0</v>
      </c>
      <c r="J101" s="128">
        <f>SUMIF('800-898'!$1:$1,J$3,'800-898'!12:12)</f>
        <v>0</v>
      </c>
      <c r="K101" s="128">
        <f>SUMIF('800-898'!$1:$1,K$3,'800-898'!12:12)</f>
        <v>-1108883.95</v>
      </c>
      <c r="L101" s="128">
        <f>SUMIF('800-898'!$1:$1,L$3,'800-898'!12:12)</f>
        <v>0</v>
      </c>
      <c r="M101" s="128">
        <f>SUMIF('800-898'!$1:$1,M$3,'800-898'!12:12)</f>
        <v>-39308</v>
      </c>
      <c r="N101" s="128">
        <f>SUMIF('800-898'!$1:$1,N$3,'800-898'!12:12)</f>
        <v>0</v>
      </c>
      <c r="O101" s="128">
        <f>SUMIF('800-898'!$1:$1,O$3,'800-898'!12:12)</f>
        <v>-36425</v>
      </c>
      <c r="P101" s="128">
        <f>SUMIF('800-898'!$1:$1,P$3,'800-898'!12:12)</f>
        <v>-58274.33</v>
      </c>
      <c r="Q101" s="128">
        <f>SUMIF('800-898'!$1:$1,Q$3,'800-898'!12:12)</f>
        <v>0</v>
      </c>
      <c r="R101" s="128">
        <f>SUMIF('800-898'!$1:$1,R$3,'800-898'!12:12)</f>
        <v>-7171.13</v>
      </c>
      <c r="S101" s="128">
        <f>SUMIF('800-898'!$1:$1,S$3,'800-898'!12:12)</f>
        <v>-27549.829999999987</v>
      </c>
      <c r="T101" s="128">
        <f>SUMIF('800-898'!$1:$1,T$3,'800-898'!12:12)</f>
        <v>0</v>
      </c>
      <c r="U101" s="128">
        <f>SUMIF('800-898'!$1:$1,U$3,'800-898'!12:12)</f>
        <v>-9057</v>
      </c>
      <c r="V101" s="128">
        <f>SUMIF('800-898'!$1:$1,V$3,'800-898'!12:12)</f>
        <v>0</v>
      </c>
      <c r="W101" s="128">
        <f>SUMIF('800-898'!$1:$1,W$3,'800-898'!12:12)</f>
        <v>-23636.959999999985</v>
      </c>
      <c r="X101" s="128">
        <f>SUMIF('800-898'!$1:$1,X$3,'800-898'!12:12)</f>
        <v>-3591.0899999999992</v>
      </c>
      <c r="Y101" s="164">
        <f>SUMIF('800-898'!$1:$1,Y$3,'800-898'!12:12)</f>
        <v>0</v>
      </c>
      <c r="Z101" s="128">
        <f>SUMIF('800-898'!$1:$1,Z$3,'800-898'!12:12)</f>
        <v>0</v>
      </c>
      <c r="AA101" s="128">
        <f>SUMIF('800-898'!$1:$1,AA$3,'800-898'!12:12)</f>
        <v>0</v>
      </c>
      <c r="AB101" s="128">
        <f>SUMIF('800-898'!$1:$1,AB$3,'800-898'!12:12)</f>
        <v>0</v>
      </c>
      <c r="AC101" s="314">
        <f>SUMIF('800-898'!$1:$1,AC$3,'800-898'!12:12)</f>
        <v>0</v>
      </c>
      <c r="AD101" s="314">
        <f>SUMIF('800-898'!$1:$1,AD$3,'800-898'!12:12)</f>
        <v>0</v>
      </c>
      <c r="AE101" s="314">
        <f>SUMIF('800-898'!$1:$1,AE$3,'800-898'!12:12)</f>
        <v>0</v>
      </c>
      <c r="AF101" s="314">
        <f>SUMIF('800-898'!$1:$1,AF$3,'800-898'!12:12)</f>
        <v>0</v>
      </c>
      <c r="AG101" s="128">
        <f>SUMIF('800-898'!$1:$1,AG$3,'800-898'!12:12)</f>
        <v>668491.63</v>
      </c>
      <c r="AH101" s="128">
        <f>SUMIF('800-898'!$1:$1,AH$3,'800-898'!12:12)</f>
        <v>10565.23</v>
      </c>
      <c r="AI101" s="128">
        <f>SUMIF('800-898'!$1:$1,AI$3,'800-898'!12:12)</f>
        <v>161230.49000000002</v>
      </c>
      <c r="AJ101" s="128">
        <f>SUMIF('800-898'!$1:$1,AJ$3,'800-898'!12:12)</f>
        <v>49322.499999999993</v>
      </c>
      <c r="AK101" s="128">
        <f>SUMIF('800-898'!$1:$1,AK$3,'800-898'!12:12)</f>
        <v>54689.61</v>
      </c>
      <c r="AL101" s="128">
        <f>SUMIF('800-898'!$1:$1,AL$3,'800-898'!12:12)</f>
        <v>0</v>
      </c>
      <c r="AM101" s="128">
        <f>SUMIF('800-898'!$1:$1,AM$3,'800-898'!12:12)</f>
        <v>29885.21</v>
      </c>
      <c r="AN101" s="128">
        <f>SUMIF('800-898'!$1:$1,AN$3,'800-898'!12:12)</f>
        <v>4382.0200000000004</v>
      </c>
      <c r="AO101" s="128">
        <f>SUMIF('800-898'!$1:$1,AO$3,'800-898'!12:12)</f>
        <v>3802.5</v>
      </c>
      <c r="AP101" s="128">
        <f>SUMIF('800-898'!$1:$1,AP$3,'800-898'!12:12)</f>
        <v>646.6</v>
      </c>
      <c r="AQ101" s="128">
        <f>SUMIF('800-898'!$1:$1,AQ$3,'800-898'!12:12)</f>
        <v>1092</v>
      </c>
      <c r="AR101" s="128">
        <f>SUMIF('800-898'!$1:$1,AR$3,'800-898'!12:12)</f>
        <v>20301.219999999987</v>
      </c>
      <c r="AS101" s="128">
        <f>SUMIF('800-898'!$1:$1,AS$3,'800-898'!12:12)</f>
        <v>3913.8700000000003</v>
      </c>
      <c r="AT101" s="128">
        <f>SUMIF('800-898'!$1:$1,AT$3,'800-898'!12:12)</f>
        <v>4377.4599999999991</v>
      </c>
      <c r="AU101" s="128">
        <f>SUMIF('800-898'!$1:$1,AU$3,'800-898'!12:12)</f>
        <v>3161.1400000000003</v>
      </c>
      <c r="AV101" s="128">
        <f>SUMIF('800-898'!$1:$1,AV$3,'800-898'!12:12)</f>
        <v>16889.099999999999</v>
      </c>
      <c r="AW101" s="128">
        <f>SUMIF('800-898'!$1:$1,AW$3,'800-898'!12:12)</f>
        <v>28665</v>
      </c>
      <c r="AX101" s="128">
        <f>SUMIF('800-898'!$1:$1,AX$3,'800-898'!12:12)</f>
        <v>7823.72</v>
      </c>
      <c r="AY101" s="128">
        <f>SUMIF('800-898'!$1:$1,AY$3,'800-898'!12:12)</f>
        <v>56345.35</v>
      </c>
      <c r="AZ101" s="314">
        <f>SUMIF('800-898'!$1:$1,AZ$3,'800-898'!12:12)</f>
        <v>0</v>
      </c>
      <c r="BA101" s="128">
        <f>SUMIF('800-898'!$1:$1,BA$3,'800-898'!12:12)</f>
        <v>4150</v>
      </c>
      <c r="BB101" s="128">
        <f>SUMIF('800-898'!$1:$1,BB$3,'800-898'!12:12)</f>
        <v>0</v>
      </c>
      <c r="BC101" s="128">
        <f>SUMIF('800-898'!$1:$1,BC$3,'800-898'!12:12)</f>
        <v>4426.7</v>
      </c>
      <c r="BD101" s="128">
        <f>SUMIF('800-898'!$1:$1,BD$3,'800-898'!12:12)</f>
        <v>6820.49</v>
      </c>
      <c r="BE101" s="128">
        <f>SUMIF('800-898'!$1:$1,BE$3,'800-898'!12:12)</f>
        <v>948</v>
      </c>
      <c r="BF101" s="128">
        <f>SUMIF('800-898'!$1:$1,BF$3,'800-898'!12:12)</f>
        <v>917.24</v>
      </c>
      <c r="BG101" s="128">
        <f>SUMIF('800-898'!$1:$1,BG$3,'800-898'!12:12)</f>
        <v>2226</v>
      </c>
      <c r="BH101" s="128">
        <f>SUMIF('800-898'!$1:$1,BH$3,'800-898'!12:12)</f>
        <v>0</v>
      </c>
      <c r="BI101" s="128">
        <f>SUMIF('800-898'!$1:$1,BI$3,'800-898'!12:12)</f>
        <v>1861.97</v>
      </c>
      <c r="BJ101" s="128">
        <f>SUMIF('800-898'!$1:$1,BJ$3,'800-898'!12:12)</f>
        <v>11648.66</v>
      </c>
      <c r="BK101" s="128">
        <f>SUMIF('800-898'!$1:$1,BK$3,'800-898'!12:12)</f>
        <v>0</v>
      </c>
      <c r="BL101" s="128">
        <f>SUMIF('800-898'!$1:$1,BL$3,'800-898'!12:12)</f>
        <v>48283.44</v>
      </c>
      <c r="BM101" s="128">
        <f>SUMIF('800-898'!$1:$1,BM$3,'800-898'!12:12)</f>
        <v>3458</v>
      </c>
      <c r="BN101" s="128">
        <f>SUMIF('800-898'!$1:$1,BN$3,'800-898'!12:12)</f>
        <v>56970.5</v>
      </c>
      <c r="BO101" s="128">
        <f>SUMIF('800-898'!$1:$1,BO$3,'800-898'!12:12)</f>
        <v>19755.990000000005</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-6407.5</v>
      </c>
      <c r="BV101" s="128">
        <f>SUMIF('800-898'!$1:$1,BV$3,'800-898'!12:12)</f>
        <v>0</v>
      </c>
      <c r="BW101" s="128">
        <f>SUMIF('800-898'!$1:$1,BW$3,'800-898'!12:12)</f>
        <v>0</v>
      </c>
      <c r="BX101" s="128">
        <f>SUMIF('800-898'!$1:$1,BX$3,'800-898'!12:12)</f>
        <v>0</v>
      </c>
      <c r="BY101" s="128">
        <f>SUMIF('800-898'!$1:$1,BY$3,'800-898'!12:12)</f>
        <v>18796</v>
      </c>
      <c r="BZ101" s="128">
        <f>SUMIF('800-898'!$1:$1,BZ$3,'800-898'!12:12)</f>
        <v>0</v>
      </c>
      <c r="CA101" s="314">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302">
        <f t="shared" si="34"/>
        <v>-161833.43000000023</v>
      </c>
      <c r="CJ101" s="122"/>
      <c r="CK101" s="169">
        <f>INDEX(SAP!C:C,MATCH('Actuals mapped to CFR'!A101,SAP!H:H,FALSE),1)</f>
        <v>-161833.43</v>
      </c>
      <c r="CL101" s="59">
        <f t="shared" si="33"/>
        <v>0</v>
      </c>
      <c r="CN101" s="81">
        <f t="shared" si="35"/>
        <v>1313897.29</v>
      </c>
      <c r="CO101" s="81">
        <f t="shared" si="36"/>
        <v>1287051.6399999997</v>
      </c>
      <c r="CP101" s="166">
        <f>VLOOKUP(B101,'2526 GBP Data input'!$A$4:$CA$230,38,FALSE)</f>
        <v>1240706</v>
      </c>
      <c r="CQ101" s="166">
        <f>VLOOKUP(B101,'2526 GBP Data input'!$A$4:$CA$230,73,FALSE)</f>
        <v>24067</v>
      </c>
      <c r="CR101" s="89">
        <f t="shared" si="39"/>
        <v>73191.290000000037</v>
      </c>
      <c r="CS101" s="83">
        <f t="shared" si="40"/>
        <v>53.477859309427835</v>
      </c>
      <c r="CT101" s="82">
        <f t="shared" si="37"/>
        <v>141701.96000000043</v>
      </c>
      <c r="CU101" s="82">
        <f t="shared" si="38"/>
        <v>2793.0299999999988</v>
      </c>
      <c r="CV101" s="86">
        <f t="shared" si="27"/>
        <v>144494.99000000043</v>
      </c>
    </row>
    <row r="102" spans="1:100">
      <c r="A102" s="238">
        <v>107827</v>
      </c>
      <c r="B102" s="60">
        <v>827</v>
      </c>
      <c r="C102" s="60" t="s">
        <v>250</v>
      </c>
      <c r="D102" s="128">
        <f>SUMIF('800-898'!$1:$1,D$3,'800-898'!13:13)</f>
        <v>-82874.320000000007</v>
      </c>
      <c r="E102" s="128">
        <f>SUMIF('800-898'!$1:$1,E$3,'800-898'!13:13)</f>
        <v>-4018.5</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-795353.59000000008</v>
      </c>
      <c r="L102" s="128">
        <f>SUMIF('800-898'!$1:$1,L$3,'800-898'!13:13)</f>
        <v>0</v>
      </c>
      <c r="M102" s="128">
        <f>SUMIF('800-898'!$1:$1,M$3,'800-898'!13:13)</f>
        <v>-81191</v>
      </c>
      <c r="N102" s="128">
        <f>SUMIF('800-898'!$1:$1,N$3,'800-898'!13:13)</f>
        <v>0</v>
      </c>
      <c r="O102" s="128">
        <f>SUMIF('800-898'!$1:$1,O$3,'800-898'!13:13)</f>
        <v>-21515</v>
      </c>
      <c r="P102" s="128">
        <f>SUMIF('800-898'!$1:$1,P$3,'800-898'!13:13)</f>
        <v>-35177.29</v>
      </c>
      <c r="Q102" s="128">
        <f>SUMIF('800-898'!$1:$1,Q$3,'800-898'!13:13)</f>
        <v>-550</v>
      </c>
      <c r="R102" s="128">
        <f>SUMIF('800-898'!$1:$1,R$3,'800-898'!13:13)</f>
        <v>0</v>
      </c>
      <c r="S102" s="128">
        <f>SUMIF('800-898'!$1:$1,S$3,'800-898'!13:13)</f>
        <v>-36585.320000000014</v>
      </c>
      <c r="T102" s="128">
        <f>SUMIF('800-898'!$1:$1,T$3,'800-898'!13:13)</f>
        <v>2.23</v>
      </c>
      <c r="U102" s="128">
        <f>SUMIF('800-898'!$1:$1,U$3,'800-898'!13:13)</f>
        <v>-96</v>
      </c>
      <c r="V102" s="128">
        <f>SUMIF('800-898'!$1:$1,V$3,'800-898'!13:13)</f>
        <v>0</v>
      </c>
      <c r="W102" s="128">
        <f>SUMIF('800-898'!$1:$1,W$3,'800-898'!13:13)</f>
        <v>-24818.28999999999</v>
      </c>
      <c r="X102" s="128">
        <f>SUMIF('800-898'!$1:$1,X$3,'800-898'!13:13)</f>
        <v>-1302.81</v>
      </c>
      <c r="Y102" s="164">
        <f>SUMIF('800-898'!$1:$1,Y$3,'800-898'!13:13)</f>
        <v>0</v>
      </c>
      <c r="Z102" s="128">
        <f>SUMIF('800-898'!$1:$1,Z$3,'800-898'!13:13)</f>
        <v>0</v>
      </c>
      <c r="AA102" s="128">
        <f>SUMIF('800-898'!$1:$1,AA$3,'800-898'!13:13)</f>
        <v>0</v>
      </c>
      <c r="AB102" s="128">
        <f>SUMIF('800-898'!$1:$1,AB$3,'800-898'!13:13)</f>
        <v>0</v>
      </c>
      <c r="AC102" s="314">
        <f>SUMIF('800-898'!$1:$1,AC$3,'800-898'!13:13)</f>
        <v>0</v>
      </c>
      <c r="AD102" s="314">
        <f>SUMIF('800-898'!$1:$1,AD$3,'800-898'!13:13)</f>
        <v>0</v>
      </c>
      <c r="AE102" s="314">
        <f>SUMIF('800-898'!$1:$1,AE$3,'800-898'!13:13)</f>
        <v>0</v>
      </c>
      <c r="AF102" s="314">
        <f>SUMIF('800-898'!$1:$1,AF$3,'800-898'!13:13)</f>
        <v>0</v>
      </c>
      <c r="AG102" s="128">
        <f>SUMIF('800-898'!$1:$1,AG$3,'800-898'!13:13)</f>
        <v>470904.75</v>
      </c>
      <c r="AH102" s="128">
        <f>SUMIF('800-898'!$1:$1,AH$3,'800-898'!13:13)</f>
        <v>26273.47</v>
      </c>
      <c r="AI102" s="128">
        <f>SUMIF('800-898'!$1:$1,AI$3,'800-898'!13:13)</f>
        <v>176390.63999999998</v>
      </c>
      <c r="AJ102" s="128">
        <f>SUMIF('800-898'!$1:$1,AJ$3,'800-898'!13:13)</f>
        <v>22720.16</v>
      </c>
      <c r="AK102" s="128">
        <f>SUMIF('800-898'!$1:$1,AK$3,'800-898'!13:13)</f>
        <v>57936.49</v>
      </c>
      <c r="AL102" s="128">
        <f>SUMIF('800-898'!$1:$1,AL$3,'800-898'!13:13)</f>
        <v>0</v>
      </c>
      <c r="AM102" s="128">
        <f>SUMIF('800-898'!$1:$1,AM$3,'800-898'!13:13)</f>
        <v>47570.2</v>
      </c>
      <c r="AN102" s="128">
        <f>SUMIF('800-898'!$1:$1,AN$3,'800-898'!13:13)</f>
        <v>4979.88</v>
      </c>
      <c r="AO102" s="128">
        <f>SUMIF('800-898'!$1:$1,AO$3,'800-898'!13:13)</f>
        <v>4394.46</v>
      </c>
      <c r="AP102" s="128">
        <f>SUMIF('800-898'!$1:$1,AP$3,'800-898'!13:13)</f>
        <v>393.45</v>
      </c>
      <c r="AQ102" s="128">
        <f>SUMIF('800-898'!$1:$1,AQ$3,'800-898'!13:13)</f>
        <v>7910.46</v>
      </c>
      <c r="AR102" s="128">
        <f>SUMIF('800-898'!$1:$1,AR$3,'800-898'!13:13)</f>
        <v>7457.8300000000008</v>
      </c>
      <c r="AS102" s="128">
        <f>SUMIF('800-898'!$1:$1,AS$3,'800-898'!13:13)</f>
        <v>744.12</v>
      </c>
      <c r="AT102" s="128">
        <f>SUMIF('800-898'!$1:$1,AT$3,'800-898'!13:13)</f>
        <v>1937.2399999999998</v>
      </c>
      <c r="AU102" s="128">
        <f>SUMIF('800-898'!$1:$1,AU$3,'800-898'!13:13)</f>
        <v>4673.5700000000006</v>
      </c>
      <c r="AV102" s="128">
        <f>SUMIF('800-898'!$1:$1,AV$3,'800-898'!13:13)</f>
        <v>13461.64</v>
      </c>
      <c r="AW102" s="128">
        <f>SUMIF('800-898'!$1:$1,AW$3,'800-898'!13:13)</f>
        <v>12724.5</v>
      </c>
      <c r="AX102" s="128">
        <f>SUMIF('800-898'!$1:$1,AX$3,'800-898'!13:13)</f>
        <v>3679.72</v>
      </c>
      <c r="AY102" s="128">
        <f>SUMIF('800-898'!$1:$1,AY$3,'800-898'!13:13)</f>
        <v>54397.47</v>
      </c>
      <c r="AZ102" s="314">
        <f>SUMIF('800-898'!$1:$1,AZ$3,'800-898'!13:13)</f>
        <v>0</v>
      </c>
      <c r="BA102" s="128">
        <f>SUMIF('800-898'!$1:$1,BA$3,'800-898'!13:13)</f>
        <v>358</v>
      </c>
      <c r="BB102" s="128">
        <f>SUMIF('800-898'!$1:$1,BB$3,'800-898'!13:13)</f>
        <v>720</v>
      </c>
      <c r="BC102" s="128">
        <f>SUMIF('800-898'!$1:$1,BC$3,'800-898'!13:13)</f>
        <v>11342.629999999997</v>
      </c>
      <c r="BD102" s="128">
        <f>SUMIF('800-898'!$1:$1,BD$3,'800-898'!13:13)</f>
        <v>6916.47</v>
      </c>
      <c r="BE102" s="128">
        <f>SUMIF('800-898'!$1:$1,BE$3,'800-898'!13:13)</f>
        <v>850.19</v>
      </c>
      <c r="BF102" s="128">
        <f>SUMIF('800-898'!$1:$1,BF$3,'800-898'!13:13)</f>
        <v>111.6</v>
      </c>
      <c r="BG102" s="128">
        <f>SUMIF('800-898'!$1:$1,BG$3,'800-898'!13:13)</f>
        <v>4028.5</v>
      </c>
      <c r="BH102" s="128">
        <f>SUMIF('800-898'!$1:$1,BH$3,'800-898'!13:13)</f>
        <v>0</v>
      </c>
      <c r="BI102" s="128">
        <f>SUMIF('800-898'!$1:$1,BI$3,'800-898'!13:13)</f>
        <v>3827.73</v>
      </c>
      <c r="BJ102" s="128">
        <f>SUMIF('800-898'!$1:$1,BJ$3,'800-898'!13:13)</f>
        <v>6963.42</v>
      </c>
      <c r="BK102" s="128">
        <f>SUMIF('800-898'!$1:$1,BK$3,'800-898'!13:13)</f>
        <v>0</v>
      </c>
      <c r="BL102" s="128">
        <f>SUMIF('800-898'!$1:$1,BL$3,'800-898'!13:13)</f>
        <v>26544.660000000003</v>
      </c>
      <c r="BM102" s="128">
        <f>SUMIF('800-898'!$1:$1,BM$3,'800-898'!13:13)</f>
        <v>0</v>
      </c>
      <c r="BN102" s="128">
        <f>SUMIF('800-898'!$1:$1,BN$3,'800-898'!13:13)</f>
        <v>21609.64</v>
      </c>
      <c r="BO102" s="128">
        <f>SUMIF('800-898'!$1:$1,BO$3,'800-898'!13:13)</f>
        <v>18062.980000000003</v>
      </c>
      <c r="BP102" s="128">
        <f>SUMIF('800-898'!$1:$1,BP$3,'800-898'!13:13)</f>
        <v>0</v>
      </c>
      <c r="BQ102" s="128">
        <f>SUMIF('800-898'!$1:$1,BQ$3,'800-898'!13:13)</f>
        <v>0</v>
      </c>
      <c r="BR102" s="128">
        <f>SUMIF('800-898'!$1:$1,BR$3,'800-898'!13:13)</f>
        <v>0</v>
      </c>
      <c r="BS102" s="128">
        <f>SUMIF('800-898'!$1:$1,BS$3,'800-898'!13:13)</f>
        <v>0</v>
      </c>
      <c r="BT102" s="128">
        <f>SUMIF('800-898'!$1:$1,BT$3,'800-898'!13:13)</f>
        <v>0</v>
      </c>
      <c r="BU102" s="128">
        <f>SUMIF('800-898'!$1:$1,BU$3,'800-898'!13:13)</f>
        <v>-5406.25</v>
      </c>
      <c r="BV102" s="128">
        <f>SUMIF('800-898'!$1:$1,BV$3,'800-898'!13:13)</f>
        <v>0</v>
      </c>
      <c r="BW102" s="128">
        <f>SUMIF('800-898'!$1:$1,BW$3,'800-898'!13:13)</f>
        <v>0</v>
      </c>
      <c r="BX102" s="128">
        <f>SUMIF('800-898'!$1:$1,BX$3,'800-898'!13:13)</f>
        <v>0</v>
      </c>
      <c r="BY102" s="128">
        <f>SUMIF('800-898'!$1:$1,BY$3,'800-898'!13:13)</f>
        <v>4483.8099999999995</v>
      </c>
      <c r="BZ102" s="128">
        <f>SUMIF('800-898'!$1:$1,BZ$3,'800-898'!13:13)</f>
        <v>0</v>
      </c>
      <c r="CA102" s="314">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302">
        <f t="shared" si="34"/>
        <v>-64516.460000000341</v>
      </c>
      <c r="CJ102" s="122"/>
      <c r="CK102" s="169">
        <f>INDEX(SAP!C:C,MATCH('Actuals mapped to CFR'!A102,SAP!H:H,FALSE),1)</f>
        <v>-64516.46</v>
      </c>
      <c r="CL102" s="59">
        <f t="shared" si="33"/>
        <v>0</v>
      </c>
      <c r="CN102" s="81">
        <f t="shared" si="35"/>
        <v>996587.0700000003</v>
      </c>
      <c r="CO102" s="81">
        <f t="shared" si="36"/>
        <v>1019885.8699999996</v>
      </c>
      <c r="CP102" s="166">
        <f>VLOOKUP(B102,'2526 GBP Data input'!$A$4:$CA$230,38,FALSE)</f>
        <v>993114</v>
      </c>
      <c r="CQ102" s="166">
        <f>VLOOKUP(B102,'2526 GBP Data input'!$A$4:$CA$230,73,FALSE)</f>
        <v>15016</v>
      </c>
      <c r="CR102" s="89">
        <f t="shared" si="39"/>
        <v>3473.070000000298</v>
      </c>
      <c r="CS102" s="83">
        <f t="shared" si="40"/>
        <v>67.919943393713353</v>
      </c>
      <c r="CT102" s="82">
        <f t="shared" si="37"/>
        <v>59575.520000000717</v>
      </c>
      <c r="CU102" s="82">
        <f t="shared" si="38"/>
        <v>922.44000000000051</v>
      </c>
      <c r="CV102" s="86">
        <f t="shared" si="27"/>
        <v>60497.960000000719</v>
      </c>
    </row>
    <row r="103" spans="1:100">
      <c r="A103" s="238">
        <v>107829</v>
      </c>
      <c r="B103" s="60">
        <v>829</v>
      </c>
      <c r="C103" s="60" t="s">
        <v>274</v>
      </c>
      <c r="D103" s="128">
        <f>SUMIF('800-898'!$1:$1,D$3,'800-898'!14:14)</f>
        <v>-200036.32</v>
      </c>
      <c r="E103" s="128">
        <f>SUMIF('800-898'!$1:$1,E$3,'800-898'!14:14)</f>
        <v>-21956.21</v>
      </c>
      <c r="F103" s="128">
        <f>SUMIF('800-898'!$1:$1,F$3,'800-898'!14:14)</f>
        <v>0</v>
      </c>
      <c r="G103" s="128">
        <f>SUMIF('800-898'!$1:$1,G$3,'800-898'!14:14)</f>
        <v>-18965.099999999999</v>
      </c>
      <c r="H103" s="128">
        <f>SUMIF('800-898'!$1:$1,H$3,'800-898'!14:14)</f>
        <v>0</v>
      </c>
      <c r="I103" s="128">
        <f>SUMIF('800-898'!$1:$1,I$3,'800-898'!14:14)</f>
        <v>0</v>
      </c>
      <c r="J103" s="128">
        <f>SUMIF('800-898'!$1:$1,J$3,'800-898'!14:14)</f>
        <v>0</v>
      </c>
      <c r="K103" s="128">
        <f>SUMIF('800-898'!$1:$1,K$3,'800-898'!14:14)</f>
        <v>-617345.77</v>
      </c>
      <c r="L103" s="128">
        <f>SUMIF('800-898'!$1:$1,L$3,'800-898'!14:14)</f>
        <v>0</v>
      </c>
      <c r="M103" s="128">
        <f>SUMIF('800-898'!$1:$1,M$3,'800-898'!14:14)</f>
        <v>-39189</v>
      </c>
      <c r="N103" s="128">
        <f>SUMIF('800-898'!$1:$1,N$3,'800-898'!14:14)</f>
        <v>0</v>
      </c>
      <c r="O103" s="128">
        <f>SUMIF('800-898'!$1:$1,O$3,'800-898'!14:14)</f>
        <v>-15465</v>
      </c>
      <c r="P103" s="128">
        <f>SUMIF('800-898'!$1:$1,P$3,'800-898'!14:14)</f>
        <v>-29829</v>
      </c>
      <c r="Q103" s="128">
        <f>SUMIF('800-898'!$1:$1,Q$3,'800-898'!14:14)</f>
        <v>-766.42999999999984</v>
      </c>
      <c r="R103" s="128">
        <f>SUMIF('800-898'!$1:$1,R$3,'800-898'!14:14)</f>
        <v>0</v>
      </c>
      <c r="S103" s="128">
        <f>SUMIF('800-898'!$1:$1,S$3,'800-898'!14:14)</f>
        <v>-71369.41</v>
      </c>
      <c r="T103" s="128">
        <f>SUMIF('800-898'!$1:$1,T$3,'800-898'!14:14)</f>
        <v>1.34</v>
      </c>
      <c r="U103" s="128">
        <f>SUMIF('800-898'!$1:$1,U$3,'800-898'!14:14)</f>
        <v>0</v>
      </c>
      <c r="V103" s="128">
        <f>SUMIF('800-898'!$1:$1,V$3,'800-898'!14:14)</f>
        <v>0</v>
      </c>
      <c r="W103" s="128">
        <f>SUMIF('800-898'!$1:$1,W$3,'800-898'!14:14)</f>
        <v>-12612.500000000002</v>
      </c>
      <c r="X103" s="128">
        <f>SUMIF('800-898'!$1:$1,X$3,'800-898'!14:14)</f>
        <v>-377.06</v>
      </c>
      <c r="Y103" s="164">
        <f>SUMIF('800-898'!$1:$1,Y$3,'800-898'!14:14)</f>
        <v>0</v>
      </c>
      <c r="Z103" s="128">
        <f>SUMIF('800-898'!$1:$1,Z$3,'800-898'!14:14)</f>
        <v>0</v>
      </c>
      <c r="AA103" s="128">
        <f>SUMIF('800-898'!$1:$1,AA$3,'800-898'!14:14)</f>
        <v>-10106.109999999999</v>
      </c>
      <c r="AB103" s="128">
        <f>SUMIF('800-898'!$1:$1,AB$3,'800-898'!14:14)</f>
        <v>-1838.6600000000003</v>
      </c>
      <c r="AC103" s="314">
        <f>SUMIF('800-898'!$1:$1,AC$3,'800-898'!14:14)</f>
        <v>0</v>
      </c>
      <c r="AD103" s="314">
        <f>SUMIF('800-898'!$1:$1,AD$3,'800-898'!14:14)</f>
        <v>0</v>
      </c>
      <c r="AE103" s="314">
        <f>SUMIF('800-898'!$1:$1,AE$3,'800-898'!14:14)</f>
        <v>0</v>
      </c>
      <c r="AF103" s="314">
        <f>SUMIF('800-898'!$1:$1,AF$3,'800-898'!14:14)</f>
        <v>0</v>
      </c>
      <c r="AG103" s="128">
        <f>SUMIF('800-898'!$1:$1,AG$3,'800-898'!14:14)</f>
        <v>392880.44000000006</v>
      </c>
      <c r="AH103" s="128">
        <f>SUMIF('800-898'!$1:$1,AH$3,'800-898'!14:14)</f>
        <v>305.27</v>
      </c>
      <c r="AI103" s="128">
        <f>SUMIF('800-898'!$1:$1,AI$3,'800-898'!14:14)</f>
        <v>117635.87999999999</v>
      </c>
      <c r="AJ103" s="128">
        <f>SUMIF('800-898'!$1:$1,AJ$3,'800-898'!14:14)</f>
        <v>0</v>
      </c>
      <c r="AK103" s="128">
        <f>SUMIF('800-898'!$1:$1,AK$3,'800-898'!14:14)</f>
        <v>40048.749999999993</v>
      </c>
      <c r="AL103" s="128">
        <f>SUMIF('800-898'!$1:$1,AL$3,'800-898'!14:14)</f>
        <v>0</v>
      </c>
      <c r="AM103" s="128">
        <f>SUMIF('800-898'!$1:$1,AM$3,'800-898'!14:14)</f>
        <v>68100.579999999987</v>
      </c>
      <c r="AN103" s="128">
        <f>SUMIF('800-898'!$1:$1,AN$3,'800-898'!14:14)</f>
        <v>2310.44</v>
      </c>
      <c r="AO103" s="128">
        <f>SUMIF('800-898'!$1:$1,AO$3,'800-898'!14:14)</f>
        <v>1520.87</v>
      </c>
      <c r="AP103" s="128">
        <f>SUMIF('800-898'!$1:$1,AP$3,'800-898'!14:14)</f>
        <v>4415.8799999999992</v>
      </c>
      <c r="AQ103" s="128">
        <f>SUMIF('800-898'!$1:$1,AQ$3,'800-898'!14:14)</f>
        <v>0</v>
      </c>
      <c r="AR103" s="128">
        <f>SUMIF('800-898'!$1:$1,AR$3,'800-898'!14:14)</f>
        <v>11771.330000000002</v>
      </c>
      <c r="AS103" s="128">
        <f>SUMIF('800-898'!$1:$1,AS$3,'800-898'!14:14)</f>
        <v>4156.7700000000004</v>
      </c>
      <c r="AT103" s="128">
        <f>SUMIF('800-898'!$1:$1,AT$3,'800-898'!14:14)</f>
        <v>20927.48</v>
      </c>
      <c r="AU103" s="128">
        <f>SUMIF('800-898'!$1:$1,AU$3,'800-898'!14:14)</f>
        <v>2403.1800000000003</v>
      </c>
      <c r="AV103" s="128">
        <f>SUMIF('800-898'!$1:$1,AV$3,'800-898'!14:14)</f>
        <v>9421.4399999999987</v>
      </c>
      <c r="AW103" s="128">
        <f>SUMIF('800-898'!$1:$1,AW$3,'800-898'!14:14)</f>
        <v>14595.75</v>
      </c>
      <c r="AX103" s="128">
        <f>SUMIF('800-898'!$1:$1,AX$3,'800-898'!14:14)</f>
        <v>3084.5700000000006</v>
      </c>
      <c r="AY103" s="128">
        <f>SUMIF('800-898'!$1:$1,AY$3,'800-898'!14:14)</f>
        <v>29259.07</v>
      </c>
      <c r="AZ103" s="314">
        <f>SUMIF('800-898'!$1:$1,AZ$3,'800-898'!14:14)</f>
        <v>0</v>
      </c>
      <c r="BA103" s="128">
        <f>SUMIF('800-898'!$1:$1,BA$3,'800-898'!14:14)</f>
        <v>0</v>
      </c>
      <c r="BB103" s="128">
        <f>SUMIF('800-898'!$1:$1,BB$3,'800-898'!14:14)</f>
        <v>809.99</v>
      </c>
      <c r="BC103" s="128">
        <f>SUMIF('800-898'!$1:$1,BC$3,'800-898'!14:14)</f>
        <v>0</v>
      </c>
      <c r="BD103" s="128">
        <f>SUMIF('800-898'!$1:$1,BD$3,'800-898'!14:14)</f>
        <v>0</v>
      </c>
      <c r="BE103" s="128">
        <f>SUMIF('800-898'!$1:$1,BE$3,'800-898'!14:14)</f>
        <v>810.49</v>
      </c>
      <c r="BF103" s="128">
        <f>SUMIF('800-898'!$1:$1,BF$3,'800-898'!14:14)</f>
        <v>979.48</v>
      </c>
      <c r="BG103" s="128">
        <f>SUMIF('800-898'!$1:$1,BG$3,'800-898'!14:14)</f>
        <v>3369.6</v>
      </c>
      <c r="BH103" s="128">
        <f>SUMIF('800-898'!$1:$1,BH$3,'800-898'!14:14)</f>
        <v>0</v>
      </c>
      <c r="BI103" s="128">
        <f>SUMIF('800-898'!$1:$1,BI$3,'800-898'!14:14)</f>
        <v>4464.8799999999992</v>
      </c>
      <c r="BJ103" s="128">
        <f>SUMIF('800-898'!$1:$1,BJ$3,'800-898'!14:14)</f>
        <v>5020.1399999999994</v>
      </c>
      <c r="BK103" s="128">
        <f>SUMIF('800-898'!$1:$1,BK$3,'800-898'!14:14)</f>
        <v>0</v>
      </c>
      <c r="BL103" s="128">
        <f>SUMIF('800-898'!$1:$1,BL$3,'800-898'!14:14)</f>
        <v>18855.090000000004</v>
      </c>
      <c r="BM103" s="128">
        <f>SUMIF('800-898'!$1:$1,BM$3,'800-898'!14:14)</f>
        <v>1972.5</v>
      </c>
      <c r="BN103" s="128">
        <f>SUMIF('800-898'!$1:$1,BN$3,'800-898'!14:14)</f>
        <v>11665.599999999999</v>
      </c>
      <c r="BO103" s="128">
        <f>SUMIF('800-898'!$1:$1,BO$3,'800-898'!14:14)</f>
        <v>16664.18</v>
      </c>
      <c r="BP103" s="128">
        <f>SUMIF('800-898'!$1:$1,BP$3,'800-898'!14:14)</f>
        <v>0</v>
      </c>
      <c r="BQ103" s="128">
        <f>SUMIF('800-898'!$1:$1,BQ$3,'800-898'!14:14)</f>
        <v>0</v>
      </c>
      <c r="BR103" s="128">
        <f>SUMIF('800-898'!$1:$1,BR$3,'800-898'!14:14)</f>
        <v>0</v>
      </c>
      <c r="BS103" s="128">
        <f>SUMIF('800-898'!$1:$1,BS$3,'800-898'!14:14)</f>
        <v>0</v>
      </c>
      <c r="BT103" s="128">
        <f>SUMIF('800-898'!$1:$1,BT$3,'800-898'!14:14)</f>
        <v>1883.4</v>
      </c>
      <c r="BU103" s="128">
        <f>SUMIF('800-898'!$1:$1,BU$3,'800-898'!14:14)</f>
        <v>-5113.75</v>
      </c>
      <c r="BV103" s="128">
        <f>SUMIF('800-898'!$1:$1,BV$3,'800-898'!14:14)</f>
        <v>0</v>
      </c>
      <c r="BW103" s="128">
        <f>SUMIF('800-898'!$1:$1,BW$3,'800-898'!14:14)</f>
        <v>0</v>
      </c>
      <c r="BX103" s="128">
        <f>SUMIF('800-898'!$1:$1,BX$3,'800-898'!14:14)</f>
        <v>0</v>
      </c>
      <c r="BY103" s="128">
        <f>SUMIF('800-898'!$1:$1,BY$3,'800-898'!14:14)</f>
        <v>20118.36</v>
      </c>
      <c r="BZ103" s="128">
        <f>SUMIF('800-898'!$1:$1,BZ$3,'800-898'!14:14)</f>
        <v>0</v>
      </c>
      <c r="CA103" s="314">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302">
        <f t="shared" si="34"/>
        <v>-235517.57000000018</v>
      </c>
      <c r="CJ103" s="122"/>
      <c r="CK103" s="169">
        <f>INDEX(SAP!C:C,MATCH('Actuals mapped to CFR'!A103,SAP!H:H,FALSE),1)</f>
        <v>-235517.57</v>
      </c>
      <c r="CL103" s="59">
        <f t="shared" ref="CL103" si="41">ROUND(CK103-CG103,2)</f>
        <v>0</v>
      </c>
      <c r="CN103" s="81">
        <f t="shared" si="35"/>
        <v>798897.60000000021</v>
      </c>
      <c r="CO103" s="81">
        <f t="shared" si="36"/>
        <v>789333.04999999981</v>
      </c>
      <c r="CP103" s="166">
        <f>VLOOKUP(B103,'2526 GBP Data input'!$A$4:$CA$230,38,FALSE)</f>
        <v>743490</v>
      </c>
      <c r="CQ103" s="166">
        <f>VLOOKUP(B103,'2526 GBP Data input'!$A$4:$CA$230,73,FALSE)</f>
        <v>13349</v>
      </c>
      <c r="CR103" s="89">
        <f t="shared" ref="CR103" si="42">CN103-CP103</f>
        <v>55407.60000000021</v>
      </c>
      <c r="CS103" s="83">
        <f t="shared" ref="CS103" si="43">CO103/CQ103</f>
        <v>59.13050041201587</v>
      </c>
      <c r="CT103" s="82">
        <f t="shared" si="37"/>
        <v>209600.87000000034</v>
      </c>
      <c r="CU103" s="82">
        <f t="shared" si="38"/>
        <v>3960.489999999998</v>
      </c>
      <c r="CV103" s="86">
        <f t="shared" si="27"/>
        <v>213561.36000000034</v>
      </c>
    </row>
    <row r="104" spans="1:100">
      <c r="A104" s="305">
        <v>107830</v>
      </c>
      <c r="B104" s="306">
        <v>830</v>
      </c>
      <c r="C104" s="239" t="s">
        <v>725</v>
      </c>
      <c r="D104" s="128">
        <f>SUMIF('800-898'!$1:$1,D$3,'800-898'!15:15)</f>
        <v>0</v>
      </c>
      <c r="E104" s="128">
        <f>SUMIF('800-898'!$1:$1,E$3,'800-898'!15:15)</f>
        <v>-2386.73</v>
      </c>
      <c r="F104" s="128">
        <f>SUMIF('800-898'!$1:$1,F$3,'800-898'!15:15)</f>
        <v>31007.71</v>
      </c>
      <c r="G104" s="128">
        <f>SUMIF('800-898'!$1:$1,G$3,'800-898'!15:15)</f>
        <v>-17330.98</v>
      </c>
      <c r="H104" s="128">
        <f>SUMIF('800-898'!$1:$1,H$3,'800-898'!15:15)</f>
        <v>0</v>
      </c>
      <c r="I104" s="128">
        <f>SUMIF('800-898'!$1:$1,I$3,'800-898'!15:15)</f>
        <v>0</v>
      </c>
      <c r="J104" s="128">
        <f>SUMIF('800-898'!$1:$1,J$3,'800-898'!15:15)</f>
        <v>18219.54</v>
      </c>
      <c r="K104" s="128">
        <f>SUMIF('800-898'!$1:$1,K$3,'800-898'!15:15)</f>
        <v>-1026508.3</v>
      </c>
      <c r="L104" s="128">
        <f>SUMIF('800-898'!$1:$1,L$3,'800-898'!15:15)</f>
        <v>0</v>
      </c>
      <c r="M104" s="128">
        <f>SUMIF('800-898'!$1:$1,M$3,'800-898'!15:15)</f>
        <v>-149457</v>
      </c>
      <c r="N104" s="128">
        <f>SUMIF('800-898'!$1:$1,N$3,'800-898'!15:15)</f>
        <v>0</v>
      </c>
      <c r="O104" s="128">
        <f>SUMIF('800-898'!$1:$1,O$3,'800-898'!15:15)</f>
        <v>-47515</v>
      </c>
      <c r="P104" s="128">
        <f>SUMIF('800-898'!$1:$1,P$3,'800-898'!15:15)</f>
        <v>-52181</v>
      </c>
      <c r="Q104" s="128">
        <f>SUMIF('800-898'!$1:$1,Q$3,'800-898'!15:15)</f>
        <v>-2016</v>
      </c>
      <c r="R104" s="128">
        <f>SUMIF('800-898'!$1:$1,R$3,'800-898'!15:15)</f>
        <v>-500</v>
      </c>
      <c r="S104" s="128">
        <f>SUMIF('800-898'!$1:$1,S$3,'800-898'!15:15)</f>
        <v>-43816.899999999987</v>
      </c>
      <c r="T104" s="128">
        <f>SUMIF('800-898'!$1:$1,T$3,'800-898'!15:15)</f>
        <v>-8642.19</v>
      </c>
      <c r="U104" s="128">
        <f>SUMIF('800-898'!$1:$1,U$3,'800-898'!15:15)</f>
        <v>-192</v>
      </c>
      <c r="V104" s="128">
        <f>SUMIF('800-898'!$1:$1,V$3,'800-898'!15:15)</f>
        <v>-1287.5999999999999</v>
      </c>
      <c r="W104" s="128">
        <f>SUMIF('800-898'!$1:$1,W$3,'800-898'!15:15)</f>
        <v>-24161.579999999998</v>
      </c>
      <c r="X104" s="128">
        <f>SUMIF('800-898'!$1:$1,X$3,'800-898'!15:15)</f>
        <v>-1250</v>
      </c>
      <c r="Y104" s="164">
        <f>SUMIF('800-898'!$1:$1,Y$3,'800-898'!15:15)</f>
        <v>0</v>
      </c>
      <c r="Z104" s="128">
        <f>SUMIF('800-898'!$1:$1,Z$3,'800-898'!15:15)</f>
        <v>0</v>
      </c>
      <c r="AA104" s="128">
        <f>SUMIF('800-898'!$1:$1,AA$3,'800-898'!15:15)</f>
        <v>-93793.43</v>
      </c>
      <c r="AB104" s="128">
        <f>SUMIF('800-898'!$1:$1,AB$3,'800-898'!15:15)</f>
        <v>-952.5</v>
      </c>
      <c r="AC104" s="314">
        <f>SUMIF('800-898'!$1:$1,AC$3,'800-898'!15:15)</f>
        <v>0</v>
      </c>
      <c r="AD104" s="314">
        <f>SUMIF('800-898'!$1:$1,AD$3,'800-898'!15:15)</f>
        <v>0</v>
      </c>
      <c r="AE104" s="314">
        <f>SUMIF('800-898'!$1:$1,AE$3,'800-898'!15:15)</f>
        <v>0</v>
      </c>
      <c r="AF104" s="314">
        <f>SUMIF('800-898'!$1:$1,AF$3,'800-898'!15:15)</f>
        <v>0</v>
      </c>
      <c r="AG104" s="128">
        <f>SUMIF('800-898'!$1:$1,AG$3,'800-898'!15:15)</f>
        <v>674052.3</v>
      </c>
      <c r="AH104" s="128">
        <f>SUMIF('800-898'!$1:$1,AH$3,'800-898'!15:15)</f>
        <v>35143.509999999995</v>
      </c>
      <c r="AI104" s="128">
        <f>SUMIF('800-898'!$1:$1,AI$3,'800-898'!15:15)</f>
        <v>199818.99000000002</v>
      </c>
      <c r="AJ104" s="128">
        <f>SUMIF('800-898'!$1:$1,AJ$3,'800-898'!15:15)</f>
        <v>32371.679999999997</v>
      </c>
      <c r="AK104" s="128">
        <f>SUMIF('800-898'!$1:$1,AK$3,'800-898'!15:15)</f>
        <v>76782.039999999994</v>
      </c>
      <c r="AL104" s="128">
        <f>SUMIF('800-898'!$1:$1,AL$3,'800-898'!15:15)</f>
        <v>43199.64</v>
      </c>
      <c r="AM104" s="128">
        <f>SUMIF('800-898'!$1:$1,AM$3,'800-898'!15:15)</f>
        <v>54282.97</v>
      </c>
      <c r="AN104" s="128">
        <f>SUMIF('800-898'!$1:$1,AN$3,'800-898'!15:15)</f>
        <v>0</v>
      </c>
      <c r="AO104" s="128">
        <f>SUMIF('800-898'!$1:$1,AO$3,'800-898'!15:15)</f>
        <v>2690.5</v>
      </c>
      <c r="AP104" s="128">
        <f>SUMIF('800-898'!$1:$1,AP$3,'800-898'!15:15)</f>
        <v>18412.629999999997</v>
      </c>
      <c r="AQ104" s="128">
        <f>SUMIF('800-898'!$1:$1,AQ$3,'800-898'!15:15)</f>
        <v>2092.3000000000002</v>
      </c>
      <c r="AR104" s="128">
        <f>SUMIF('800-898'!$1:$1,AR$3,'800-898'!15:15)</f>
        <v>6244.869999999999</v>
      </c>
      <c r="AS104" s="128">
        <f>SUMIF('800-898'!$1:$1,AS$3,'800-898'!15:15)</f>
        <v>6136.6299999999992</v>
      </c>
      <c r="AT104" s="128">
        <f>SUMIF('800-898'!$1:$1,AT$3,'800-898'!15:15)</f>
        <v>2702.8600000000006</v>
      </c>
      <c r="AU104" s="128">
        <f>SUMIF('800-898'!$1:$1,AU$3,'800-898'!15:15)</f>
        <v>5147.55</v>
      </c>
      <c r="AV104" s="128">
        <f>SUMIF('800-898'!$1:$1,AV$3,'800-898'!15:15)</f>
        <v>39153</v>
      </c>
      <c r="AW104" s="128">
        <f>SUMIF('800-898'!$1:$1,AW$3,'800-898'!15:15)</f>
        <v>4441.1000000000004</v>
      </c>
      <c r="AX104" s="128">
        <f>SUMIF('800-898'!$1:$1,AX$3,'800-898'!15:15)</f>
        <v>3320.8900000000003</v>
      </c>
      <c r="AY104" s="128">
        <f>SUMIF('800-898'!$1:$1,AY$3,'800-898'!15:15)</f>
        <v>66652.97</v>
      </c>
      <c r="AZ104" s="314">
        <f>SUMIF('800-898'!$1:$1,AZ$3,'800-898'!15:15)</f>
        <v>0</v>
      </c>
      <c r="BA104" s="128">
        <f>SUMIF('800-898'!$1:$1,BA$3,'800-898'!15:15)</f>
        <v>4510.16</v>
      </c>
      <c r="BB104" s="128">
        <f>SUMIF('800-898'!$1:$1,BB$3,'800-898'!15:15)</f>
        <v>0</v>
      </c>
      <c r="BC104" s="128">
        <f>SUMIF('800-898'!$1:$1,BC$3,'800-898'!15:15)</f>
        <v>0</v>
      </c>
      <c r="BD104" s="128">
        <f>SUMIF('800-898'!$1:$1,BD$3,'800-898'!15:15)</f>
        <v>0</v>
      </c>
      <c r="BE104" s="128">
        <f>SUMIF('800-898'!$1:$1,BE$3,'800-898'!15:15)</f>
        <v>861</v>
      </c>
      <c r="BF104" s="128">
        <f>SUMIF('800-898'!$1:$1,BF$3,'800-898'!15:15)</f>
        <v>0</v>
      </c>
      <c r="BG104" s="128">
        <f>SUMIF('800-898'!$1:$1,BG$3,'800-898'!15:15)</f>
        <v>5204.1000000000004</v>
      </c>
      <c r="BH104" s="128">
        <f>SUMIF('800-898'!$1:$1,BH$3,'800-898'!15:15)</f>
        <v>0</v>
      </c>
      <c r="BI104" s="128">
        <f>SUMIF('800-898'!$1:$1,BI$3,'800-898'!15:15)</f>
        <v>15615.61</v>
      </c>
      <c r="BJ104" s="128">
        <f>SUMIF('800-898'!$1:$1,BJ$3,'800-898'!15:15)</f>
        <v>10682.02</v>
      </c>
      <c r="BK104" s="128">
        <f>SUMIF('800-898'!$1:$1,BK$3,'800-898'!15:15)</f>
        <v>0</v>
      </c>
      <c r="BL104" s="128">
        <f>SUMIF('800-898'!$1:$1,BL$3,'800-898'!15:15)</f>
        <v>13194.330000000011</v>
      </c>
      <c r="BM104" s="128">
        <f>SUMIF('800-898'!$1:$1,BM$3,'800-898'!15:15)</f>
        <v>19352.73</v>
      </c>
      <c r="BN104" s="128">
        <f>SUMIF('800-898'!$1:$1,BN$3,'800-898'!15:15)</f>
        <v>83269.450000000012</v>
      </c>
      <c r="BO104" s="128">
        <f>SUMIF('800-898'!$1:$1,BO$3,'800-898'!15:15)</f>
        <v>52471.360000000008</v>
      </c>
      <c r="BP104" s="128">
        <f>SUMIF('800-898'!$1:$1,BP$3,'800-898'!15:15)</f>
        <v>0</v>
      </c>
      <c r="BQ104" s="128">
        <f>SUMIF('800-898'!$1:$1,BQ$3,'800-898'!15:15)</f>
        <v>0</v>
      </c>
      <c r="BR104" s="128">
        <f>SUMIF('800-898'!$1:$1,BR$3,'800-898'!15:15)</f>
        <v>0</v>
      </c>
      <c r="BS104" s="128">
        <f>SUMIF('800-898'!$1:$1,BS$3,'800-898'!15:15)</f>
        <v>83433.49000000002</v>
      </c>
      <c r="BT104" s="128">
        <f>SUMIF('800-898'!$1:$1,BT$3,'800-898'!15:15)</f>
        <v>6639.18</v>
      </c>
      <c r="BU104" s="128">
        <f>SUMIF('800-898'!$1:$1,BU$3,'800-898'!15:15)</f>
        <v>-6351.25</v>
      </c>
      <c r="BV104" s="128">
        <f>SUMIF('800-898'!$1:$1,BV$3,'800-898'!15:15)</f>
        <v>0</v>
      </c>
      <c r="BW104" s="128">
        <f>SUMIF('800-898'!$1:$1,BW$3,'800-898'!15:15)</f>
        <v>0</v>
      </c>
      <c r="BX104" s="128">
        <f>SUMIF('800-898'!$1:$1,BX$3,'800-898'!15:15)</f>
        <v>0</v>
      </c>
      <c r="BY104" s="128">
        <f>SUMIF('800-898'!$1:$1,BY$3,'800-898'!15:15)</f>
        <v>6791.76</v>
      </c>
      <c r="BZ104" s="128">
        <f>SUMIF('800-898'!$1:$1,BZ$3,'800-898'!15:15)</f>
        <v>0</v>
      </c>
      <c r="CA104" s="314">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302">
        <f t="shared" si="34"/>
        <v>145556.41000000009</v>
      </c>
      <c r="CJ104" s="122"/>
      <c r="CK104" s="169">
        <f>INDEX(SAP!C:C,MATCH('Actuals mapped to CFR'!A104,SAP!H:H,FALSE),1)</f>
        <v>145556.41</v>
      </c>
      <c r="CL104" s="59">
        <f t="shared" si="33"/>
        <v>0</v>
      </c>
      <c r="CN104" s="81">
        <f t="shared" si="35"/>
        <v>1452273.5</v>
      </c>
      <c r="CO104" s="81">
        <f t="shared" si="36"/>
        <v>1567879.8600000003</v>
      </c>
      <c r="CP104" s="166">
        <f>VLOOKUP(B104,'2526 GBP Data input'!$A$4:$CA$230,38,FALSE)</f>
        <v>1321066</v>
      </c>
      <c r="CQ104" s="166">
        <f>VLOOKUP(B104,'2526 GBP Data input'!$A$4:$CA$230,73,FALSE)</f>
        <v>21722</v>
      </c>
      <c r="CR104" s="89">
        <f t="shared" si="39"/>
        <v>131207.5</v>
      </c>
      <c r="CS104" s="83">
        <f t="shared" si="40"/>
        <v>72.179350888500153</v>
      </c>
      <c r="CT104" s="82">
        <f t="shared" si="37"/>
        <v>-146614.0700000003</v>
      </c>
      <c r="CU104" s="82">
        <f t="shared" si="38"/>
        <v>16890.47</v>
      </c>
      <c r="CV104" s="86">
        <f t="shared" ref="CV104:CV135" si="44">SUM(CT104:CU104)</f>
        <v>-129723.6000000003</v>
      </c>
    </row>
    <row r="105" spans="1:100" s="350" customFormat="1">
      <c r="A105" s="344">
        <v>107837</v>
      </c>
      <c r="B105" s="345">
        <v>837</v>
      </c>
      <c r="C105" s="345" t="s">
        <v>273</v>
      </c>
      <c r="D105" s="360">
        <f>SUMIF('800-898'!$1:$1,D$3,'800-898'!16:16)</f>
        <v>-36057</v>
      </c>
      <c r="E105" s="360">
        <f>SUMIF('800-898'!$1:$1,E$3,'800-898'!16:16)</f>
        <v>-8601.84</v>
      </c>
      <c r="F105" s="360">
        <f>SUMIF('800-898'!$1:$1,F$3,'800-898'!16:16)</f>
        <v>0</v>
      </c>
      <c r="G105" s="360">
        <f>SUMIF('800-898'!$1:$1,G$3,'800-898'!16:16)</f>
        <v>-31009.439999999999</v>
      </c>
      <c r="H105" s="360">
        <f>SUMIF('800-898'!$1:$1,H$3,'800-898'!16:16)</f>
        <v>0</v>
      </c>
      <c r="I105" s="360">
        <f>SUMIF('800-898'!$1:$1,I$3,'800-898'!16:16)</f>
        <v>0</v>
      </c>
      <c r="J105" s="360">
        <f>SUMIF('800-898'!$1:$1,J$3,'800-898'!16:16)</f>
        <v>-3889.39</v>
      </c>
      <c r="K105" s="360">
        <f>SUMIF('800-898'!$1:$1,K$3,'800-898'!16:16)</f>
        <v>-426915.2</v>
      </c>
      <c r="L105" s="360">
        <f>SUMIF('800-898'!$1:$1,L$3,'800-898'!16:16)</f>
        <v>0</v>
      </c>
      <c r="M105" s="360">
        <f>SUMIF('800-898'!$1:$1,M$3,'800-898'!16:16)</f>
        <v>-2175</v>
      </c>
      <c r="N105" s="360">
        <f>SUMIF('800-898'!$1:$1,N$3,'800-898'!16:16)</f>
        <v>0</v>
      </c>
      <c r="O105" s="360">
        <f>SUMIF('800-898'!$1:$1,O$3,'800-898'!16:16)</f>
        <v>-4895</v>
      </c>
      <c r="P105" s="360">
        <f>SUMIF('800-898'!$1:$1,P$3,'800-898'!16:16)</f>
        <v>-21903</v>
      </c>
      <c r="Q105" s="360">
        <f>SUMIF('800-898'!$1:$1,Q$3,'800-898'!16:16)</f>
        <v>0</v>
      </c>
      <c r="R105" s="360">
        <f>SUMIF('800-898'!$1:$1,R$3,'800-898'!16:16)</f>
        <v>0</v>
      </c>
      <c r="S105" s="360">
        <f>SUMIF('800-898'!$1:$1,S$3,'800-898'!16:16)</f>
        <v>-8566.82</v>
      </c>
      <c r="T105" s="360">
        <f>SUMIF('800-898'!$1:$1,T$3,'800-898'!16:16)</f>
        <v>0</v>
      </c>
      <c r="U105" s="360">
        <f>SUMIF('800-898'!$1:$1,U$3,'800-898'!16:16)</f>
        <v>-1683</v>
      </c>
      <c r="V105" s="360">
        <f>SUMIF('800-898'!$1:$1,V$3,'800-898'!16:16)</f>
        <v>0</v>
      </c>
      <c r="W105" s="360">
        <f>SUMIF('800-898'!$1:$1,W$3,'800-898'!16:16)</f>
        <v>-2857.11</v>
      </c>
      <c r="X105" s="360">
        <f>SUMIF('800-898'!$1:$1,X$3,'800-898'!16:16)</f>
        <v>0</v>
      </c>
      <c r="Y105" s="360">
        <f>SUMIF('800-898'!$1:$1,Y$3,'800-898'!16:16)</f>
        <v>0</v>
      </c>
      <c r="Z105" s="360">
        <f>SUMIF('800-898'!$1:$1,Z$3,'800-898'!16:16)</f>
        <v>0</v>
      </c>
      <c r="AA105" s="360">
        <f>SUMIF('800-898'!$1:$1,AA$3,'800-898'!16:16)</f>
        <v>-4174.12</v>
      </c>
      <c r="AB105" s="360">
        <f>SUMIF('800-898'!$1:$1,AB$3,'800-898'!16:16)</f>
        <v>-326.66999999999996</v>
      </c>
      <c r="AC105" s="314">
        <f>SUMIF('800-898'!$1:$1,AC$3,'800-898'!16:16)</f>
        <v>0</v>
      </c>
      <c r="AD105" s="314">
        <f>SUMIF('800-898'!$1:$1,AD$3,'800-898'!16:16)</f>
        <v>0</v>
      </c>
      <c r="AE105" s="314">
        <f>SUMIF('800-898'!$1:$1,AE$3,'800-898'!16:16)</f>
        <v>0</v>
      </c>
      <c r="AF105" s="314">
        <f>SUMIF('800-898'!$1:$1,AF$3,'800-898'!16:16)</f>
        <v>0</v>
      </c>
      <c r="AG105" s="360">
        <f>SUMIF('800-898'!$1:$1,AG$3,'800-898'!16:16)</f>
        <v>209213.74999999997</v>
      </c>
      <c r="AH105" s="360">
        <f>SUMIF('800-898'!$1:$1,AH$3,'800-898'!16:16)</f>
        <v>8292.51</v>
      </c>
      <c r="AI105" s="360">
        <f>SUMIF('800-898'!$1:$1,AI$3,'800-898'!16:16)</f>
        <v>66588.95</v>
      </c>
      <c r="AJ105" s="360">
        <f>SUMIF('800-898'!$1:$1,AJ$3,'800-898'!16:16)</f>
        <v>9747.4900000000016</v>
      </c>
      <c r="AK105" s="360">
        <f>SUMIF('800-898'!$1:$1,AK$3,'800-898'!16:16)</f>
        <v>41840.400000000001</v>
      </c>
      <c r="AL105" s="360">
        <f>SUMIF('800-898'!$1:$1,AL$3,'800-898'!16:16)</f>
        <v>0</v>
      </c>
      <c r="AM105" s="360">
        <f>SUMIF('800-898'!$1:$1,AM$3,'800-898'!16:16)</f>
        <v>7119.5999999999995</v>
      </c>
      <c r="AN105" s="360">
        <f>SUMIF('800-898'!$1:$1,AN$3,'800-898'!16:16)</f>
        <v>1576.6899999999998</v>
      </c>
      <c r="AO105" s="360">
        <f>SUMIF('800-898'!$1:$1,AO$3,'800-898'!16:16)</f>
        <v>385.23000000000013</v>
      </c>
      <c r="AP105" s="360">
        <f>SUMIF('800-898'!$1:$1,AP$3,'800-898'!16:16)</f>
        <v>4805.29</v>
      </c>
      <c r="AQ105" s="360">
        <f>SUMIF('800-898'!$1:$1,AQ$3,'800-898'!16:16)</f>
        <v>0</v>
      </c>
      <c r="AR105" s="360">
        <f>SUMIF('800-898'!$1:$1,AR$3,'800-898'!16:16)</f>
        <v>2881.3</v>
      </c>
      <c r="AS105" s="360">
        <f>SUMIF('800-898'!$1:$1,AS$3,'800-898'!16:16)</f>
        <v>2033.12</v>
      </c>
      <c r="AT105" s="360">
        <f>SUMIF('800-898'!$1:$1,AT$3,'800-898'!16:16)</f>
        <v>2323.0000000000005</v>
      </c>
      <c r="AU105" s="360">
        <f>SUMIF('800-898'!$1:$1,AU$3,'800-898'!16:16)</f>
        <v>532.41000000000008</v>
      </c>
      <c r="AV105" s="360">
        <f>SUMIF('800-898'!$1:$1,AV$3,'800-898'!16:16)</f>
        <v>4283.8</v>
      </c>
      <c r="AW105" s="360">
        <f>SUMIF('800-898'!$1:$1,AW$3,'800-898'!16:16)</f>
        <v>8108.75</v>
      </c>
      <c r="AX105" s="360">
        <f>SUMIF('800-898'!$1:$1,AX$3,'800-898'!16:16)</f>
        <v>11691.07</v>
      </c>
      <c r="AY105" s="360">
        <f>SUMIF('800-898'!$1:$1,AY$3,'800-898'!16:16)</f>
        <v>9684.3200000000033</v>
      </c>
      <c r="AZ105" s="360">
        <f>SUMIF('800-898'!$1:$1,AZ$3,'800-898'!16:16)</f>
        <v>0</v>
      </c>
      <c r="BA105" s="360">
        <f>SUMIF('800-898'!$1:$1,BA$3,'800-898'!16:16)</f>
        <v>1687.56</v>
      </c>
      <c r="BB105" s="360">
        <f>SUMIF('800-898'!$1:$1,BB$3,'800-898'!16:16)</f>
        <v>1053.48</v>
      </c>
      <c r="BC105" s="360">
        <f>SUMIF('800-898'!$1:$1,BC$3,'800-898'!16:16)</f>
        <v>3160.9999999999995</v>
      </c>
      <c r="BD105" s="360">
        <f>SUMIF('800-898'!$1:$1,BD$3,'800-898'!16:16)</f>
        <v>3511.6800000000003</v>
      </c>
      <c r="BE105" s="360">
        <f>SUMIF('800-898'!$1:$1,BE$3,'800-898'!16:16)</f>
        <v>2144.88</v>
      </c>
      <c r="BF105" s="360">
        <f>SUMIF('800-898'!$1:$1,BF$3,'800-898'!16:16)</f>
        <v>5726.3200000000006</v>
      </c>
      <c r="BG105" s="360">
        <f>SUMIF('800-898'!$1:$1,BG$3,'800-898'!16:16)</f>
        <v>3290</v>
      </c>
      <c r="BH105" s="360">
        <f>SUMIF('800-898'!$1:$1,BH$3,'800-898'!16:16)</f>
        <v>0</v>
      </c>
      <c r="BI105" s="360">
        <f>SUMIF('800-898'!$1:$1,BI$3,'800-898'!16:16)</f>
        <v>1785.94</v>
      </c>
      <c r="BJ105" s="360">
        <f>SUMIF('800-898'!$1:$1,BJ$3,'800-898'!16:16)</f>
        <v>2051.2399999999998</v>
      </c>
      <c r="BK105" s="360">
        <f>SUMIF('800-898'!$1:$1,BK$3,'800-898'!16:16)</f>
        <v>0</v>
      </c>
      <c r="BL105" s="360">
        <f>SUMIF('800-898'!$1:$1,BL$3,'800-898'!16:16)</f>
        <v>9340.41</v>
      </c>
      <c r="BM105" s="360">
        <f>SUMIF('800-898'!$1:$1,BM$3,'800-898'!16:16)</f>
        <v>4724</v>
      </c>
      <c r="BN105" s="360">
        <f>SUMIF('800-898'!$1:$1,BN$3,'800-898'!16:16)</f>
        <v>3340</v>
      </c>
      <c r="BO105" s="360">
        <f>SUMIF('800-898'!$1:$1,BO$3,'800-898'!16:16)</f>
        <v>15204.960000000003</v>
      </c>
      <c r="BP105" s="360">
        <f>SUMIF('800-898'!$1:$1,BP$3,'800-898'!16:16)</f>
        <v>0</v>
      </c>
      <c r="BQ105" s="360">
        <f>SUMIF('800-898'!$1:$1,BQ$3,'800-898'!16:16)</f>
        <v>0</v>
      </c>
      <c r="BR105" s="360">
        <f>SUMIF('800-898'!$1:$1,BR$3,'800-898'!16:16)</f>
        <v>0</v>
      </c>
      <c r="BS105" s="360">
        <f>SUMIF('800-898'!$1:$1,BS$3,'800-898'!16:16)</f>
        <v>9448.61</v>
      </c>
      <c r="BT105" s="360">
        <f>SUMIF('800-898'!$1:$1,BT$3,'800-898'!16:16)</f>
        <v>0</v>
      </c>
      <c r="BU105" s="360">
        <f>SUMIF('800-898'!$1:$1,BU$3,'800-898'!16:16)</f>
        <v>-4466.88</v>
      </c>
      <c r="BV105" s="360">
        <f>SUMIF('800-898'!$1:$1,BV$3,'800-898'!16:16)</f>
        <v>0</v>
      </c>
      <c r="BW105" s="360">
        <f>SUMIF('800-898'!$1:$1,BW$3,'800-898'!16:16)</f>
        <v>0</v>
      </c>
      <c r="BX105" s="360">
        <f>SUMIF('800-898'!$1:$1,BX$3,'800-898'!16:16)</f>
        <v>0</v>
      </c>
      <c r="BY105" s="360">
        <f>SUMIF('800-898'!$1:$1,BY$3,'800-898'!16:16)</f>
        <v>6184.51</v>
      </c>
      <c r="BZ105" s="360">
        <f>SUMIF('800-898'!$1:$1,BZ$3,'800-898'!16:16)</f>
        <v>0</v>
      </c>
      <c r="CA105" s="360">
        <f>SUMIF('800-898'!$1:$1,CA$3,'800-898'!16:16)</f>
        <v>0</v>
      </c>
      <c r="CB105" s="360">
        <f>SUMIF('800-898'!$1:$1,CB$3,'800-898'!16:16)</f>
        <v>0</v>
      </c>
      <c r="CC105" s="360">
        <f>SUMIF('800-898'!$1:$1,CC$3,'800-898'!16:16)</f>
        <v>0</v>
      </c>
      <c r="CD105" s="360">
        <f>SUMIF('800-898'!$1:$1,CD$3,'800-898'!16:16)</f>
        <v>0</v>
      </c>
      <c r="CE105" s="360">
        <f>SUMIF('800-898'!$1:$1,CE$3,'800-898'!16:16)</f>
        <v>-428</v>
      </c>
      <c r="CF105" s="360">
        <f>SUMIF('800-898'!$1:$1,CF$3,'800-898'!16:16)</f>
        <v>0</v>
      </c>
      <c r="CG105" s="362">
        <f t="shared" si="34"/>
        <v>-94186.199999999939</v>
      </c>
      <c r="CJ105" s="351"/>
      <c r="CK105" s="352">
        <f>INDEX(SAP!C:C,MATCH('Actuals mapped to CFR'!A105,SAP!H:H,FALSE),1)</f>
        <v>-94186.2</v>
      </c>
      <c r="CL105" s="353">
        <f t="shared" si="33"/>
        <v>0</v>
      </c>
      <c r="CN105" s="354">
        <f t="shared" si="35"/>
        <v>473495.92</v>
      </c>
      <c r="CO105" s="354">
        <f t="shared" si="36"/>
        <v>457577.75999999983</v>
      </c>
      <c r="CP105" s="355">
        <f>VLOOKUP(B105,'2526 GBP Data input'!$A$4:$CA$230,38,FALSE)</f>
        <v>468372</v>
      </c>
      <c r="CQ105" s="355">
        <f>VLOOKUP(B105,'2526 GBP Data input'!$A$4:$CA$230,73,FALSE)</f>
        <v>16643</v>
      </c>
      <c r="CR105" s="356">
        <f t="shared" si="39"/>
        <v>5123.9199999999837</v>
      </c>
      <c r="CS105" s="357">
        <f t="shared" si="40"/>
        <v>27.493706663462106</v>
      </c>
      <c r="CT105" s="358">
        <f t="shared" si="37"/>
        <v>51975.160000000149</v>
      </c>
      <c r="CU105" s="358">
        <f t="shared" si="38"/>
        <v>29291.809999999998</v>
      </c>
      <c r="CV105" s="359">
        <f t="shared" si="44"/>
        <v>81266.970000000147</v>
      </c>
    </row>
    <row r="106" spans="1:100">
      <c r="A106" s="238">
        <v>107838</v>
      </c>
      <c r="B106" s="60">
        <v>838</v>
      </c>
      <c r="C106" s="60" t="s">
        <v>209</v>
      </c>
      <c r="D106" s="128">
        <f>SUMIF('800-898'!$1:$1,D$3,'800-898'!17:17)</f>
        <v>-156708.32999999999</v>
      </c>
      <c r="E106" s="128">
        <f>SUMIF('800-898'!$1:$1,E$3,'800-898'!17:17)</f>
        <v>-3266.64</v>
      </c>
      <c r="F106" s="128">
        <f>SUMIF('800-898'!$1:$1,F$3,'800-898'!17:17)</f>
        <v>0</v>
      </c>
      <c r="G106" s="128">
        <f>SUMIF('800-898'!$1:$1,G$3,'800-898'!17:17)</f>
        <v>0</v>
      </c>
      <c r="H106" s="128">
        <f>SUMIF('800-898'!$1:$1,H$3,'800-898'!17:17)</f>
        <v>0</v>
      </c>
      <c r="I106" s="128">
        <f>SUMIF('800-898'!$1:$1,I$3,'800-898'!17:17)</f>
        <v>0</v>
      </c>
      <c r="J106" s="128">
        <f>SUMIF('800-898'!$1:$1,J$3,'800-898'!17:17)</f>
        <v>3462.03</v>
      </c>
      <c r="K106" s="128">
        <f>SUMIF('800-898'!$1:$1,K$3,'800-898'!17:17)</f>
        <v>-456060.46</v>
      </c>
      <c r="L106" s="128">
        <f>SUMIF('800-898'!$1:$1,L$3,'800-898'!17:17)</f>
        <v>0</v>
      </c>
      <c r="M106" s="128">
        <f>SUMIF('800-898'!$1:$1,M$3,'800-898'!17:17)</f>
        <v>-27032</v>
      </c>
      <c r="N106" s="128">
        <f>SUMIF('800-898'!$1:$1,N$3,'800-898'!17:17)</f>
        <v>0</v>
      </c>
      <c r="O106" s="128">
        <f>SUMIF('800-898'!$1:$1,O$3,'800-898'!17:17)</f>
        <v>-4895</v>
      </c>
      <c r="P106" s="128">
        <f>SUMIF('800-898'!$1:$1,P$3,'800-898'!17:17)</f>
        <v>-19008.64</v>
      </c>
      <c r="Q106" s="128">
        <f>SUMIF('800-898'!$1:$1,Q$3,'800-898'!17:17)</f>
        <v>0</v>
      </c>
      <c r="R106" s="128">
        <f>SUMIF('800-898'!$1:$1,R$3,'800-898'!17:17)</f>
        <v>0</v>
      </c>
      <c r="S106" s="128">
        <f>SUMIF('800-898'!$1:$1,S$3,'800-898'!17:17)</f>
        <v>-8724.43</v>
      </c>
      <c r="T106" s="128">
        <f>SUMIF('800-898'!$1:$1,T$3,'800-898'!17:17)</f>
        <v>0.36999999999999922</v>
      </c>
      <c r="U106" s="128">
        <f>SUMIF('800-898'!$1:$1,U$3,'800-898'!17:17)</f>
        <v>0</v>
      </c>
      <c r="V106" s="128">
        <f>SUMIF('800-898'!$1:$1,V$3,'800-898'!17:17)</f>
        <v>0</v>
      </c>
      <c r="W106" s="128">
        <f>SUMIF('800-898'!$1:$1,W$3,'800-898'!17:17)</f>
        <v>-3636.9800000000005</v>
      </c>
      <c r="X106" s="128">
        <f>SUMIF('800-898'!$1:$1,X$3,'800-898'!17:17)</f>
        <v>-12</v>
      </c>
      <c r="Y106" s="164">
        <f>SUMIF('800-898'!$1:$1,Y$3,'800-898'!17:17)</f>
        <v>0</v>
      </c>
      <c r="Z106" s="128">
        <f>SUMIF('800-898'!$1:$1,Z$3,'800-898'!17:17)</f>
        <v>0</v>
      </c>
      <c r="AA106" s="128">
        <f>SUMIF('800-898'!$1:$1,AA$3,'800-898'!17:17)</f>
        <v>-23716.469999999994</v>
      </c>
      <c r="AB106" s="128">
        <f>SUMIF('800-898'!$1:$1,AB$3,'800-898'!17:17)</f>
        <v>-3244.86</v>
      </c>
      <c r="AC106" s="314">
        <f>SUMIF('800-898'!$1:$1,AC$3,'800-898'!17:17)</f>
        <v>0</v>
      </c>
      <c r="AD106" s="314">
        <f>SUMIF('800-898'!$1:$1,AD$3,'800-898'!17:17)</f>
        <v>0</v>
      </c>
      <c r="AE106" s="314">
        <f>SUMIF('800-898'!$1:$1,AE$3,'800-898'!17:17)</f>
        <v>0</v>
      </c>
      <c r="AF106" s="314">
        <f>SUMIF('800-898'!$1:$1,AF$3,'800-898'!17:17)</f>
        <v>0</v>
      </c>
      <c r="AG106" s="128">
        <f>SUMIF('800-898'!$1:$1,AG$3,'800-898'!17:17)</f>
        <v>292174.17000000004</v>
      </c>
      <c r="AH106" s="128">
        <f>SUMIF('800-898'!$1:$1,AH$3,'800-898'!17:17)</f>
        <v>13172.520000000002</v>
      </c>
      <c r="AI106" s="128">
        <f>SUMIF('800-898'!$1:$1,AI$3,'800-898'!17:17)</f>
        <v>85732.19</v>
      </c>
      <c r="AJ106" s="128">
        <f>SUMIF('800-898'!$1:$1,AJ$3,'800-898'!17:17)</f>
        <v>1270.5600000000002</v>
      </c>
      <c r="AK106" s="128">
        <f>SUMIF('800-898'!$1:$1,AK$3,'800-898'!17:17)</f>
        <v>38416.519999999997</v>
      </c>
      <c r="AL106" s="128">
        <f>SUMIF('800-898'!$1:$1,AL$3,'800-898'!17:17)</f>
        <v>0</v>
      </c>
      <c r="AM106" s="128">
        <f>SUMIF('800-898'!$1:$1,AM$3,'800-898'!17:17)</f>
        <v>7743.8799999999992</v>
      </c>
      <c r="AN106" s="128">
        <f>SUMIF('800-898'!$1:$1,AN$3,'800-898'!17:17)</f>
        <v>70</v>
      </c>
      <c r="AO106" s="128">
        <f>SUMIF('800-898'!$1:$1,AO$3,'800-898'!17:17)</f>
        <v>1776.25</v>
      </c>
      <c r="AP106" s="128">
        <f>SUMIF('800-898'!$1:$1,AP$3,'800-898'!17:17)</f>
        <v>4670.8799999999992</v>
      </c>
      <c r="AQ106" s="128">
        <f>SUMIF('800-898'!$1:$1,AQ$3,'800-898'!17:17)</f>
        <v>0</v>
      </c>
      <c r="AR106" s="128">
        <f>SUMIF('800-898'!$1:$1,AR$3,'800-898'!17:17)</f>
        <v>2371.17</v>
      </c>
      <c r="AS106" s="128">
        <f>SUMIF('800-898'!$1:$1,AS$3,'800-898'!17:17)</f>
        <v>2254.6800000000003</v>
      </c>
      <c r="AT106" s="128">
        <f>SUMIF('800-898'!$1:$1,AT$3,'800-898'!17:17)</f>
        <v>13458.949999999995</v>
      </c>
      <c r="AU106" s="128">
        <f>SUMIF('800-898'!$1:$1,AU$3,'800-898'!17:17)</f>
        <v>751.81</v>
      </c>
      <c r="AV106" s="128">
        <f>SUMIF('800-898'!$1:$1,AV$3,'800-898'!17:17)</f>
        <v>17534.77</v>
      </c>
      <c r="AW106" s="128">
        <f>SUMIF('800-898'!$1:$1,AW$3,'800-898'!17:17)</f>
        <v>2295.4</v>
      </c>
      <c r="AX106" s="128">
        <f>SUMIF('800-898'!$1:$1,AX$3,'800-898'!17:17)</f>
        <v>1029.44</v>
      </c>
      <c r="AY106" s="128">
        <f>SUMIF('800-898'!$1:$1,AY$3,'800-898'!17:17)</f>
        <v>16528.86</v>
      </c>
      <c r="AZ106" s="314">
        <f>SUMIF('800-898'!$1:$1,AZ$3,'800-898'!17:17)</f>
        <v>0</v>
      </c>
      <c r="BA106" s="128">
        <f>SUMIF('800-898'!$1:$1,BA$3,'800-898'!17:17)</f>
        <v>4550</v>
      </c>
      <c r="BB106" s="128">
        <f>SUMIF('800-898'!$1:$1,BB$3,'800-898'!17:17)</f>
        <v>0</v>
      </c>
      <c r="BC106" s="128">
        <f>SUMIF('800-898'!$1:$1,BC$3,'800-898'!17:17)</f>
        <v>535.5</v>
      </c>
      <c r="BD106" s="128">
        <f>SUMIF('800-898'!$1:$1,BD$3,'800-898'!17:17)</f>
        <v>3854.5</v>
      </c>
      <c r="BE106" s="128">
        <f>SUMIF('800-898'!$1:$1,BE$3,'800-898'!17:17)</f>
        <v>0</v>
      </c>
      <c r="BF106" s="128">
        <f>SUMIF('800-898'!$1:$1,BF$3,'800-898'!17:17)</f>
        <v>162.38</v>
      </c>
      <c r="BG106" s="128">
        <f>SUMIF('800-898'!$1:$1,BG$3,'800-898'!17:17)</f>
        <v>790</v>
      </c>
      <c r="BH106" s="128">
        <f>SUMIF('800-898'!$1:$1,BH$3,'800-898'!17:17)</f>
        <v>0</v>
      </c>
      <c r="BI106" s="128">
        <f>SUMIF('800-898'!$1:$1,BI$3,'800-898'!17:17)</f>
        <v>2976.37</v>
      </c>
      <c r="BJ106" s="128">
        <f>SUMIF('800-898'!$1:$1,BJ$3,'800-898'!17:17)</f>
        <v>2860.94</v>
      </c>
      <c r="BK106" s="128">
        <f>SUMIF('800-898'!$1:$1,BK$3,'800-898'!17:17)</f>
        <v>0</v>
      </c>
      <c r="BL106" s="128">
        <f>SUMIF('800-898'!$1:$1,BL$3,'800-898'!17:17)</f>
        <v>5799.0199999999995</v>
      </c>
      <c r="BM106" s="128">
        <f>SUMIF('800-898'!$1:$1,BM$3,'800-898'!17:17)</f>
        <v>2058</v>
      </c>
      <c r="BN106" s="128">
        <f>SUMIF('800-898'!$1:$1,BN$3,'800-898'!17:17)</f>
        <v>10354</v>
      </c>
      <c r="BO106" s="128">
        <f>SUMIF('800-898'!$1:$1,BO$3,'800-898'!17:17)</f>
        <v>14094.510000000002</v>
      </c>
      <c r="BP106" s="128">
        <f>SUMIF('800-898'!$1:$1,BP$3,'800-898'!17:17)</f>
        <v>0</v>
      </c>
      <c r="BQ106" s="128">
        <f>SUMIF('800-898'!$1:$1,BQ$3,'800-898'!17:17)</f>
        <v>0</v>
      </c>
      <c r="BR106" s="128">
        <f>SUMIF('800-898'!$1:$1,BR$3,'800-898'!17:17)</f>
        <v>0</v>
      </c>
      <c r="BS106" s="128">
        <f>SUMIF('800-898'!$1:$1,BS$3,'800-898'!17:17)</f>
        <v>26519.360000000001</v>
      </c>
      <c r="BT106" s="128">
        <f>SUMIF('800-898'!$1:$1,BT$3,'800-898'!17:17)</f>
        <v>39.6</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4">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302">
        <f t="shared" si="34"/>
        <v>-126997.17999999998</v>
      </c>
      <c r="CJ106" s="122"/>
      <c r="CK106" s="169">
        <f>INDEX(SAP!C:C,MATCH('Actuals mapped to CFR'!A106,SAP!H:H,FALSE),1)</f>
        <v>-126997.18</v>
      </c>
      <c r="CL106" s="59">
        <f t="shared" si="33"/>
        <v>0</v>
      </c>
      <c r="CN106" s="81">
        <f t="shared" si="35"/>
        <v>546330.47</v>
      </c>
      <c r="CO106" s="81">
        <f t="shared" si="36"/>
        <v>575846.2300000001</v>
      </c>
      <c r="CP106" s="166">
        <f>VLOOKUP(B106,'2526 GBP Data input'!$A$4:$CA$230,38,FALSE)</f>
        <v>540133</v>
      </c>
      <c r="CQ106" s="166">
        <f>VLOOKUP(B106,'2526 GBP Data input'!$A$4:$CA$230,73,FALSE)</f>
        <v>12777</v>
      </c>
      <c r="CR106" s="89">
        <f t="shared" si="39"/>
        <v>6197.4699999999721</v>
      </c>
      <c r="CS106" s="83">
        <f t="shared" si="40"/>
        <v>45.068970024262356</v>
      </c>
      <c r="CT106" s="82">
        <f t="shared" si="37"/>
        <v>127192.56999999983</v>
      </c>
      <c r="CU106" s="82">
        <f t="shared" si="38"/>
        <v>0</v>
      </c>
      <c r="CV106" s="86">
        <f t="shared" si="44"/>
        <v>127192.56999999983</v>
      </c>
    </row>
    <row r="107" spans="1:100">
      <c r="A107" s="238">
        <v>107842</v>
      </c>
      <c r="B107" s="60">
        <v>842</v>
      </c>
      <c r="C107" s="60" t="s">
        <v>197</v>
      </c>
      <c r="D107" s="128">
        <f>SUMIF('800-898'!$1:$1,D$3,'800-898'!18:18)</f>
        <v>-140680.51999999999</v>
      </c>
      <c r="E107" s="128">
        <f>SUMIF('800-898'!$1:$1,E$3,'800-898'!18:18)</f>
        <v>-1266.67</v>
      </c>
      <c r="F107" s="128">
        <f>SUMIF('800-898'!$1:$1,F$3,'800-898'!18:18)</f>
        <v>0</v>
      </c>
      <c r="G107" s="128">
        <f>SUMIF('800-898'!$1:$1,G$3,'800-898'!18:18)</f>
        <v>-12494.13</v>
      </c>
      <c r="H107" s="128">
        <f>SUMIF('800-898'!$1:$1,H$3,'800-898'!18:18)</f>
        <v>0</v>
      </c>
      <c r="I107" s="128">
        <f>SUMIF('800-898'!$1:$1,I$3,'800-898'!18:18)</f>
        <v>0</v>
      </c>
      <c r="J107" s="128">
        <f>SUMIF('800-898'!$1:$1,J$3,'800-898'!18:18)</f>
        <v>0</v>
      </c>
      <c r="K107" s="128">
        <f>SUMIF('800-898'!$1:$1,K$3,'800-898'!18:18)</f>
        <v>-649112.39</v>
      </c>
      <c r="L107" s="128">
        <f>SUMIF('800-898'!$1:$1,L$3,'800-898'!18:18)</f>
        <v>0</v>
      </c>
      <c r="M107" s="128">
        <f>SUMIF('800-898'!$1:$1,M$3,'800-898'!18:18)</f>
        <v>-30883</v>
      </c>
      <c r="N107" s="128">
        <f>SUMIF('800-898'!$1:$1,N$3,'800-898'!18:18)</f>
        <v>0</v>
      </c>
      <c r="O107" s="128">
        <f>SUMIF('800-898'!$1:$1,O$3,'800-898'!18:18)</f>
        <v>-19295</v>
      </c>
      <c r="P107" s="128">
        <f>SUMIF('800-898'!$1:$1,P$3,'800-898'!18:18)</f>
        <v>-31479</v>
      </c>
      <c r="Q107" s="128">
        <f>SUMIF('800-898'!$1:$1,Q$3,'800-898'!18:18)</f>
        <v>0</v>
      </c>
      <c r="R107" s="128">
        <f>SUMIF('800-898'!$1:$1,R$3,'800-898'!18:18)</f>
        <v>0</v>
      </c>
      <c r="S107" s="128">
        <f>SUMIF('800-898'!$1:$1,S$3,'800-898'!18:18)</f>
        <v>-7657.25</v>
      </c>
      <c r="T107" s="128">
        <f>SUMIF('800-898'!$1:$1,T$3,'800-898'!18:18)</f>
        <v>0.54</v>
      </c>
      <c r="U107" s="128">
        <f>SUMIF('800-898'!$1:$1,U$3,'800-898'!18:18)</f>
        <v>0</v>
      </c>
      <c r="V107" s="128">
        <f>SUMIF('800-898'!$1:$1,V$3,'800-898'!18:18)</f>
        <v>0</v>
      </c>
      <c r="W107" s="128">
        <f>SUMIF('800-898'!$1:$1,W$3,'800-898'!18:18)</f>
        <v>-9140.11</v>
      </c>
      <c r="X107" s="128">
        <f>SUMIF('800-898'!$1:$1,X$3,'800-898'!18:18)</f>
        <v>-1590</v>
      </c>
      <c r="Y107" s="164">
        <f>SUMIF('800-898'!$1:$1,Y$3,'800-898'!18:18)</f>
        <v>0</v>
      </c>
      <c r="Z107" s="128">
        <f>SUMIF('800-898'!$1:$1,Z$3,'800-898'!18:18)</f>
        <v>0</v>
      </c>
      <c r="AA107" s="128">
        <f>SUMIF('800-898'!$1:$1,AA$3,'800-898'!18:18)</f>
        <v>0</v>
      </c>
      <c r="AB107" s="128">
        <f>SUMIF('800-898'!$1:$1,AB$3,'800-898'!18:18)</f>
        <v>0</v>
      </c>
      <c r="AC107" s="314">
        <f>SUMIF('800-898'!$1:$1,AC$3,'800-898'!18:18)</f>
        <v>0</v>
      </c>
      <c r="AD107" s="314">
        <f>SUMIF('800-898'!$1:$1,AD$3,'800-898'!18:18)</f>
        <v>0</v>
      </c>
      <c r="AE107" s="314">
        <f>SUMIF('800-898'!$1:$1,AE$3,'800-898'!18:18)</f>
        <v>0</v>
      </c>
      <c r="AF107" s="314">
        <f>SUMIF('800-898'!$1:$1,AF$3,'800-898'!18:18)</f>
        <v>0</v>
      </c>
      <c r="AG107" s="128">
        <f>SUMIF('800-898'!$1:$1,AG$3,'800-898'!18:18)</f>
        <v>390616.98000000004</v>
      </c>
      <c r="AH107" s="128">
        <f>SUMIF('800-898'!$1:$1,AH$3,'800-898'!18:18)</f>
        <v>1879.12</v>
      </c>
      <c r="AI107" s="128">
        <f>SUMIF('800-898'!$1:$1,AI$3,'800-898'!18:18)</f>
        <v>135856.91000000003</v>
      </c>
      <c r="AJ107" s="128">
        <f>SUMIF('800-898'!$1:$1,AJ$3,'800-898'!18:18)</f>
        <v>17160.960000000003</v>
      </c>
      <c r="AK107" s="128">
        <f>SUMIF('800-898'!$1:$1,AK$3,'800-898'!18:18)</f>
        <v>38775.96</v>
      </c>
      <c r="AL107" s="128">
        <f>SUMIF('800-898'!$1:$1,AL$3,'800-898'!18:18)</f>
        <v>0</v>
      </c>
      <c r="AM107" s="128">
        <f>SUMIF('800-898'!$1:$1,AM$3,'800-898'!18:18)</f>
        <v>12854.59</v>
      </c>
      <c r="AN107" s="128">
        <f>SUMIF('800-898'!$1:$1,AN$3,'800-898'!18:18)</f>
        <v>2203.63</v>
      </c>
      <c r="AO107" s="128">
        <f>SUMIF('800-898'!$1:$1,AO$3,'800-898'!18:18)</f>
        <v>629.62</v>
      </c>
      <c r="AP107" s="128">
        <f>SUMIF('800-898'!$1:$1,AP$3,'800-898'!18:18)</f>
        <v>5595.3200000000006</v>
      </c>
      <c r="AQ107" s="128">
        <f>SUMIF('800-898'!$1:$1,AQ$3,'800-898'!18:18)</f>
        <v>1599.82</v>
      </c>
      <c r="AR107" s="128">
        <f>SUMIF('800-898'!$1:$1,AR$3,'800-898'!18:18)</f>
        <v>4521.58</v>
      </c>
      <c r="AS107" s="128">
        <f>SUMIF('800-898'!$1:$1,AS$3,'800-898'!18:18)</f>
        <v>6083.7200000000012</v>
      </c>
      <c r="AT107" s="128">
        <f>SUMIF('800-898'!$1:$1,AT$3,'800-898'!18:18)</f>
        <v>2002.7199999999998</v>
      </c>
      <c r="AU107" s="128">
        <f>SUMIF('800-898'!$1:$1,AU$3,'800-898'!18:18)</f>
        <v>2342.16</v>
      </c>
      <c r="AV107" s="128">
        <f>SUMIF('800-898'!$1:$1,AV$3,'800-898'!18:18)</f>
        <v>6609.0099999999993</v>
      </c>
      <c r="AW107" s="128">
        <f>SUMIF('800-898'!$1:$1,AW$3,'800-898'!18:18)</f>
        <v>12599.75</v>
      </c>
      <c r="AX107" s="128">
        <f>SUMIF('800-898'!$1:$1,AX$3,'800-898'!18:18)</f>
        <v>5684.24</v>
      </c>
      <c r="AY107" s="128">
        <f>SUMIF('800-898'!$1:$1,AY$3,'800-898'!18:18)</f>
        <v>23934.579999999998</v>
      </c>
      <c r="AZ107" s="314">
        <f>SUMIF('800-898'!$1:$1,AZ$3,'800-898'!18:18)</f>
        <v>0</v>
      </c>
      <c r="BA107" s="128">
        <f>SUMIF('800-898'!$1:$1,BA$3,'800-898'!18:18)</f>
        <v>2306.06</v>
      </c>
      <c r="BB107" s="128">
        <f>SUMIF('800-898'!$1:$1,BB$3,'800-898'!18:18)</f>
        <v>0</v>
      </c>
      <c r="BC107" s="128">
        <f>SUMIF('800-898'!$1:$1,BC$3,'800-898'!18:18)</f>
        <v>0</v>
      </c>
      <c r="BD107" s="128">
        <f>SUMIF('800-898'!$1:$1,BD$3,'800-898'!18:18)</f>
        <v>4362.45</v>
      </c>
      <c r="BE107" s="128">
        <f>SUMIF('800-898'!$1:$1,BE$3,'800-898'!18:18)</f>
        <v>0</v>
      </c>
      <c r="BF107" s="128">
        <f>SUMIF('800-898'!$1:$1,BF$3,'800-898'!18:18)</f>
        <v>125.5</v>
      </c>
      <c r="BG107" s="128">
        <f>SUMIF('800-898'!$1:$1,BG$3,'800-898'!18:18)</f>
        <v>6545</v>
      </c>
      <c r="BH107" s="128">
        <f>SUMIF('800-898'!$1:$1,BH$3,'800-898'!18:18)</f>
        <v>0</v>
      </c>
      <c r="BI107" s="128">
        <f>SUMIF('800-898'!$1:$1,BI$3,'800-898'!18:18)</f>
        <v>2078.1800000000003</v>
      </c>
      <c r="BJ107" s="128">
        <f>SUMIF('800-898'!$1:$1,BJ$3,'800-898'!18:18)</f>
        <v>5505.96</v>
      </c>
      <c r="BK107" s="128">
        <f>SUMIF('800-898'!$1:$1,BK$3,'800-898'!18:18)</f>
        <v>0</v>
      </c>
      <c r="BL107" s="128">
        <f>SUMIF('800-898'!$1:$1,BL$3,'800-898'!18:18)</f>
        <v>23064.269999999997</v>
      </c>
      <c r="BM107" s="128">
        <f>SUMIF('800-898'!$1:$1,BM$3,'800-898'!18:18)</f>
        <v>322</v>
      </c>
      <c r="BN107" s="128">
        <f>SUMIF('800-898'!$1:$1,BN$3,'800-898'!18:18)</f>
        <v>14584.5</v>
      </c>
      <c r="BO107" s="128">
        <f>SUMIF('800-898'!$1:$1,BO$3,'800-898'!18:18)</f>
        <v>15782.350000000004</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-5215</v>
      </c>
      <c r="BV107" s="128">
        <f>SUMIF('800-898'!$1:$1,BV$3,'800-898'!18:18)</f>
        <v>0</v>
      </c>
      <c r="BW107" s="128">
        <f>SUMIF('800-898'!$1:$1,BW$3,'800-898'!18:18)</f>
        <v>0</v>
      </c>
      <c r="BX107" s="128">
        <f>SUMIF('800-898'!$1:$1,BX$3,'800-898'!18:18)</f>
        <v>0</v>
      </c>
      <c r="BY107" s="128">
        <f>SUMIF('800-898'!$1:$1,BY$3,'800-898'!18:18)</f>
        <v>13484.41</v>
      </c>
      <c r="BZ107" s="128">
        <f>SUMIF('800-898'!$1:$1,BZ$3,'800-898'!18:18)</f>
        <v>0</v>
      </c>
      <c r="CA107" s="314">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302">
        <f t="shared" si="34"/>
        <v>-149701.17999999979</v>
      </c>
      <c r="CJ107" s="122"/>
      <c r="CK107" s="169">
        <f>INDEX(SAP!C:C,MATCH('Actuals mapped to CFR'!A107,SAP!H:H,FALSE),1)</f>
        <v>-149701.18</v>
      </c>
      <c r="CL107" s="59">
        <f t="shared" si="33"/>
        <v>0</v>
      </c>
      <c r="CN107" s="81">
        <f t="shared" si="35"/>
        <v>749156.21</v>
      </c>
      <c r="CO107" s="81">
        <f t="shared" si="36"/>
        <v>745626.93999999971</v>
      </c>
      <c r="CP107" s="166">
        <f>VLOOKUP(B107,'2526 GBP Data input'!$A$4:$CA$230,38,FALSE)</f>
        <v>744016</v>
      </c>
      <c r="CQ107" s="166">
        <f>VLOOKUP(B107,'2526 GBP Data input'!$A$4:$CA$230,73,FALSE)</f>
        <v>15873</v>
      </c>
      <c r="CR107" s="89">
        <f t="shared" si="39"/>
        <v>5140.2099999999627</v>
      </c>
      <c r="CS107" s="83">
        <f t="shared" si="40"/>
        <v>46.97454419454418</v>
      </c>
      <c r="CT107" s="82">
        <f t="shared" si="37"/>
        <v>144209.79000000027</v>
      </c>
      <c r="CU107" s="82">
        <f t="shared" si="38"/>
        <v>4224.7199999999975</v>
      </c>
      <c r="CV107" s="86">
        <f t="shared" si="44"/>
        <v>148434.51000000027</v>
      </c>
    </row>
    <row r="108" spans="1:100">
      <c r="A108" s="238">
        <v>107845</v>
      </c>
      <c r="B108" s="60">
        <v>845</v>
      </c>
      <c r="C108" s="60" t="s">
        <v>280</v>
      </c>
      <c r="D108" s="128">
        <f>SUMIF('800-898'!$1:$1,D$3,'800-898'!19:19)</f>
        <v>-127966.05</v>
      </c>
      <c r="E108" s="128">
        <f>SUMIF('800-898'!$1:$1,E$3,'800-898'!19:19)</f>
        <v>-19526</v>
      </c>
      <c r="F108" s="128">
        <f>SUMIF('800-898'!$1:$1,F$3,'800-898'!19:19)</f>
        <v>0</v>
      </c>
      <c r="G108" s="128">
        <f>SUMIF('800-898'!$1:$1,G$3,'800-898'!19:19)</f>
        <v>-13060.49</v>
      </c>
      <c r="H108" s="128">
        <f>SUMIF('800-898'!$1:$1,H$3,'800-898'!19:19)</f>
        <v>0</v>
      </c>
      <c r="I108" s="128">
        <f>SUMIF('800-898'!$1:$1,I$3,'800-898'!19:19)</f>
        <v>0</v>
      </c>
      <c r="J108" s="128">
        <f>SUMIF('800-898'!$1:$1,J$3,'800-898'!19:19)</f>
        <v>0</v>
      </c>
      <c r="K108" s="128">
        <f>SUMIF('800-898'!$1:$1,K$3,'800-898'!19:19)</f>
        <v>-440405.92</v>
      </c>
      <c r="L108" s="128">
        <f>SUMIF('800-898'!$1:$1,L$3,'800-898'!19:19)</f>
        <v>0</v>
      </c>
      <c r="M108" s="128">
        <f>SUMIF('800-898'!$1:$1,M$3,'800-898'!19:19)</f>
        <v>-4833</v>
      </c>
      <c r="N108" s="128">
        <f>SUMIF('800-898'!$1:$1,N$3,'800-898'!19:19)</f>
        <v>0</v>
      </c>
      <c r="O108" s="128">
        <f>SUMIF('800-898'!$1:$1,O$3,'800-898'!19:19)</f>
        <v>-28785</v>
      </c>
      <c r="P108" s="128">
        <f>SUMIF('800-898'!$1:$1,P$3,'800-898'!19:19)</f>
        <v>-20762</v>
      </c>
      <c r="Q108" s="128">
        <f>SUMIF('800-898'!$1:$1,Q$3,'800-898'!19:19)</f>
        <v>0</v>
      </c>
      <c r="R108" s="128">
        <f>SUMIF('800-898'!$1:$1,R$3,'800-898'!19:19)</f>
        <v>0</v>
      </c>
      <c r="S108" s="128">
        <f>SUMIF('800-898'!$1:$1,S$3,'800-898'!19:19)</f>
        <v>-9210.2000000000007</v>
      </c>
      <c r="T108" s="128">
        <f>SUMIF('800-898'!$1:$1,T$3,'800-898'!19:19)</f>
        <v>0</v>
      </c>
      <c r="U108" s="128">
        <f>SUMIF('800-898'!$1:$1,U$3,'800-898'!19:19)</f>
        <v>0</v>
      </c>
      <c r="V108" s="128">
        <f>SUMIF('800-898'!$1:$1,V$3,'800-898'!19:19)</f>
        <v>0</v>
      </c>
      <c r="W108" s="128">
        <f>SUMIF('800-898'!$1:$1,W$3,'800-898'!19:19)</f>
        <v>-3130.0900000000006</v>
      </c>
      <c r="X108" s="128">
        <f>SUMIF('800-898'!$1:$1,X$3,'800-898'!19:19)</f>
        <v>-2337.87</v>
      </c>
      <c r="Y108" s="164">
        <f>SUMIF('800-898'!$1:$1,Y$3,'800-898'!19:19)</f>
        <v>0</v>
      </c>
      <c r="Z108" s="128">
        <f>SUMIF('800-898'!$1:$1,Z$3,'800-898'!19:19)</f>
        <v>0</v>
      </c>
      <c r="AA108" s="128">
        <f>SUMIF('800-898'!$1:$1,AA$3,'800-898'!19:19)</f>
        <v>0</v>
      </c>
      <c r="AB108" s="128">
        <f>SUMIF('800-898'!$1:$1,AB$3,'800-898'!19:19)</f>
        <v>0</v>
      </c>
      <c r="AC108" s="314">
        <f>SUMIF('800-898'!$1:$1,AC$3,'800-898'!19:19)</f>
        <v>0</v>
      </c>
      <c r="AD108" s="314">
        <f>SUMIF('800-898'!$1:$1,AD$3,'800-898'!19:19)</f>
        <v>0</v>
      </c>
      <c r="AE108" s="314">
        <f>SUMIF('800-898'!$1:$1,AE$3,'800-898'!19:19)</f>
        <v>0</v>
      </c>
      <c r="AF108" s="314">
        <f>SUMIF('800-898'!$1:$1,AF$3,'800-898'!19:19)</f>
        <v>0</v>
      </c>
      <c r="AG108" s="128">
        <f>SUMIF('800-898'!$1:$1,AG$3,'800-898'!19:19)</f>
        <v>219762.27</v>
      </c>
      <c r="AH108" s="128">
        <f>SUMIF('800-898'!$1:$1,AH$3,'800-898'!19:19)</f>
        <v>6937.4400000000005</v>
      </c>
      <c r="AI108" s="128">
        <f>SUMIF('800-898'!$1:$1,AI$3,'800-898'!19:19)</f>
        <v>93974.869999999981</v>
      </c>
      <c r="AJ108" s="128">
        <f>SUMIF('800-898'!$1:$1,AJ$3,'800-898'!19:19)</f>
        <v>7763.5300000000025</v>
      </c>
      <c r="AK108" s="128">
        <f>SUMIF('800-898'!$1:$1,AK$3,'800-898'!19:19)</f>
        <v>19485.350000000002</v>
      </c>
      <c r="AL108" s="128">
        <f>SUMIF('800-898'!$1:$1,AL$3,'800-898'!19:19)</f>
        <v>0</v>
      </c>
      <c r="AM108" s="128">
        <f>SUMIF('800-898'!$1:$1,AM$3,'800-898'!19:19)</f>
        <v>17168.830000000002</v>
      </c>
      <c r="AN108" s="128">
        <f>SUMIF('800-898'!$1:$1,AN$3,'800-898'!19:19)</f>
        <v>1667.31</v>
      </c>
      <c r="AO108" s="128">
        <f>SUMIF('800-898'!$1:$1,AO$3,'800-898'!19:19)</f>
        <v>2976.75</v>
      </c>
      <c r="AP108" s="128">
        <f>SUMIF('800-898'!$1:$1,AP$3,'800-898'!19:19)</f>
        <v>423.51</v>
      </c>
      <c r="AQ108" s="128">
        <f>SUMIF('800-898'!$1:$1,AQ$3,'800-898'!19:19)</f>
        <v>4711.1499999999996</v>
      </c>
      <c r="AR108" s="128">
        <f>SUMIF('800-898'!$1:$1,AR$3,'800-898'!19:19)</f>
        <v>5410.9199999999992</v>
      </c>
      <c r="AS108" s="128">
        <f>SUMIF('800-898'!$1:$1,AS$3,'800-898'!19:19)</f>
        <v>106.25</v>
      </c>
      <c r="AT108" s="128">
        <f>SUMIF('800-898'!$1:$1,AT$3,'800-898'!19:19)</f>
        <v>1077.48</v>
      </c>
      <c r="AU108" s="128">
        <f>SUMIF('800-898'!$1:$1,AU$3,'800-898'!19:19)</f>
        <v>836.25</v>
      </c>
      <c r="AV108" s="128">
        <f>SUMIF('800-898'!$1:$1,AV$3,'800-898'!19:19)</f>
        <v>6780.84</v>
      </c>
      <c r="AW108" s="128">
        <f>SUMIF('800-898'!$1:$1,AW$3,'800-898'!19:19)</f>
        <v>5114.75</v>
      </c>
      <c r="AX108" s="128">
        <f>SUMIF('800-898'!$1:$1,AX$3,'800-898'!19:19)</f>
        <v>4521.0999999999995</v>
      </c>
      <c r="AY108" s="128">
        <f>SUMIF('800-898'!$1:$1,AY$3,'800-898'!19:19)</f>
        <v>23699.050000000003</v>
      </c>
      <c r="AZ108" s="314">
        <f>SUMIF('800-898'!$1:$1,AZ$3,'800-898'!19:19)</f>
        <v>0</v>
      </c>
      <c r="BA108" s="128">
        <f>SUMIF('800-898'!$1:$1,BA$3,'800-898'!19:19)</f>
        <v>2317</v>
      </c>
      <c r="BB108" s="128">
        <f>SUMIF('800-898'!$1:$1,BB$3,'800-898'!19:19)</f>
        <v>0</v>
      </c>
      <c r="BC108" s="128">
        <f>SUMIF('800-898'!$1:$1,BC$3,'800-898'!19:19)</f>
        <v>1435.29</v>
      </c>
      <c r="BD108" s="128">
        <f>SUMIF('800-898'!$1:$1,BD$3,'800-898'!19:19)</f>
        <v>720</v>
      </c>
      <c r="BE108" s="128">
        <f>SUMIF('800-898'!$1:$1,BE$3,'800-898'!19:19)</f>
        <v>0</v>
      </c>
      <c r="BF108" s="128">
        <f>SUMIF('800-898'!$1:$1,BF$3,'800-898'!19:19)</f>
        <v>0</v>
      </c>
      <c r="BG108" s="128">
        <f>SUMIF('800-898'!$1:$1,BG$3,'800-898'!19:19)</f>
        <v>3615</v>
      </c>
      <c r="BH108" s="128">
        <f>SUMIF('800-898'!$1:$1,BH$3,'800-898'!19:19)</f>
        <v>0</v>
      </c>
      <c r="BI108" s="128">
        <f>SUMIF('800-898'!$1:$1,BI$3,'800-898'!19:19)</f>
        <v>4873.3799999999992</v>
      </c>
      <c r="BJ108" s="128">
        <f>SUMIF('800-898'!$1:$1,BJ$3,'800-898'!19:19)</f>
        <v>2591.04</v>
      </c>
      <c r="BK108" s="128">
        <f>SUMIF('800-898'!$1:$1,BK$3,'800-898'!19:19)</f>
        <v>0</v>
      </c>
      <c r="BL108" s="128">
        <f>SUMIF('800-898'!$1:$1,BL$3,'800-898'!19:19)</f>
        <v>15899.02</v>
      </c>
      <c r="BM108" s="128">
        <f>SUMIF('800-898'!$1:$1,BM$3,'800-898'!19:19)</f>
        <v>2645.94</v>
      </c>
      <c r="BN108" s="128">
        <f>SUMIF('800-898'!$1:$1,BN$3,'800-898'!19:19)</f>
        <v>24600.300000000003</v>
      </c>
      <c r="BO108" s="128">
        <f>SUMIF('800-898'!$1:$1,BO$3,'800-898'!19:19)</f>
        <v>27794.059999999998</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-4517.5</v>
      </c>
      <c r="BV108" s="128">
        <f>SUMIF('800-898'!$1:$1,BV$3,'800-898'!19:19)</f>
        <v>0</v>
      </c>
      <c r="BW108" s="128">
        <f>SUMIF('800-898'!$1:$1,BW$3,'800-898'!19:19)</f>
        <v>0</v>
      </c>
      <c r="BX108" s="128">
        <f>SUMIF('800-898'!$1:$1,BX$3,'800-898'!19:19)</f>
        <v>0</v>
      </c>
      <c r="BY108" s="128">
        <f>SUMIF('800-898'!$1:$1,BY$3,'800-898'!19:19)</f>
        <v>0</v>
      </c>
      <c r="BZ108" s="128">
        <f>SUMIF('800-898'!$1:$1,BZ$3,'800-898'!19:19)</f>
        <v>0</v>
      </c>
      <c r="CA108" s="314">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302">
        <f t="shared" si="34"/>
        <v>-165625.43999999983</v>
      </c>
      <c r="CJ108" s="122"/>
      <c r="CK108" s="169">
        <f>INDEX(SAP!C:C,MATCH('Actuals mapped to CFR'!A108,SAP!H:H,FALSE),1)</f>
        <v>-165625.44</v>
      </c>
      <c r="CL108" s="59">
        <f t="shared" si="33"/>
        <v>0</v>
      </c>
      <c r="CN108" s="81">
        <f t="shared" si="35"/>
        <v>509464.08</v>
      </c>
      <c r="CO108" s="81">
        <f t="shared" si="36"/>
        <v>508908.67999999993</v>
      </c>
      <c r="CP108" s="166">
        <f>VLOOKUP(B108,'2526 GBP Data input'!$A$4:$CA$230,38,FALSE)</f>
        <v>496016</v>
      </c>
      <c r="CQ108" s="166">
        <f>VLOOKUP(B108,'2526 GBP Data input'!$A$4:$CA$230,73,FALSE)</f>
        <v>27582</v>
      </c>
      <c r="CR108" s="89">
        <f t="shared" si="39"/>
        <v>13448.080000000016</v>
      </c>
      <c r="CS108" s="83">
        <f t="shared" si="40"/>
        <v>18.450753389891958</v>
      </c>
      <c r="CT108" s="82">
        <f t="shared" si="37"/>
        <v>128521.45000000007</v>
      </c>
      <c r="CU108" s="82">
        <f t="shared" si="38"/>
        <v>17577.989999999998</v>
      </c>
      <c r="CV108" s="86">
        <f t="shared" si="44"/>
        <v>146099.44000000006</v>
      </c>
    </row>
    <row r="109" spans="1:100">
      <c r="A109" s="238">
        <v>107851</v>
      </c>
      <c r="B109" s="60">
        <v>851</v>
      </c>
      <c r="C109" s="60" t="s">
        <v>206</v>
      </c>
      <c r="D109" s="128">
        <f>SUMIF('800-898'!$1:$1,D$3,'800-898'!20:20)</f>
        <v>-77612.81</v>
      </c>
      <c r="E109" s="128">
        <f>SUMIF('800-898'!$1:$1,E$3,'800-898'!20:20)</f>
        <v>-4670.21</v>
      </c>
      <c r="F109" s="128">
        <f>SUMIF('800-898'!$1:$1,F$3,'800-898'!20:20)</f>
        <v>0</v>
      </c>
      <c r="G109" s="128">
        <f>SUMIF('800-898'!$1:$1,G$3,'800-898'!20:20)</f>
        <v>0</v>
      </c>
      <c r="H109" s="128">
        <f>SUMIF('800-898'!$1:$1,H$3,'800-898'!20:20)</f>
        <v>0</v>
      </c>
      <c r="I109" s="128">
        <f>SUMIF('800-898'!$1:$1,I$3,'800-898'!20:20)</f>
        <v>0</v>
      </c>
      <c r="J109" s="128">
        <f>SUMIF('800-898'!$1:$1,J$3,'800-898'!20:20)</f>
        <v>2821.42</v>
      </c>
      <c r="K109" s="128">
        <f>SUMIF('800-898'!$1:$1,K$3,'800-898'!20:20)</f>
        <v>-268135.03999999998</v>
      </c>
      <c r="L109" s="128">
        <f>SUMIF('800-898'!$1:$1,L$3,'800-898'!20:20)</f>
        <v>0</v>
      </c>
      <c r="M109" s="128">
        <f>SUMIF('800-898'!$1:$1,M$3,'800-898'!20:20)</f>
        <v>-33491</v>
      </c>
      <c r="N109" s="128">
        <f>SUMIF('800-898'!$1:$1,N$3,'800-898'!20:20)</f>
        <v>0</v>
      </c>
      <c r="O109" s="128">
        <f>SUMIF('800-898'!$1:$1,O$3,'800-898'!20:20)</f>
        <v>-7575</v>
      </c>
      <c r="P109" s="128">
        <f>SUMIF('800-898'!$1:$1,P$3,'800-898'!20:20)</f>
        <v>-15363.93</v>
      </c>
      <c r="Q109" s="128">
        <f>SUMIF('800-898'!$1:$1,Q$3,'800-898'!20:20)</f>
        <v>4842</v>
      </c>
      <c r="R109" s="128">
        <f>SUMIF('800-898'!$1:$1,R$3,'800-898'!20:20)</f>
        <v>0</v>
      </c>
      <c r="S109" s="128">
        <f>SUMIF('800-898'!$1:$1,S$3,'800-898'!20:20)</f>
        <v>-1425.9899999999998</v>
      </c>
      <c r="T109" s="128">
        <f>SUMIF('800-898'!$1:$1,T$3,'800-898'!20:20)</f>
        <v>176.25</v>
      </c>
      <c r="U109" s="128">
        <f>SUMIF('800-898'!$1:$1,U$3,'800-898'!20:20)</f>
        <v>0</v>
      </c>
      <c r="V109" s="128">
        <f>SUMIF('800-898'!$1:$1,V$3,'800-898'!20:20)</f>
        <v>-300</v>
      </c>
      <c r="W109" s="128">
        <f>SUMIF('800-898'!$1:$1,W$3,'800-898'!20:20)</f>
        <v>-479.91999999999996</v>
      </c>
      <c r="X109" s="128">
        <f>SUMIF('800-898'!$1:$1,X$3,'800-898'!20:20)</f>
        <v>0</v>
      </c>
      <c r="Y109" s="164">
        <f>SUMIF('800-898'!$1:$1,Y$3,'800-898'!20:20)</f>
        <v>0</v>
      </c>
      <c r="Z109" s="128">
        <f>SUMIF('800-898'!$1:$1,Z$3,'800-898'!20:20)</f>
        <v>0</v>
      </c>
      <c r="AA109" s="128">
        <f>SUMIF('800-898'!$1:$1,AA$3,'800-898'!20:20)</f>
        <v>-37731.46</v>
      </c>
      <c r="AB109" s="128">
        <f>SUMIF('800-898'!$1:$1,AB$3,'800-898'!20:20)</f>
        <v>-17385.489999999998</v>
      </c>
      <c r="AC109" s="314">
        <f>SUMIF('800-898'!$1:$1,AC$3,'800-898'!20:20)</f>
        <v>0</v>
      </c>
      <c r="AD109" s="314">
        <f>SUMIF('800-898'!$1:$1,AD$3,'800-898'!20:20)</f>
        <v>0</v>
      </c>
      <c r="AE109" s="314">
        <f>SUMIF('800-898'!$1:$1,AE$3,'800-898'!20:20)</f>
        <v>0</v>
      </c>
      <c r="AF109" s="314">
        <f>SUMIF('800-898'!$1:$1,AF$3,'800-898'!20:20)</f>
        <v>0</v>
      </c>
      <c r="AG109" s="128">
        <f>SUMIF('800-898'!$1:$1,AG$3,'800-898'!20:20)</f>
        <v>104498.42000000001</v>
      </c>
      <c r="AH109" s="128">
        <f>SUMIF('800-898'!$1:$1,AH$3,'800-898'!20:20)</f>
        <v>2285.5100000000002</v>
      </c>
      <c r="AI109" s="128">
        <f>SUMIF('800-898'!$1:$1,AI$3,'800-898'!20:20)</f>
        <v>44903.979999999996</v>
      </c>
      <c r="AJ109" s="128">
        <f>SUMIF('800-898'!$1:$1,AJ$3,'800-898'!20:20)</f>
        <v>8487.6500000000015</v>
      </c>
      <c r="AK109" s="128">
        <f>SUMIF('800-898'!$1:$1,AK$3,'800-898'!20:20)</f>
        <v>26989.379999999997</v>
      </c>
      <c r="AL109" s="128">
        <f>SUMIF('800-898'!$1:$1,AL$3,'800-898'!20:20)</f>
        <v>0</v>
      </c>
      <c r="AM109" s="128">
        <f>SUMIF('800-898'!$1:$1,AM$3,'800-898'!20:20)</f>
        <v>1505.25</v>
      </c>
      <c r="AN109" s="128">
        <f>SUMIF('800-898'!$1:$1,AN$3,'800-898'!20:20)</f>
        <v>452.67000000000007</v>
      </c>
      <c r="AO109" s="128">
        <f>SUMIF('800-898'!$1:$1,AO$3,'800-898'!20:20)</f>
        <v>1403.35</v>
      </c>
      <c r="AP109" s="128">
        <f>SUMIF('800-898'!$1:$1,AP$3,'800-898'!20:20)</f>
        <v>1562.86</v>
      </c>
      <c r="AQ109" s="128">
        <f>SUMIF('800-898'!$1:$1,AQ$3,'800-898'!20:20)</f>
        <v>785.42</v>
      </c>
      <c r="AR109" s="128">
        <f>SUMIF('800-898'!$1:$1,AR$3,'800-898'!20:20)</f>
        <v>3108.71</v>
      </c>
      <c r="AS109" s="128">
        <f>SUMIF('800-898'!$1:$1,AS$3,'800-898'!20:20)</f>
        <v>948.16</v>
      </c>
      <c r="AT109" s="128">
        <f>SUMIF('800-898'!$1:$1,AT$3,'800-898'!20:20)</f>
        <v>625.06999999999994</v>
      </c>
      <c r="AU109" s="128">
        <f>SUMIF('800-898'!$1:$1,AU$3,'800-898'!20:20)</f>
        <v>189.20000000000002</v>
      </c>
      <c r="AV109" s="128">
        <f>SUMIF('800-898'!$1:$1,AV$3,'800-898'!20:20)</f>
        <v>8051.44</v>
      </c>
      <c r="AW109" s="128">
        <f>SUMIF('800-898'!$1:$1,AW$3,'800-898'!20:20)</f>
        <v>778.44</v>
      </c>
      <c r="AX109" s="128">
        <f>SUMIF('800-898'!$1:$1,AX$3,'800-898'!20:20)</f>
        <v>1399.96</v>
      </c>
      <c r="AY109" s="128">
        <f>SUMIF('800-898'!$1:$1,AY$3,'800-898'!20:20)</f>
        <v>11164.190000000002</v>
      </c>
      <c r="AZ109" s="314">
        <f>SUMIF('800-898'!$1:$1,AZ$3,'800-898'!20:20)</f>
        <v>0</v>
      </c>
      <c r="BA109" s="128">
        <f>SUMIF('800-898'!$1:$1,BA$3,'800-898'!20:20)</f>
        <v>3621.35</v>
      </c>
      <c r="BB109" s="128">
        <f>SUMIF('800-898'!$1:$1,BB$3,'800-898'!20:20)</f>
        <v>0</v>
      </c>
      <c r="BC109" s="128">
        <f>SUMIF('800-898'!$1:$1,BC$3,'800-898'!20:20)</f>
        <v>298.32</v>
      </c>
      <c r="BD109" s="128">
        <f>SUMIF('800-898'!$1:$1,BD$3,'800-898'!20:20)</f>
        <v>0</v>
      </c>
      <c r="BE109" s="128">
        <f>SUMIF('800-898'!$1:$1,BE$3,'800-898'!20:20)</f>
        <v>499</v>
      </c>
      <c r="BF109" s="128">
        <f>SUMIF('800-898'!$1:$1,BF$3,'800-898'!20:20)</f>
        <v>252</v>
      </c>
      <c r="BG109" s="128">
        <f>SUMIF('800-898'!$1:$1,BG$3,'800-898'!20:20)</f>
        <v>1257</v>
      </c>
      <c r="BH109" s="128">
        <f>SUMIF('800-898'!$1:$1,BH$3,'800-898'!20:20)</f>
        <v>0</v>
      </c>
      <c r="BI109" s="128">
        <f>SUMIF('800-898'!$1:$1,BI$3,'800-898'!20:20)</f>
        <v>2234.71</v>
      </c>
      <c r="BJ109" s="128">
        <f>SUMIF('800-898'!$1:$1,BJ$3,'800-898'!20:20)</f>
        <v>647.76</v>
      </c>
      <c r="BK109" s="128">
        <f>SUMIF('800-898'!$1:$1,BK$3,'800-898'!20:20)</f>
        <v>0</v>
      </c>
      <c r="BL109" s="128">
        <f>SUMIF('800-898'!$1:$1,BL$3,'800-898'!20:20)</f>
        <v>2708.7700000000004</v>
      </c>
      <c r="BM109" s="128">
        <f>SUMIF('800-898'!$1:$1,BM$3,'800-898'!20:20)</f>
        <v>23433.9</v>
      </c>
      <c r="BN109" s="128">
        <f>SUMIF('800-898'!$1:$1,BN$3,'800-898'!20:20)</f>
        <v>10918.470000000001</v>
      </c>
      <c r="BO109" s="128">
        <f>SUMIF('800-898'!$1:$1,BO$3,'800-898'!20:20)</f>
        <v>32217.109999999997</v>
      </c>
      <c r="BP109" s="128">
        <f>SUMIF('800-898'!$1:$1,BP$3,'800-898'!20:20)</f>
        <v>0</v>
      </c>
      <c r="BQ109" s="128">
        <f>SUMIF('800-898'!$1:$1,BQ$3,'800-898'!20:20)</f>
        <v>0</v>
      </c>
      <c r="BR109" s="128">
        <f>SUMIF('800-898'!$1:$1,BR$3,'800-898'!20:20)</f>
        <v>0</v>
      </c>
      <c r="BS109" s="128">
        <f>SUMIF('800-898'!$1:$1,BS$3,'800-898'!20:20)</f>
        <v>56766.93</v>
      </c>
      <c r="BT109" s="128">
        <f>SUMIF('800-898'!$1:$1,BT$3,'800-898'!20:20)</f>
        <v>121</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4">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302">
        <f t="shared" si="34"/>
        <v>-102215.20000000007</v>
      </c>
      <c r="CJ109" s="122"/>
      <c r="CK109" s="169">
        <f>INDEX(SAP!C:C,MATCH('Actuals mapped to CFR'!A109,SAP!H:H,FALSE),1)</f>
        <v>-102215.2</v>
      </c>
      <c r="CL109" s="59">
        <f t="shared" si="33"/>
        <v>0</v>
      </c>
      <c r="CN109" s="81">
        <f t="shared" si="35"/>
        <v>376869.57999999996</v>
      </c>
      <c r="CO109" s="81">
        <f t="shared" si="36"/>
        <v>354115.98000000004</v>
      </c>
      <c r="CP109" s="166">
        <f>VLOOKUP(B109,'2526 GBP Data input'!$A$4:$CA$230,38,FALSE)</f>
        <v>366616</v>
      </c>
      <c r="CQ109" s="166">
        <f>VLOOKUP(B109,'2526 GBP Data input'!$A$4:$CA$230,73,FALSE)</f>
        <v>15865</v>
      </c>
      <c r="CR109" s="89">
        <f t="shared" si="39"/>
        <v>10253.579999999958</v>
      </c>
      <c r="CS109" s="83">
        <f t="shared" si="40"/>
        <v>22.320578632209269</v>
      </c>
      <c r="CT109" s="82">
        <f t="shared" si="37"/>
        <v>100366.40999999992</v>
      </c>
      <c r="CU109" s="82">
        <f t="shared" si="38"/>
        <v>0</v>
      </c>
      <c r="CV109" s="86">
        <f t="shared" si="44"/>
        <v>100366.40999999992</v>
      </c>
    </row>
    <row r="110" spans="1:100">
      <c r="A110" s="238">
        <v>107852</v>
      </c>
      <c r="B110" s="60">
        <v>852</v>
      </c>
      <c r="C110" s="60" t="s">
        <v>201</v>
      </c>
      <c r="D110" s="128">
        <f>SUMIF('800-898'!$1:$1,D$3,'800-898'!21:21)</f>
        <v>-51755.19</v>
      </c>
      <c r="E110" s="128">
        <f>SUMIF('800-898'!$1:$1,E$3,'800-898'!21:21)</f>
        <v>-8265.74</v>
      </c>
      <c r="F110" s="128">
        <f>SUMIF('800-898'!$1:$1,F$3,'800-898'!21:21)</f>
        <v>0</v>
      </c>
      <c r="G110" s="128">
        <f>SUMIF('800-898'!$1:$1,G$3,'800-898'!21:21)</f>
        <v>-1490.91</v>
      </c>
      <c r="H110" s="128">
        <f>SUMIF('800-898'!$1:$1,H$3,'800-898'!21:21)</f>
        <v>0</v>
      </c>
      <c r="I110" s="128">
        <f>SUMIF('800-898'!$1:$1,I$3,'800-898'!21:21)</f>
        <v>0</v>
      </c>
      <c r="J110" s="128">
        <f>SUMIF('800-898'!$1:$1,J$3,'800-898'!21:21)</f>
        <v>0</v>
      </c>
      <c r="K110" s="128">
        <f>SUMIF('800-898'!$1:$1,K$3,'800-898'!21:21)</f>
        <v>-807469.24</v>
      </c>
      <c r="L110" s="128">
        <f>SUMIF('800-898'!$1:$1,L$3,'800-898'!21:21)</f>
        <v>0</v>
      </c>
      <c r="M110" s="128">
        <f>SUMIF('800-898'!$1:$1,M$3,'800-898'!21:21)</f>
        <v>-56500</v>
      </c>
      <c r="N110" s="128">
        <f>SUMIF('800-898'!$1:$1,N$3,'800-898'!21:21)</f>
        <v>0</v>
      </c>
      <c r="O110" s="128">
        <f>SUMIF('800-898'!$1:$1,O$3,'800-898'!21:21)</f>
        <v>-34570</v>
      </c>
      <c r="P110" s="128">
        <f>SUMIF('800-898'!$1:$1,P$3,'800-898'!21:21)</f>
        <v>-45516</v>
      </c>
      <c r="Q110" s="128">
        <f>SUMIF('800-898'!$1:$1,Q$3,'800-898'!21:21)</f>
        <v>-390</v>
      </c>
      <c r="R110" s="128">
        <f>SUMIF('800-898'!$1:$1,R$3,'800-898'!21:21)</f>
        <v>-5585.06</v>
      </c>
      <c r="S110" s="128">
        <f>SUMIF('800-898'!$1:$1,S$3,'800-898'!21:21)</f>
        <v>-8122.2099999999991</v>
      </c>
      <c r="T110" s="128">
        <f>SUMIF('800-898'!$1:$1,T$3,'800-898'!21:21)</f>
        <v>81.99</v>
      </c>
      <c r="U110" s="128">
        <f>SUMIF('800-898'!$1:$1,U$3,'800-898'!21:21)</f>
        <v>0</v>
      </c>
      <c r="V110" s="128">
        <f>SUMIF('800-898'!$1:$1,V$3,'800-898'!21:21)</f>
        <v>0</v>
      </c>
      <c r="W110" s="128">
        <f>SUMIF('800-898'!$1:$1,W$3,'800-898'!21:21)</f>
        <v>-7202.9900000000007</v>
      </c>
      <c r="X110" s="128">
        <f>SUMIF('800-898'!$1:$1,X$3,'800-898'!21:21)</f>
        <v>-3618.48</v>
      </c>
      <c r="Y110" s="164">
        <f>SUMIF('800-898'!$1:$1,Y$3,'800-898'!21:21)</f>
        <v>0</v>
      </c>
      <c r="Z110" s="128">
        <f>SUMIF('800-898'!$1:$1,Z$3,'800-898'!21:21)</f>
        <v>0</v>
      </c>
      <c r="AA110" s="128">
        <f>SUMIF('800-898'!$1:$1,AA$3,'800-898'!21:21)</f>
        <v>0</v>
      </c>
      <c r="AB110" s="128">
        <f>SUMIF('800-898'!$1:$1,AB$3,'800-898'!21:21)</f>
        <v>0</v>
      </c>
      <c r="AC110" s="314">
        <f>SUMIF('800-898'!$1:$1,AC$3,'800-898'!21:21)</f>
        <v>0</v>
      </c>
      <c r="AD110" s="314">
        <f>SUMIF('800-898'!$1:$1,AD$3,'800-898'!21:21)</f>
        <v>0</v>
      </c>
      <c r="AE110" s="314">
        <f>SUMIF('800-898'!$1:$1,AE$3,'800-898'!21:21)</f>
        <v>0</v>
      </c>
      <c r="AF110" s="314">
        <f>SUMIF('800-898'!$1:$1,AF$3,'800-898'!21:21)</f>
        <v>0</v>
      </c>
      <c r="AG110" s="128">
        <f>SUMIF('800-898'!$1:$1,AG$3,'800-898'!21:21)</f>
        <v>437374.83</v>
      </c>
      <c r="AH110" s="128">
        <f>SUMIF('800-898'!$1:$1,AH$3,'800-898'!21:21)</f>
        <v>7234.329999999999</v>
      </c>
      <c r="AI110" s="128">
        <f>SUMIF('800-898'!$1:$1,AI$3,'800-898'!21:21)</f>
        <v>135027.06999999998</v>
      </c>
      <c r="AJ110" s="128">
        <f>SUMIF('800-898'!$1:$1,AJ$3,'800-898'!21:21)</f>
        <v>16285</v>
      </c>
      <c r="AK110" s="128">
        <f>SUMIF('800-898'!$1:$1,AK$3,'800-898'!21:21)</f>
        <v>53208.950000000004</v>
      </c>
      <c r="AL110" s="128">
        <f>SUMIF('800-898'!$1:$1,AL$3,'800-898'!21:21)</f>
        <v>0</v>
      </c>
      <c r="AM110" s="128">
        <f>SUMIF('800-898'!$1:$1,AM$3,'800-898'!21:21)</f>
        <v>18086.86</v>
      </c>
      <c r="AN110" s="128">
        <f>SUMIF('800-898'!$1:$1,AN$3,'800-898'!21:21)</f>
        <v>2591.54</v>
      </c>
      <c r="AO110" s="128">
        <f>SUMIF('800-898'!$1:$1,AO$3,'800-898'!21:21)</f>
        <v>2461.5</v>
      </c>
      <c r="AP110" s="128">
        <f>SUMIF('800-898'!$1:$1,AP$3,'800-898'!21:21)</f>
        <v>411.75</v>
      </c>
      <c r="AQ110" s="128">
        <f>SUMIF('800-898'!$1:$1,AQ$3,'800-898'!21:21)</f>
        <v>780</v>
      </c>
      <c r="AR110" s="128">
        <f>SUMIF('800-898'!$1:$1,AR$3,'800-898'!21:21)</f>
        <v>8585.3499999999967</v>
      </c>
      <c r="AS110" s="128">
        <f>SUMIF('800-898'!$1:$1,AS$3,'800-898'!21:21)</f>
        <v>4488.5200000000004</v>
      </c>
      <c r="AT110" s="128">
        <f>SUMIF('800-898'!$1:$1,AT$3,'800-898'!21:21)</f>
        <v>27111.699999999997</v>
      </c>
      <c r="AU110" s="128">
        <f>SUMIF('800-898'!$1:$1,AU$3,'800-898'!21:21)</f>
        <v>3256.2000000000003</v>
      </c>
      <c r="AV110" s="128">
        <f>SUMIF('800-898'!$1:$1,AV$3,'800-898'!21:21)</f>
        <v>20090.28</v>
      </c>
      <c r="AW110" s="128">
        <f>SUMIF('800-898'!$1:$1,AW$3,'800-898'!21:21)</f>
        <v>16467</v>
      </c>
      <c r="AX110" s="128">
        <f>SUMIF('800-898'!$1:$1,AX$3,'800-898'!21:21)</f>
        <v>15084.269999999997</v>
      </c>
      <c r="AY110" s="128">
        <f>SUMIF('800-898'!$1:$1,AY$3,'800-898'!21:21)</f>
        <v>34150.769999999997</v>
      </c>
      <c r="AZ110" s="314">
        <f>SUMIF('800-898'!$1:$1,AZ$3,'800-898'!21:21)</f>
        <v>0</v>
      </c>
      <c r="BA110" s="128">
        <f>SUMIF('800-898'!$1:$1,BA$3,'800-898'!21:21)</f>
        <v>2834</v>
      </c>
      <c r="BB110" s="128">
        <f>SUMIF('800-898'!$1:$1,BB$3,'800-898'!21:21)</f>
        <v>0</v>
      </c>
      <c r="BC110" s="128">
        <f>SUMIF('800-898'!$1:$1,BC$3,'800-898'!21:21)</f>
        <v>2718.85</v>
      </c>
      <c r="BD110" s="128">
        <f>SUMIF('800-898'!$1:$1,BD$3,'800-898'!21:21)</f>
        <v>8087.39</v>
      </c>
      <c r="BE110" s="128">
        <f>SUMIF('800-898'!$1:$1,BE$3,'800-898'!21:21)</f>
        <v>0</v>
      </c>
      <c r="BF110" s="128">
        <f>SUMIF('800-898'!$1:$1,BF$3,'800-898'!21:21)</f>
        <v>145.66</v>
      </c>
      <c r="BG110" s="128">
        <f>SUMIF('800-898'!$1:$1,BG$3,'800-898'!21:21)</f>
        <v>1417.5</v>
      </c>
      <c r="BH110" s="128">
        <f>SUMIF('800-898'!$1:$1,BH$3,'800-898'!21:21)</f>
        <v>0</v>
      </c>
      <c r="BI110" s="128">
        <f>SUMIF('800-898'!$1:$1,BI$3,'800-898'!21:21)</f>
        <v>1306.5800000000004</v>
      </c>
      <c r="BJ110" s="128">
        <f>SUMIF('800-898'!$1:$1,BJ$3,'800-898'!21:21)</f>
        <v>7287.2999999999993</v>
      </c>
      <c r="BK110" s="128">
        <f>SUMIF('800-898'!$1:$1,BK$3,'800-898'!21:21)</f>
        <v>0</v>
      </c>
      <c r="BL110" s="128">
        <f>SUMIF('800-898'!$1:$1,BL$3,'800-898'!21:21)</f>
        <v>36683.72</v>
      </c>
      <c r="BM110" s="128">
        <f>SUMIF('800-898'!$1:$1,BM$3,'800-898'!21:21)</f>
        <v>12000.14</v>
      </c>
      <c r="BN110" s="128">
        <f>SUMIF('800-898'!$1:$1,BN$3,'800-898'!21:21)</f>
        <v>49273.399999999994</v>
      </c>
      <c r="BO110" s="128">
        <f>SUMIF('800-898'!$1:$1,BO$3,'800-898'!21:21)</f>
        <v>15129.800000000001</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-5417.5</v>
      </c>
      <c r="BV110" s="128">
        <f>SUMIF('800-898'!$1:$1,BV$3,'800-898'!21:21)</f>
        <v>0</v>
      </c>
      <c r="BW110" s="128">
        <f>SUMIF('800-898'!$1:$1,BW$3,'800-898'!21:21)</f>
        <v>0</v>
      </c>
      <c r="BX110" s="128">
        <f>SUMIF('800-898'!$1:$1,BX$3,'800-898'!21:21)</f>
        <v>0</v>
      </c>
      <c r="BY110" s="128">
        <f>SUMIF('800-898'!$1:$1,BY$3,'800-898'!21:21)</f>
        <v>2328.4</v>
      </c>
      <c r="BZ110" s="128">
        <f>SUMIF('800-898'!$1:$1,BZ$3,'800-898'!21:21)</f>
        <v>0</v>
      </c>
      <c r="CA110" s="314">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302">
        <f t="shared" si="34"/>
        <v>-93912.670000000086</v>
      </c>
      <c r="CJ110" s="122"/>
      <c r="CK110" s="169">
        <f>INDEX(SAP!C:C,MATCH('Actuals mapped to CFR'!A110,SAP!H:H,FALSE),1)</f>
        <v>-93912.67</v>
      </c>
      <c r="CL110" s="59">
        <f t="shared" si="33"/>
        <v>0</v>
      </c>
      <c r="CN110" s="81">
        <f t="shared" si="35"/>
        <v>968891.99</v>
      </c>
      <c r="CO110" s="81">
        <f t="shared" si="36"/>
        <v>939580.26</v>
      </c>
      <c r="CP110" s="166">
        <f>VLOOKUP(B110,'2526 GBP Data input'!$A$4:$CA$230,38,FALSE)</f>
        <v>925711</v>
      </c>
      <c r="CQ110" s="166">
        <f>VLOOKUP(B110,'2526 GBP Data input'!$A$4:$CA$230,73,FALSE)</f>
        <v>17906</v>
      </c>
      <c r="CR110" s="89">
        <f t="shared" si="39"/>
        <v>43180.989999999991</v>
      </c>
      <c r="CS110" s="83">
        <f t="shared" si="40"/>
        <v>52.472928627275778</v>
      </c>
      <c r="CT110" s="82">
        <f t="shared" si="37"/>
        <v>81066.919999999925</v>
      </c>
      <c r="CU110" s="82">
        <f t="shared" si="38"/>
        <v>4580.01</v>
      </c>
      <c r="CV110" s="86">
        <f t="shared" si="44"/>
        <v>85646.92999999992</v>
      </c>
    </row>
    <row r="111" spans="1:100">
      <c r="A111" s="238">
        <v>107853</v>
      </c>
      <c r="B111" s="60">
        <v>853</v>
      </c>
      <c r="C111" s="60" t="s">
        <v>410</v>
      </c>
      <c r="D111" s="128">
        <f>SUMIF('800-898'!$1:$1,D$3,'800-898'!22:22)</f>
        <v>-76061.649999999994</v>
      </c>
      <c r="E111" s="128">
        <f>SUMIF('800-898'!$1:$1,E$3,'800-898'!22:22)</f>
        <v>-13130.98</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-748457.11</v>
      </c>
      <c r="L111" s="128">
        <f>SUMIF('800-898'!$1:$1,L$3,'800-898'!22:22)</f>
        <v>0</v>
      </c>
      <c r="M111" s="128">
        <f>SUMIF('800-898'!$1:$1,M$3,'800-898'!22:22)</f>
        <v>-7047</v>
      </c>
      <c r="N111" s="128">
        <f>SUMIF('800-898'!$1:$1,N$3,'800-898'!22:22)</f>
        <v>0</v>
      </c>
      <c r="O111" s="128">
        <f>SUMIF('800-898'!$1:$1,O$3,'800-898'!22:22)</f>
        <v>-13585</v>
      </c>
      <c r="P111" s="128">
        <f>SUMIF('800-898'!$1:$1,P$3,'800-898'!22:22)</f>
        <v>-40852.93</v>
      </c>
      <c r="Q111" s="128">
        <f>SUMIF('800-898'!$1:$1,Q$3,'800-898'!22:22)</f>
        <v>0</v>
      </c>
      <c r="R111" s="128">
        <f>SUMIF('800-898'!$1:$1,R$3,'800-898'!22:22)</f>
        <v>-2024.07</v>
      </c>
      <c r="S111" s="128">
        <f>SUMIF('800-898'!$1:$1,S$3,'800-898'!22:22)</f>
        <v>-3684.98</v>
      </c>
      <c r="T111" s="128">
        <f>SUMIF('800-898'!$1:$1,T$3,'800-898'!22:22)</f>
        <v>9.8999999999999773</v>
      </c>
      <c r="U111" s="128">
        <f>SUMIF('800-898'!$1:$1,U$3,'800-898'!22:22)</f>
        <v>0</v>
      </c>
      <c r="V111" s="128">
        <f>SUMIF('800-898'!$1:$1,V$3,'800-898'!22:22)</f>
        <v>-252</v>
      </c>
      <c r="W111" s="128">
        <f>SUMIF('800-898'!$1:$1,W$3,'800-898'!22:22)</f>
        <v>-9330.5799999999981</v>
      </c>
      <c r="X111" s="128">
        <f>SUMIF('800-898'!$1:$1,X$3,'800-898'!22:22)</f>
        <v>-6772.1599999999989</v>
      </c>
      <c r="Y111" s="164">
        <f>SUMIF('800-898'!$1:$1,Y$3,'800-898'!22:22)</f>
        <v>0</v>
      </c>
      <c r="Z111" s="128">
        <f>SUMIF('800-898'!$1:$1,Z$3,'800-898'!22:22)</f>
        <v>0</v>
      </c>
      <c r="AA111" s="128">
        <f>SUMIF('800-898'!$1:$1,AA$3,'800-898'!22:22)</f>
        <v>0</v>
      </c>
      <c r="AB111" s="128">
        <f>SUMIF('800-898'!$1:$1,AB$3,'800-898'!22:22)</f>
        <v>0</v>
      </c>
      <c r="AC111" s="314">
        <f>SUMIF('800-898'!$1:$1,AC$3,'800-898'!22:22)</f>
        <v>0</v>
      </c>
      <c r="AD111" s="314">
        <f>SUMIF('800-898'!$1:$1,AD$3,'800-898'!22:22)</f>
        <v>0</v>
      </c>
      <c r="AE111" s="314">
        <f>SUMIF('800-898'!$1:$1,AE$3,'800-898'!22:22)</f>
        <v>0</v>
      </c>
      <c r="AF111" s="314">
        <f>SUMIF('800-898'!$1:$1,AF$3,'800-898'!22:22)</f>
        <v>0</v>
      </c>
      <c r="AG111" s="128">
        <f>SUMIF('800-898'!$1:$1,AG$3,'800-898'!22:22)</f>
        <v>415736.25999999995</v>
      </c>
      <c r="AH111" s="128">
        <f>SUMIF('800-898'!$1:$1,AH$3,'800-898'!22:22)</f>
        <v>5219.58</v>
      </c>
      <c r="AI111" s="128">
        <f>SUMIF('800-898'!$1:$1,AI$3,'800-898'!22:22)</f>
        <v>142431.75</v>
      </c>
      <c r="AJ111" s="128">
        <f>SUMIF('800-898'!$1:$1,AJ$3,'800-898'!22:22)</f>
        <v>0</v>
      </c>
      <c r="AK111" s="128">
        <f>SUMIF('800-898'!$1:$1,AK$3,'800-898'!22:22)</f>
        <v>49891.369999999995</v>
      </c>
      <c r="AL111" s="128">
        <f>SUMIF('800-898'!$1:$1,AL$3,'800-898'!22:22)</f>
        <v>0</v>
      </c>
      <c r="AM111" s="128">
        <f>SUMIF('800-898'!$1:$1,AM$3,'800-898'!22:22)</f>
        <v>17227.210000000003</v>
      </c>
      <c r="AN111" s="128">
        <f>SUMIF('800-898'!$1:$1,AN$3,'800-898'!22:22)</f>
        <v>0</v>
      </c>
      <c r="AO111" s="128">
        <f>SUMIF('800-898'!$1:$1,AO$3,'800-898'!22:22)</f>
        <v>5813.9800000000005</v>
      </c>
      <c r="AP111" s="128">
        <f>SUMIF('800-898'!$1:$1,AP$3,'800-898'!22:22)</f>
        <v>5989.49</v>
      </c>
      <c r="AQ111" s="128">
        <f>SUMIF('800-898'!$1:$1,AQ$3,'800-898'!22:22)</f>
        <v>1520.04</v>
      </c>
      <c r="AR111" s="128">
        <f>SUMIF('800-898'!$1:$1,AR$3,'800-898'!22:22)</f>
        <v>3255.7699999999995</v>
      </c>
      <c r="AS111" s="128">
        <f>SUMIF('800-898'!$1:$1,AS$3,'800-898'!22:22)</f>
        <v>4289.6799999999985</v>
      </c>
      <c r="AT111" s="128">
        <f>SUMIF('800-898'!$1:$1,AT$3,'800-898'!22:22)</f>
        <v>13031.079999999998</v>
      </c>
      <c r="AU111" s="128">
        <f>SUMIF('800-898'!$1:$1,AU$3,'800-898'!22:22)</f>
        <v>2468.0699999999997</v>
      </c>
      <c r="AV111" s="128">
        <f>SUMIF('800-898'!$1:$1,AV$3,'800-898'!22:22)</f>
        <v>7909.6100000000015</v>
      </c>
      <c r="AW111" s="128">
        <f>SUMIF('800-898'!$1:$1,AW$3,'800-898'!22:22)</f>
        <v>2619.75</v>
      </c>
      <c r="AX111" s="128">
        <f>SUMIF('800-898'!$1:$1,AX$3,'800-898'!22:22)</f>
        <v>4004.2299999999996</v>
      </c>
      <c r="AY111" s="128">
        <f>SUMIF('800-898'!$1:$1,AY$3,'800-898'!22:22)</f>
        <v>25639.059999999998</v>
      </c>
      <c r="AZ111" s="314">
        <f>SUMIF('800-898'!$1:$1,AZ$3,'800-898'!22:22)</f>
        <v>0</v>
      </c>
      <c r="BA111" s="128">
        <f>SUMIF('800-898'!$1:$1,BA$3,'800-898'!22:22)</f>
        <v>1627.56</v>
      </c>
      <c r="BB111" s="128">
        <f>SUMIF('800-898'!$1:$1,BB$3,'800-898'!22:22)</f>
        <v>0</v>
      </c>
      <c r="BC111" s="128">
        <f>SUMIF('800-898'!$1:$1,BC$3,'800-898'!22:22)</f>
        <v>4848.46</v>
      </c>
      <c r="BD111" s="128">
        <f>SUMIF('800-898'!$1:$1,BD$3,'800-898'!22:22)</f>
        <v>730.6400000000001</v>
      </c>
      <c r="BE111" s="128">
        <f>SUMIF('800-898'!$1:$1,BE$3,'800-898'!22:22)</f>
        <v>133.32</v>
      </c>
      <c r="BF111" s="128">
        <f>SUMIF('800-898'!$1:$1,BF$3,'800-898'!22:22)</f>
        <v>196.65</v>
      </c>
      <c r="BG111" s="128">
        <f>SUMIF('800-898'!$1:$1,BG$3,'800-898'!22:22)</f>
        <v>5362.75</v>
      </c>
      <c r="BH111" s="128">
        <f>SUMIF('800-898'!$1:$1,BH$3,'800-898'!22:22)</f>
        <v>0</v>
      </c>
      <c r="BI111" s="128">
        <f>SUMIF('800-898'!$1:$1,BI$3,'800-898'!22:22)</f>
        <v>2302.63</v>
      </c>
      <c r="BJ111" s="128">
        <f>SUMIF('800-898'!$1:$1,BJ$3,'800-898'!22:22)</f>
        <v>7341.28</v>
      </c>
      <c r="BK111" s="128">
        <f>SUMIF('800-898'!$1:$1,BK$3,'800-898'!22:22)</f>
        <v>0</v>
      </c>
      <c r="BL111" s="128">
        <f>SUMIF('800-898'!$1:$1,BL$3,'800-898'!22:22)</f>
        <v>29263.57</v>
      </c>
      <c r="BM111" s="128">
        <f>SUMIF('800-898'!$1:$1,BM$3,'800-898'!22:22)</f>
        <v>5755.8000000000011</v>
      </c>
      <c r="BN111" s="128">
        <f>SUMIF('800-898'!$1:$1,BN$3,'800-898'!22:22)</f>
        <v>19578.099999999999</v>
      </c>
      <c r="BO111" s="128">
        <f>SUMIF('800-898'!$1:$1,BO$3,'800-898'!22:22)</f>
        <v>15082.670000000006</v>
      </c>
      <c r="BP111" s="128">
        <f>SUMIF('800-898'!$1:$1,BP$3,'800-898'!22:22)</f>
        <v>0</v>
      </c>
      <c r="BQ111" s="128">
        <f>SUMIF('800-898'!$1:$1,BQ$3,'800-898'!22:22)</f>
        <v>0</v>
      </c>
      <c r="BR111" s="128">
        <f>SUMIF('800-898'!$1:$1,BR$3,'800-898'!22:22)</f>
        <v>890.88</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4">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302">
        <f t="shared" si="34"/>
        <v>-121027.31999999995</v>
      </c>
      <c r="CJ111" s="122"/>
      <c r="CK111" s="169">
        <f>INDEX(SAP!C:C,MATCH('Actuals mapped to CFR'!A111,SAP!H:H,FALSE),1)</f>
        <v>-121027.32</v>
      </c>
      <c r="CL111" s="59">
        <f t="shared" si="33"/>
        <v>0</v>
      </c>
      <c r="CN111" s="81">
        <f t="shared" si="35"/>
        <v>831995.92999999993</v>
      </c>
      <c r="CO111" s="81">
        <f t="shared" si="36"/>
        <v>800161.24</v>
      </c>
      <c r="CP111" s="166">
        <f>VLOOKUP(B111,'2526 GBP Data input'!$A$4:$CA$230,38,FALSE)</f>
        <v>811608</v>
      </c>
      <c r="CQ111" s="166">
        <f>VLOOKUP(B111,'2526 GBP Data input'!$A$4:$CA$230,73,FALSE)</f>
        <v>17265</v>
      </c>
      <c r="CR111" s="89">
        <f t="shared" si="39"/>
        <v>20387.929999999935</v>
      </c>
      <c r="CS111" s="83">
        <f t="shared" si="40"/>
        <v>46.345858094410659</v>
      </c>
      <c r="CT111" s="82">
        <f t="shared" si="37"/>
        <v>107896.33999999997</v>
      </c>
      <c r="CU111" s="82">
        <f t="shared" si="38"/>
        <v>0</v>
      </c>
      <c r="CV111" s="86">
        <f t="shared" si="44"/>
        <v>107896.33999999997</v>
      </c>
    </row>
    <row r="112" spans="1:100">
      <c r="A112" s="238">
        <v>107862</v>
      </c>
      <c r="B112" s="60">
        <v>862</v>
      </c>
      <c r="C112" s="60" t="s">
        <v>216</v>
      </c>
      <c r="D112" s="128">
        <f>SUMIF('800-898'!$1:$1,D$3,'800-898'!23:23)</f>
        <v>-144983.1</v>
      </c>
      <c r="E112" s="128">
        <f>SUMIF('800-898'!$1:$1,E$3,'800-898'!23:23)</f>
        <v>-10904</v>
      </c>
      <c r="F112" s="128">
        <f>SUMIF('800-898'!$1:$1,F$3,'800-898'!23:23)</f>
        <v>0</v>
      </c>
      <c r="G112" s="128">
        <f>SUMIF('800-898'!$1:$1,G$3,'800-898'!23:23)</f>
        <v>1521.61</v>
      </c>
      <c r="H112" s="128">
        <f>SUMIF('800-898'!$1:$1,H$3,'800-898'!23:23)</f>
        <v>0</v>
      </c>
      <c r="I112" s="128">
        <f>SUMIF('800-898'!$1:$1,I$3,'800-898'!23:23)</f>
        <v>0</v>
      </c>
      <c r="J112" s="128">
        <f>SUMIF('800-898'!$1:$1,J$3,'800-898'!23:23)</f>
        <v>0</v>
      </c>
      <c r="K112" s="128">
        <f>SUMIF('800-898'!$1:$1,K$3,'800-898'!23:23)</f>
        <v>-973834.8</v>
      </c>
      <c r="L112" s="128">
        <f>SUMIF('800-898'!$1:$1,L$3,'800-898'!23:23)</f>
        <v>0</v>
      </c>
      <c r="M112" s="128">
        <f>SUMIF('800-898'!$1:$1,M$3,'800-898'!23:23)</f>
        <v>-32378</v>
      </c>
      <c r="N112" s="128">
        <f>SUMIF('800-898'!$1:$1,N$3,'800-898'!23:23)</f>
        <v>0</v>
      </c>
      <c r="O112" s="128">
        <f>SUMIF('800-898'!$1:$1,O$3,'800-898'!23:23)</f>
        <v>-38890</v>
      </c>
      <c r="P112" s="128">
        <f>SUMIF('800-898'!$1:$1,P$3,'800-898'!23:23)</f>
        <v>-56124.639999999999</v>
      </c>
      <c r="Q112" s="128">
        <f>SUMIF('800-898'!$1:$1,Q$3,'800-898'!23:23)</f>
        <v>0</v>
      </c>
      <c r="R112" s="128">
        <f>SUMIF('800-898'!$1:$1,R$3,'800-898'!23:23)</f>
        <v>0</v>
      </c>
      <c r="S112" s="128">
        <f>SUMIF('800-898'!$1:$1,S$3,'800-898'!23:23)</f>
        <v>-16317.17</v>
      </c>
      <c r="T112" s="128">
        <f>SUMIF('800-898'!$1:$1,T$3,'800-898'!23:23)</f>
        <v>-6109.0000000000036</v>
      </c>
      <c r="U112" s="128">
        <f>SUMIF('800-898'!$1:$1,U$3,'800-898'!23:23)</f>
        <v>-500</v>
      </c>
      <c r="V112" s="128">
        <f>SUMIF('800-898'!$1:$1,V$3,'800-898'!23:23)</f>
        <v>0</v>
      </c>
      <c r="W112" s="128">
        <f>SUMIF('800-898'!$1:$1,W$3,'800-898'!23:23)</f>
        <v>-22094.979999999996</v>
      </c>
      <c r="X112" s="128">
        <f>SUMIF('800-898'!$1:$1,X$3,'800-898'!23:23)</f>
        <v>-2732.32</v>
      </c>
      <c r="Y112" s="164">
        <f>SUMIF('800-898'!$1:$1,Y$3,'800-898'!23:23)</f>
        <v>0</v>
      </c>
      <c r="Z112" s="128">
        <f>SUMIF('800-898'!$1:$1,Z$3,'800-898'!23:23)</f>
        <v>0</v>
      </c>
      <c r="AA112" s="128">
        <f>SUMIF('800-898'!$1:$1,AA$3,'800-898'!23:23)</f>
        <v>0</v>
      </c>
      <c r="AB112" s="128">
        <f>SUMIF('800-898'!$1:$1,AB$3,'800-898'!23:23)</f>
        <v>0</v>
      </c>
      <c r="AC112" s="314">
        <f>SUMIF('800-898'!$1:$1,AC$3,'800-898'!23:23)</f>
        <v>0</v>
      </c>
      <c r="AD112" s="314">
        <f>SUMIF('800-898'!$1:$1,AD$3,'800-898'!23:23)</f>
        <v>0</v>
      </c>
      <c r="AE112" s="314">
        <f>SUMIF('800-898'!$1:$1,AE$3,'800-898'!23:23)</f>
        <v>0</v>
      </c>
      <c r="AF112" s="314">
        <f>SUMIF('800-898'!$1:$1,AF$3,'800-898'!23:23)</f>
        <v>0</v>
      </c>
      <c r="AG112" s="128">
        <f>SUMIF('800-898'!$1:$1,AG$3,'800-898'!23:23)</f>
        <v>511475.56000000006</v>
      </c>
      <c r="AH112" s="128">
        <f>SUMIF('800-898'!$1:$1,AH$3,'800-898'!23:23)</f>
        <v>1502.51</v>
      </c>
      <c r="AI112" s="128">
        <f>SUMIF('800-898'!$1:$1,AI$3,'800-898'!23:23)</f>
        <v>219413.94</v>
      </c>
      <c r="AJ112" s="128">
        <f>SUMIF('800-898'!$1:$1,AJ$3,'800-898'!23:23)</f>
        <v>9959.8399999999983</v>
      </c>
      <c r="AK112" s="128">
        <f>SUMIF('800-898'!$1:$1,AK$3,'800-898'!23:23)</f>
        <v>54966.25</v>
      </c>
      <c r="AL112" s="128">
        <f>SUMIF('800-898'!$1:$1,AL$3,'800-898'!23:23)</f>
        <v>0</v>
      </c>
      <c r="AM112" s="128">
        <f>SUMIF('800-898'!$1:$1,AM$3,'800-898'!23:23)</f>
        <v>61693.82</v>
      </c>
      <c r="AN112" s="128">
        <f>SUMIF('800-898'!$1:$1,AN$3,'800-898'!23:23)</f>
        <v>3707</v>
      </c>
      <c r="AO112" s="128">
        <f>SUMIF('800-898'!$1:$1,AO$3,'800-898'!23:23)</f>
        <v>4146.5</v>
      </c>
      <c r="AP112" s="128">
        <f>SUMIF('800-898'!$1:$1,AP$3,'800-898'!23:23)</f>
        <v>509.35</v>
      </c>
      <c r="AQ112" s="128">
        <f>SUMIF('800-898'!$1:$1,AQ$3,'800-898'!23:23)</f>
        <v>6310.45</v>
      </c>
      <c r="AR112" s="128">
        <f>SUMIF('800-898'!$1:$1,AR$3,'800-898'!23:23)</f>
        <v>20025.25</v>
      </c>
      <c r="AS112" s="128">
        <f>SUMIF('800-898'!$1:$1,AS$3,'800-898'!23:23)</f>
        <v>2440.3200000000002</v>
      </c>
      <c r="AT112" s="128">
        <f>SUMIF('800-898'!$1:$1,AT$3,'800-898'!23:23)</f>
        <v>27535.25</v>
      </c>
      <c r="AU112" s="128">
        <f>SUMIF('800-898'!$1:$1,AU$3,'800-898'!23:23)</f>
        <v>3048.26</v>
      </c>
      <c r="AV112" s="128">
        <f>SUMIF('800-898'!$1:$1,AV$3,'800-898'!23:23)</f>
        <v>16771.16</v>
      </c>
      <c r="AW112" s="128">
        <f>SUMIF('800-898'!$1:$1,AW$3,'800-898'!23:23)</f>
        <v>22829.25</v>
      </c>
      <c r="AX112" s="128">
        <f>SUMIF('800-898'!$1:$1,AX$3,'800-898'!23:23)</f>
        <v>1467.0699999999997</v>
      </c>
      <c r="AY112" s="128">
        <f>SUMIF('800-898'!$1:$1,AY$3,'800-898'!23:23)</f>
        <v>48562.500000000007</v>
      </c>
      <c r="AZ112" s="314">
        <f>SUMIF('800-898'!$1:$1,AZ$3,'800-898'!23:23)</f>
        <v>0</v>
      </c>
      <c r="BA112" s="128">
        <f>SUMIF('800-898'!$1:$1,BA$3,'800-898'!23:23)</f>
        <v>7279.3</v>
      </c>
      <c r="BB112" s="128">
        <f>SUMIF('800-898'!$1:$1,BB$3,'800-898'!23:23)</f>
        <v>0</v>
      </c>
      <c r="BC112" s="128">
        <f>SUMIF('800-898'!$1:$1,BC$3,'800-898'!23:23)</f>
        <v>2317.42</v>
      </c>
      <c r="BD112" s="128">
        <f>SUMIF('800-898'!$1:$1,BD$3,'800-898'!23:23)</f>
        <v>7841.8600000000006</v>
      </c>
      <c r="BE112" s="128">
        <f>SUMIF('800-898'!$1:$1,BE$3,'800-898'!23:23)</f>
        <v>0</v>
      </c>
      <c r="BF112" s="128">
        <f>SUMIF('800-898'!$1:$1,BF$3,'800-898'!23:23)</f>
        <v>1436</v>
      </c>
      <c r="BG112" s="128">
        <f>SUMIF('800-898'!$1:$1,BG$3,'800-898'!23:23)</f>
        <v>2698.49</v>
      </c>
      <c r="BH112" s="128">
        <f>SUMIF('800-898'!$1:$1,BH$3,'800-898'!23:23)</f>
        <v>0</v>
      </c>
      <c r="BI112" s="128">
        <f>SUMIF('800-898'!$1:$1,BI$3,'800-898'!23:23)</f>
        <v>6948.46</v>
      </c>
      <c r="BJ112" s="128">
        <f>SUMIF('800-898'!$1:$1,BJ$3,'800-898'!23:23)</f>
        <v>9014.66</v>
      </c>
      <c r="BK112" s="128">
        <f>SUMIF('800-898'!$1:$1,BK$3,'800-898'!23:23)</f>
        <v>0</v>
      </c>
      <c r="BL112" s="128">
        <f>SUMIF('800-898'!$1:$1,BL$3,'800-898'!23:23)</f>
        <v>50055.29</v>
      </c>
      <c r="BM112" s="128">
        <f>SUMIF('800-898'!$1:$1,BM$3,'800-898'!23:23)</f>
        <v>11365.990000000002</v>
      </c>
      <c r="BN112" s="128">
        <f>SUMIF('800-898'!$1:$1,BN$3,'800-898'!23:23)</f>
        <v>23890.54</v>
      </c>
      <c r="BO112" s="128">
        <f>SUMIF('800-898'!$1:$1,BO$3,'800-898'!23:23)</f>
        <v>13651.140000000001</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-5845</v>
      </c>
      <c r="BV112" s="128">
        <f>SUMIF('800-898'!$1:$1,BV$3,'800-898'!23:23)</f>
        <v>0</v>
      </c>
      <c r="BW112" s="128">
        <f>SUMIF('800-898'!$1:$1,BW$3,'800-898'!23:23)</f>
        <v>0</v>
      </c>
      <c r="BX112" s="128">
        <f>SUMIF('800-898'!$1:$1,BX$3,'800-898'!23:23)</f>
        <v>0</v>
      </c>
      <c r="BY112" s="128">
        <f>SUMIF('800-898'!$1:$1,BY$3,'800-898'!23:23)</f>
        <v>-1455.42</v>
      </c>
      <c r="BZ112" s="128">
        <f>SUMIF('800-898'!$1:$1,BZ$3,'800-898'!23:23)</f>
        <v>0</v>
      </c>
      <c r="CA112" s="314">
        <f>SUMIF('800-898'!$1:$1,CA$3,'800-898'!23:23)</f>
        <v>0</v>
      </c>
      <c r="CB112" s="128">
        <f>SUMIF('800-898'!$1:$1,CB$3,'800-898'!23:23)</f>
        <v>0</v>
      </c>
      <c r="CC112" s="128">
        <f>SUMIF('800-898'!$1:$1,CC$3,'800-898'!23:23)</f>
        <v>0</v>
      </c>
      <c r="CD112" s="128">
        <f>SUMIF('800-898'!$1:$1,CD$3,'800-898'!23:23)</f>
        <v>0</v>
      </c>
      <c r="CE112" s="128">
        <f>SUMIF('800-898'!$1:$1,CE$3,'800-898'!23:23)</f>
        <v>4774</v>
      </c>
      <c r="CF112" s="128">
        <f>SUMIF('800-898'!$1:$1,CF$3,'800-898'!23:23)</f>
        <v>0</v>
      </c>
      <c r="CG112" s="302">
        <f t="shared" si="34"/>
        <v>-153009.38999999998</v>
      </c>
      <c r="CJ112" s="122"/>
      <c r="CK112" s="169">
        <f>INDEX(SAP!C:C,MATCH('Actuals mapped to CFR'!A112,SAP!H:H,FALSE),1)</f>
        <v>-153009.39000000001</v>
      </c>
      <c r="CL112" s="59">
        <f t="shared" si="33"/>
        <v>0</v>
      </c>
      <c r="CN112" s="81">
        <f t="shared" si="35"/>
        <v>1148980.9099999999</v>
      </c>
      <c r="CO112" s="81">
        <f t="shared" si="36"/>
        <v>1152863.4299999997</v>
      </c>
      <c r="CP112" s="166">
        <f>VLOOKUP(B112,'2526 GBP Data input'!$A$4:$CA$230,38,FALSE)</f>
        <v>1070248</v>
      </c>
      <c r="CQ112" s="166">
        <f>VLOOKUP(B112,'2526 GBP Data input'!$A$4:$CA$230,73,FALSE)</f>
        <v>13394</v>
      </c>
      <c r="CR112" s="89">
        <f t="shared" si="39"/>
        <v>78732.909999999916</v>
      </c>
      <c r="CS112" s="83">
        <f t="shared" si="40"/>
        <v>86.073124533373132</v>
      </c>
      <c r="CT112" s="82">
        <f t="shared" si="37"/>
        <v>141100.58000000031</v>
      </c>
      <c r="CU112" s="82">
        <f t="shared" si="38"/>
        <v>5778.81</v>
      </c>
      <c r="CV112" s="86">
        <f t="shared" si="44"/>
        <v>146879.39000000031</v>
      </c>
    </row>
    <row r="113" spans="1:102">
      <c r="A113" s="238">
        <v>107881</v>
      </c>
      <c r="B113" s="60">
        <v>881</v>
      </c>
      <c r="C113" s="60" t="s">
        <v>243</v>
      </c>
      <c r="D113" s="128">
        <f>SUMIF('800-898'!$1:$1,D$3,'800-898'!24:24)</f>
        <v>-2909.32</v>
      </c>
      <c r="E113" s="128">
        <f>SUMIF('800-898'!$1:$1,E$3,'800-898'!24:24)</f>
        <v>0</v>
      </c>
      <c r="F113" s="128">
        <f>SUMIF('800-898'!$1:$1,F$3,'800-898'!24:24)</f>
        <v>93664.420000000013</v>
      </c>
      <c r="G113" s="128">
        <f>SUMIF('800-898'!$1:$1,G$3,'800-898'!24:24)</f>
        <v>-14102.76</v>
      </c>
      <c r="H113" s="128">
        <f>SUMIF('800-898'!$1:$1,H$3,'800-898'!24:24)</f>
        <v>0</v>
      </c>
      <c r="I113" s="128">
        <f>SUMIF('800-898'!$1:$1,I$3,'800-898'!24:24)</f>
        <v>0</v>
      </c>
      <c r="J113" s="128">
        <f>SUMIF('800-898'!$1:$1,J$3,'800-898'!24:24)</f>
        <v>-69122.94</v>
      </c>
      <c r="K113" s="128">
        <f>SUMIF('800-898'!$1:$1,K$3,'800-898'!24:24)</f>
        <v>-1006872.74</v>
      </c>
      <c r="L113" s="128">
        <f>SUMIF('800-898'!$1:$1,L$3,'800-898'!24:24)</f>
        <v>0</v>
      </c>
      <c r="M113" s="128">
        <f>SUMIF('800-898'!$1:$1,M$3,'800-898'!24:24)</f>
        <v>-90112</v>
      </c>
      <c r="N113" s="128">
        <f>SUMIF('800-898'!$1:$1,N$3,'800-898'!24:24)</f>
        <v>0</v>
      </c>
      <c r="O113" s="128">
        <f>SUMIF('800-898'!$1:$1,O$3,'800-898'!24:24)</f>
        <v>-25655</v>
      </c>
      <c r="P113" s="128">
        <f>SUMIF('800-898'!$1:$1,P$3,'800-898'!24:24)</f>
        <v>-139952</v>
      </c>
      <c r="Q113" s="128">
        <f>SUMIF('800-898'!$1:$1,Q$3,'800-898'!24:24)</f>
        <v>-9500</v>
      </c>
      <c r="R113" s="128">
        <f>SUMIF('800-898'!$1:$1,R$3,'800-898'!24:24)</f>
        <v>-480</v>
      </c>
      <c r="S113" s="128">
        <f>SUMIF('800-898'!$1:$1,S$3,'800-898'!24:24)</f>
        <v>-72214.31</v>
      </c>
      <c r="T113" s="128">
        <f>SUMIF('800-898'!$1:$1,T$3,'800-898'!24:24)</f>
        <v>0</v>
      </c>
      <c r="U113" s="128">
        <f>SUMIF('800-898'!$1:$1,U$3,'800-898'!24:24)</f>
        <v>0</v>
      </c>
      <c r="V113" s="128">
        <f>SUMIF('800-898'!$1:$1,V$3,'800-898'!24:24)</f>
        <v>0</v>
      </c>
      <c r="W113" s="128">
        <f>SUMIF('800-898'!$1:$1,W$3,'800-898'!24:24)</f>
        <v>-8119.7799999999988</v>
      </c>
      <c r="X113" s="128">
        <f>SUMIF('800-898'!$1:$1,X$3,'800-898'!24:24)</f>
        <v>-10833</v>
      </c>
      <c r="Y113" s="164">
        <f>SUMIF('800-898'!$1:$1,Y$3,'800-898'!24:24)</f>
        <v>0</v>
      </c>
      <c r="Z113" s="128">
        <f>SUMIF('800-898'!$1:$1,Z$3,'800-898'!24:24)</f>
        <v>0</v>
      </c>
      <c r="AA113" s="128">
        <f>SUMIF('800-898'!$1:$1,AA$3,'800-898'!24:24)</f>
        <v>-186689.17000000004</v>
      </c>
      <c r="AB113" s="128">
        <f>SUMIF('800-898'!$1:$1,AB$3,'800-898'!24:24)</f>
        <v>-15000</v>
      </c>
      <c r="AC113" s="314">
        <f>SUMIF('800-898'!$1:$1,AC$3,'800-898'!24:24)</f>
        <v>0</v>
      </c>
      <c r="AD113" s="314">
        <f>SUMIF('800-898'!$1:$1,AD$3,'800-898'!24:24)</f>
        <v>0</v>
      </c>
      <c r="AE113" s="314">
        <f>SUMIF('800-898'!$1:$1,AE$3,'800-898'!24:24)</f>
        <v>0</v>
      </c>
      <c r="AF113" s="314">
        <f>SUMIF('800-898'!$1:$1,AF$3,'800-898'!24:24)</f>
        <v>0</v>
      </c>
      <c r="AG113" s="128">
        <f>SUMIF('800-898'!$1:$1,AG$3,'800-898'!24:24)</f>
        <v>603775.86</v>
      </c>
      <c r="AH113" s="128">
        <f>SUMIF('800-898'!$1:$1,AH$3,'800-898'!24:24)</f>
        <v>13192.91</v>
      </c>
      <c r="AI113" s="128">
        <f>SUMIF('800-898'!$1:$1,AI$3,'800-898'!24:24)</f>
        <v>271370.27999999997</v>
      </c>
      <c r="AJ113" s="128">
        <f>SUMIF('800-898'!$1:$1,AJ$3,'800-898'!24:24)</f>
        <v>37881.490000000005</v>
      </c>
      <c r="AK113" s="128">
        <f>SUMIF('800-898'!$1:$1,AK$3,'800-898'!24:24)</f>
        <v>67806.78</v>
      </c>
      <c r="AL113" s="128">
        <f>SUMIF('800-898'!$1:$1,AL$3,'800-898'!24:24)</f>
        <v>0</v>
      </c>
      <c r="AM113" s="128">
        <f>SUMIF('800-898'!$1:$1,AM$3,'800-898'!24:24)</f>
        <v>58560.640000000007</v>
      </c>
      <c r="AN113" s="128">
        <f>SUMIF('800-898'!$1:$1,AN$3,'800-898'!24:24)</f>
        <v>4150</v>
      </c>
      <c r="AO113" s="128">
        <f>SUMIF('800-898'!$1:$1,AO$3,'800-898'!24:24)</f>
        <v>4572</v>
      </c>
      <c r="AP113" s="128">
        <f>SUMIF('800-898'!$1:$1,AP$3,'800-898'!24:24)</f>
        <v>552.04999999999995</v>
      </c>
      <c r="AQ113" s="128">
        <f>SUMIF('800-898'!$1:$1,AQ$3,'800-898'!24:24)</f>
        <v>0</v>
      </c>
      <c r="AR113" s="128">
        <f>SUMIF('800-898'!$1:$1,AR$3,'800-898'!24:24)</f>
        <v>12301.86</v>
      </c>
      <c r="AS113" s="128">
        <f>SUMIF('800-898'!$1:$1,AS$3,'800-898'!24:24)</f>
        <v>150.89000000000001</v>
      </c>
      <c r="AT113" s="128">
        <f>SUMIF('800-898'!$1:$1,AT$3,'800-898'!24:24)</f>
        <v>2013.74</v>
      </c>
      <c r="AU113" s="128">
        <f>SUMIF('800-898'!$1:$1,AU$3,'800-898'!24:24)</f>
        <v>2691.77</v>
      </c>
      <c r="AV113" s="128">
        <f>SUMIF('800-898'!$1:$1,AV$3,'800-898'!24:24)</f>
        <v>12172.82</v>
      </c>
      <c r="AW113" s="128">
        <f>SUMIF('800-898'!$1:$1,AW$3,'800-898'!24:24)</f>
        <v>20708.5</v>
      </c>
      <c r="AX113" s="128">
        <f>SUMIF('800-898'!$1:$1,AX$3,'800-898'!24:24)</f>
        <v>1185.4700000000003</v>
      </c>
      <c r="AY113" s="128">
        <f>SUMIF('800-898'!$1:$1,AY$3,'800-898'!24:24)</f>
        <v>42352.860000000008</v>
      </c>
      <c r="AZ113" s="314">
        <f>SUMIF('800-898'!$1:$1,AZ$3,'800-898'!24:24)</f>
        <v>0</v>
      </c>
      <c r="BA113" s="128">
        <f>SUMIF('800-898'!$1:$1,BA$3,'800-898'!24:24)</f>
        <v>2353</v>
      </c>
      <c r="BB113" s="128">
        <f>SUMIF('800-898'!$1:$1,BB$3,'800-898'!24:24)</f>
        <v>0</v>
      </c>
      <c r="BC113" s="128">
        <f>SUMIF('800-898'!$1:$1,BC$3,'800-898'!24:24)</f>
        <v>11966.58</v>
      </c>
      <c r="BD113" s="128">
        <f>SUMIF('800-898'!$1:$1,BD$3,'800-898'!24:24)</f>
        <v>499</v>
      </c>
      <c r="BE113" s="128">
        <f>SUMIF('800-898'!$1:$1,BE$3,'800-898'!24:24)</f>
        <v>0</v>
      </c>
      <c r="BF113" s="128">
        <f>SUMIF('800-898'!$1:$1,BF$3,'800-898'!24:24)</f>
        <v>1391.63</v>
      </c>
      <c r="BG113" s="128">
        <f>SUMIF('800-898'!$1:$1,BG$3,'800-898'!24:24)</f>
        <v>5072.5</v>
      </c>
      <c r="BH113" s="128">
        <f>SUMIF('800-898'!$1:$1,BH$3,'800-898'!24:24)</f>
        <v>0</v>
      </c>
      <c r="BI113" s="128">
        <f>SUMIF('800-898'!$1:$1,BI$3,'800-898'!24:24)</f>
        <v>2605.86</v>
      </c>
      <c r="BJ113" s="128">
        <f>SUMIF('800-898'!$1:$1,BJ$3,'800-898'!24:24)</f>
        <v>9770.380000000001</v>
      </c>
      <c r="BK113" s="128">
        <f>SUMIF('800-898'!$1:$1,BK$3,'800-898'!24:24)</f>
        <v>0</v>
      </c>
      <c r="BL113" s="128">
        <f>SUMIF('800-898'!$1:$1,BL$3,'800-898'!24:24)</f>
        <v>91267.529999999984</v>
      </c>
      <c r="BM113" s="128">
        <f>SUMIF('800-898'!$1:$1,BM$3,'800-898'!24:24)</f>
        <v>0</v>
      </c>
      <c r="BN113" s="128">
        <f>SUMIF('800-898'!$1:$1,BN$3,'800-898'!24:24)</f>
        <v>47152.76</v>
      </c>
      <c r="BO113" s="128">
        <f>SUMIF('800-898'!$1:$1,BO$3,'800-898'!24:24)</f>
        <v>18507.560000000005</v>
      </c>
      <c r="BP113" s="128">
        <f>SUMIF('800-898'!$1:$1,BP$3,'800-898'!24:24)</f>
        <v>0</v>
      </c>
      <c r="BQ113" s="128">
        <f>SUMIF('800-898'!$1:$1,BQ$3,'800-898'!24:24)</f>
        <v>0</v>
      </c>
      <c r="BR113" s="128">
        <f>SUMIF('800-898'!$1:$1,BR$3,'800-898'!24:24)</f>
        <v>0</v>
      </c>
      <c r="BS113" s="128">
        <f>SUMIF('800-898'!$1:$1,BS$3,'800-898'!24:24)</f>
        <v>156979.65</v>
      </c>
      <c r="BT113" s="128">
        <f>SUMIF('800-898'!$1:$1,BT$3,'800-898'!24:24)</f>
        <v>74214.709999999977</v>
      </c>
      <c r="BU113" s="128">
        <f>SUMIF('800-898'!$1:$1,BU$3,'800-898'!24:24)</f>
        <v>-12337.630000000001</v>
      </c>
      <c r="BV113" s="128">
        <f>SUMIF('800-898'!$1:$1,BV$3,'800-898'!24:24)</f>
        <v>0</v>
      </c>
      <c r="BW113" s="128">
        <f>SUMIF('800-898'!$1:$1,BW$3,'800-898'!24:24)</f>
        <v>0</v>
      </c>
      <c r="BX113" s="128">
        <f>SUMIF('800-898'!$1:$1,BX$3,'800-898'!24:24)</f>
        <v>0</v>
      </c>
      <c r="BY113" s="128">
        <f>SUMIF('800-898'!$1:$1,BY$3,'800-898'!24:24)</f>
        <v>3176</v>
      </c>
      <c r="BZ113" s="128">
        <f>SUMIF('800-898'!$1:$1,BZ$3,'800-898'!24:24)</f>
        <v>0</v>
      </c>
      <c r="CA113" s="314">
        <f>SUMIF('800-898'!$1:$1,CA$3,'800-898'!24:24)</f>
        <v>0</v>
      </c>
      <c r="CB113" s="128">
        <f>SUMIF('800-898'!$1:$1,CB$3,'800-898'!24:24)</f>
        <v>0</v>
      </c>
      <c r="CC113" s="128">
        <f>SUMIF('800-898'!$1:$1,CC$3,'800-898'!24:24)</f>
        <v>0</v>
      </c>
      <c r="CD113" s="128">
        <f>SUMIF('800-898'!$1:$1,CD$3,'800-898'!24:24)</f>
        <v>0</v>
      </c>
      <c r="CE113" s="128">
        <f>SUMIF('800-898'!$1:$1,CE$3,'800-898'!24:24)</f>
        <v>4670</v>
      </c>
      <c r="CF113" s="128">
        <f>SUMIF('800-898'!$1:$1,CF$3,'800-898'!24:24)</f>
        <v>350</v>
      </c>
      <c r="CG113" s="302">
        <f t="shared" si="34"/>
        <v>15180.849999999908</v>
      </c>
      <c r="CJ113" s="122"/>
      <c r="CK113" s="169">
        <f>INDEX(SAP!C:C,MATCH('Actuals mapped to CFR'!A113,SAP!H:H,FALSE),1)</f>
        <v>15180.85</v>
      </c>
      <c r="CL113" s="59">
        <f t="shared" si="33"/>
        <v>0</v>
      </c>
      <c r="CN113" s="81">
        <f t="shared" si="35"/>
        <v>1565428</v>
      </c>
      <c r="CO113" s="81">
        <f t="shared" si="36"/>
        <v>1577221.08</v>
      </c>
      <c r="CP113" s="166">
        <f>VLOOKUP(B113,'2526 GBP Data input'!$A$4:$CA$230,38,FALSE)</f>
        <v>1420149</v>
      </c>
      <c r="CQ113" s="166">
        <f>VLOOKUP(B113,'2526 GBP Data input'!$A$4:$CA$230,73,FALSE)</f>
        <v>30191</v>
      </c>
      <c r="CR113" s="89">
        <f t="shared" si="39"/>
        <v>145279</v>
      </c>
      <c r="CS113" s="83">
        <f t="shared" si="40"/>
        <v>52.241432214898481</v>
      </c>
      <c r="CT113" s="82">
        <f t="shared" si="37"/>
        <v>-102548.18000000017</v>
      </c>
      <c r="CU113" s="82">
        <f t="shared" si="38"/>
        <v>22914.39</v>
      </c>
      <c r="CV113" s="86">
        <f t="shared" si="44"/>
        <v>-79633.790000000168</v>
      </c>
    </row>
    <row r="114" spans="1:102">
      <c r="A114" s="238">
        <v>107886</v>
      </c>
      <c r="B114" s="60">
        <v>886</v>
      </c>
      <c r="C114" s="60" t="s">
        <v>242</v>
      </c>
      <c r="D114" s="128">
        <f>SUMIF('800-898'!$1:$1,D$3,'800-898'!25:25)</f>
        <v>-313818.96000000002</v>
      </c>
      <c r="E114" s="128">
        <f>SUMIF('800-898'!$1:$1,E$3,'800-898'!25:25)</f>
        <v>0</v>
      </c>
      <c r="F114" s="128">
        <f>SUMIF('800-898'!$1:$1,F$3,'800-898'!25:25)</f>
        <v>0</v>
      </c>
      <c r="G114" s="128">
        <f>SUMIF('800-898'!$1:$1,G$3,'800-898'!25:25)</f>
        <v>-6816.57</v>
      </c>
      <c r="H114" s="128">
        <f>SUMIF('800-898'!$1:$1,H$3,'800-898'!25:25)</f>
        <v>0</v>
      </c>
      <c r="I114" s="128">
        <f>SUMIF('800-898'!$1:$1,I$3,'800-898'!25:25)</f>
        <v>0</v>
      </c>
      <c r="J114" s="128">
        <f>SUMIF('800-898'!$1:$1,J$3,'800-898'!25:25)</f>
        <v>0</v>
      </c>
      <c r="K114" s="128">
        <f>SUMIF('800-898'!$1:$1,K$3,'800-898'!25:25)</f>
        <v>-1737517.34</v>
      </c>
      <c r="L114" s="128">
        <f>SUMIF('800-898'!$1:$1,L$3,'800-898'!25:25)</f>
        <v>0</v>
      </c>
      <c r="M114" s="128">
        <f>SUMIF('800-898'!$1:$1,M$3,'800-898'!25:25)</f>
        <v>-166077</v>
      </c>
      <c r="N114" s="128">
        <f>SUMIF('800-898'!$1:$1,N$3,'800-898'!25:25)</f>
        <v>0</v>
      </c>
      <c r="O114" s="128">
        <f>SUMIF('800-898'!$1:$1,O$3,'800-898'!25:25)</f>
        <v>-160575</v>
      </c>
      <c r="P114" s="128">
        <f>SUMIF('800-898'!$1:$1,P$3,'800-898'!25:25)</f>
        <v>-42522</v>
      </c>
      <c r="Q114" s="128">
        <f>SUMIF('800-898'!$1:$1,Q$3,'800-898'!25:25)</f>
        <v>-51600</v>
      </c>
      <c r="R114" s="128">
        <f>SUMIF('800-898'!$1:$1,R$3,'800-898'!25:25)</f>
        <v>0</v>
      </c>
      <c r="S114" s="128">
        <f>SUMIF('800-898'!$1:$1,S$3,'800-898'!25:25)</f>
        <v>-18873.099999999999</v>
      </c>
      <c r="T114" s="128">
        <f>SUMIF('800-898'!$1:$1,T$3,'800-898'!25:25)</f>
        <v>-6147.24</v>
      </c>
      <c r="U114" s="128">
        <f>SUMIF('800-898'!$1:$1,U$3,'800-898'!25:25)</f>
        <v>0</v>
      </c>
      <c r="V114" s="128">
        <f>SUMIF('800-898'!$1:$1,V$3,'800-898'!25:25)</f>
        <v>0</v>
      </c>
      <c r="W114" s="128">
        <f>SUMIF('800-898'!$1:$1,W$3,'800-898'!25:25)</f>
        <v>-8325.99</v>
      </c>
      <c r="X114" s="128">
        <f>SUMIF('800-898'!$1:$1,X$3,'800-898'!25:25)</f>
        <v>-6778.91</v>
      </c>
      <c r="Y114" s="164">
        <f>SUMIF('800-898'!$1:$1,Y$3,'800-898'!25:25)</f>
        <v>0</v>
      </c>
      <c r="Z114" s="128">
        <f>SUMIF('800-898'!$1:$1,Z$3,'800-898'!25:25)</f>
        <v>0</v>
      </c>
      <c r="AA114" s="128">
        <f>SUMIF('800-898'!$1:$1,AA$3,'800-898'!25:25)</f>
        <v>0</v>
      </c>
      <c r="AB114" s="128">
        <f>SUMIF('800-898'!$1:$1,AB$3,'800-898'!25:25)</f>
        <v>0</v>
      </c>
      <c r="AC114" s="314">
        <f>SUMIF('800-898'!$1:$1,AC$3,'800-898'!25:25)</f>
        <v>0</v>
      </c>
      <c r="AD114" s="314">
        <f>SUMIF('800-898'!$1:$1,AD$3,'800-898'!25:25)</f>
        <v>0</v>
      </c>
      <c r="AE114" s="314">
        <f>SUMIF('800-898'!$1:$1,AE$3,'800-898'!25:25)</f>
        <v>0</v>
      </c>
      <c r="AF114" s="314">
        <f>SUMIF('800-898'!$1:$1,AF$3,'800-898'!25:25)</f>
        <v>0</v>
      </c>
      <c r="AG114" s="128">
        <f>SUMIF('800-898'!$1:$1,AG$3,'800-898'!25:25)</f>
        <v>968425.21</v>
      </c>
      <c r="AH114" s="128">
        <f>SUMIF('800-898'!$1:$1,AH$3,'800-898'!25:25)</f>
        <v>3547.7000000000003</v>
      </c>
      <c r="AI114" s="128">
        <f>SUMIF('800-898'!$1:$1,AI$3,'800-898'!25:25)</f>
        <v>313289.21000000002</v>
      </c>
      <c r="AJ114" s="128">
        <f>SUMIF('800-898'!$1:$1,AJ$3,'800-898'!25:25)</f>
        <v>90249.75</v>
      </c>
      <c r="AK114" s="128">
        <f>SUMIF('800-898'!$1:$1,AK$3,'800-898'!25:25)</f>
        <v>109434.82</v>
      </c>
      <c r="AL114" s="128">
        <f>SUMIF('800-898'!$1:$1,AL$3,'800-898'!25:25)</f>
        <v>0</v>
      </c>
      <c r="AM114" s="128">
        <f>SUMIF('800-898'!$1:$1,AM$3,'800-898'!25:25)</f>
        <v>37984.42</v>
      </c>
      <c r="AN114" s="128">
        <f>SUMIF('800-898'!$1:$1,AN$3,'800-898'!25:25)</f>
        <v>81.39</v>
      </c>
      <c r="AO114" s="128">
        <f>SUMIF('800-898'!$1:$1,AO$3,'800-898'!25:25)</f>
        <v>6132.05</v>
      </c>
      <c r="AP114" s="128">
        <f>SUMIF('800-898'!$1:$1,AP$3,'800-898'!25:25)</f>
        <v>857.05</v>
      </c>
      <c r="AQ114" s="128">
        <f>SUMIF('800-898'!$1:$1,AQ$3,'800-898'!25:25)</f>
        <v>0</v>
      </c>
      <c r="AR114" s="128">
        <f>SUMIF('800-898'!$1:$1,AR$3,'800-898'!25:25)</f>
        <v>42547.819999999992</v>
      </c>
      <c r="AS114" s="128">
        <f>SUMIF('800-898'!$1:$1,AS$3,'800-898'!25:25)</f>
        <v>6320.33</v>
      </c>
      <c r="AT114" s="128">
        <f>SUMIF('800-898'!$1:$1,AT$3,'800-898'!25:25)</f>
        <v>5817.4100000000008</v>
      </c>
      <c r="AU114" s="128">
        <f>SUMIF('800-898'!$1:$1,AU$3,'800-898'!25:25)</f>
        <v>8943.3600000000024</v>
      </c>
      <c r="AV114" s="128">
        <f>SUMIF('800-898'!$1:$1,AV$3,'800-898'!25:25)</f>
        <v>34922.839999999997</v>
      </c>
      <c r="AW114" s="128">
        <f>SUMIF('800-898'!$1:$1,AW$3,'800-898'!25:25)</f>
        <v>7152.6</v>
      </c>
      <c r="AX114" s="128">
        <f>SUMIF('800-898'!$1:$1,AX$3,'800-898'!25:25)</f>
        <v>4244.79</v>
      </c>
      <c r="AY114" s="128">
        <f>SUMIF('800-898'!$1:$1,AY$3,'800-898'!25:25)</f>
        <v>60176.75</v>
      </c>
      <c r="AZ114" s="314">
        <f>SUMIF('800-898'!$1:$1,AZ$3,'800-898'!25:25)</f>
        <v>9720.07</v>
      </c>
      <c r="BA114" s="128">
        <f>SUMIF('800-898'!$1:$1,BA$3,'800-898'!25:25)</f>
        <v>582.91</v>
      </c>
      <c r="BB114" s="128">
        <f>SUMIF('800-898'!$1:$1,BB$3,'800-898'!25:25)</f>
        <v>0</v>
      </c>
      <c r="BC114" s="128">
        <f>SUMIF('800-898'!$1:$1,BC$3,'800-898'!25:25)</f>
        <v>6187.7</v>
      </c>
      <c r="BD114" s="128">
        <f>SUMIF('800-898'!$1:$1,BD$3,'800-898'!25:25)</f>
        <v>7594</v>
      </c>
      <c r="BE114" s="128">
        <f>SUMIF('800-898'!$1:$1,BE$3,'800-898'!25:25)</f>
        <v>0</v>
      </c>
      <c r="BF114" s="128">
        <f>SUMIF('800-898'!$1:$1,BF$3,'800-898'!25:25)</f>
        <v>16843.989999999998</v>
      </c>
      <c r="BG114" s="128">
        <f>SUMIF('800-898'!$1:$1,BG$3,'800-898'!25:25)</f>
        <v>2950.5</v>
      </c>
      <c r="BH114" s="128">
        <f>SUMIF('800-898'!$1:$1,BH$3,'800-898'!25:25)</f>
        <v>0</v>
      </c>
      <c r="BI114" s="128">
        <f>SUMIF('800-898'!$1:$1,BI$3,'800-898'!25:25)</f>
        <v>6825.4</v>
      </c>
      <c r="BJ114" s="128">
        <f>SUMIF('800-898'!$1:$1,BJ$3,'800-898'!25:25)</f>
        <v>15168.380000000001</v>
      </c>
      <c r="BK114" s="128">
        <f>SUMIF('800-898'!$1:$1,BK$3,'800-898'!25:25)</f>
        <v>0</v>
      </c>
      <c r="BL114" s="128">
        <f>SUMIF('800-898'!$1:$1,BL$3,'800-898'!25:25)</f>
        <v>75135.59</v>
      </c>
      <c r="BM114" s="128">
        <f>SUMIF('800-898'!$1:$1,BM$3,'800-898'!25:25)</f>
        <v>186261.38999999998</v>
      </c>
      <c r="BN114" s="128">
        <f>SUMIF('800-898'!$1:$1,BN$3,'800-898'!25:25)</f>
        <v>36</v>
      </c>
      <c r="BO114" s="128">
        <f>SUMIF('800-898'!$1:$1,BO$3,'800-898'!25:25)</f>
        <v>99697.800000000032</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-7161.25</v>
      </c>
      <c r="BV114" s="128">
        <f>SUMIF('800-898'!$1:$1,BV$3,'800-898'!25:25)</f>
        <v>0</v>
      </c>
      <c r="BW114" s="128">
        <f>SUMIF('800-898'!$1:$1,BW$3,'800-898'!25:25)</f>
        <v>0</v>
      </c>
      <c r="BX114" s="128">
        <f>SUMIF('800-898'!$1:$1,BX$3,'800-898'!25:25)</f>
        <v>0</v>
      </c>
      <c r="BY114" s="128">
        <f>SUMIF('800-898'!$1:$1,BY$3,'800-898'!25:25)</f>
        <v>-1733.8000000000002</v>
      </c>
      <c r="BZ114" s="128">
        <f>SUMIF('800-898'!$1:$1,BZ$3,'800-898'!25:25)</f>
        <v>0</v>
      </c>
      <c r="CA114" s="314">
        <f>SUMIF('800-898'!$1:$1,CA$3,'800-898'!25:25)</f>
        <v>0</v>
      </c>
      <c r="CB114" s="128">
        <f>SUMIF('800-898'!$1:$1,CB$3,'800-898'!25:25)</f>
        <v>0</v>
      </c>
      <c r="CC114" s="128">
        <f>SUMIF('800-898'!$1:$1,CC$3,'800-898'!25:25)</f>
        <v>0</v>
      </c>
      <c r="CD114" s="128">
        <f>SUMIF('800-898'!$1:$1,CD$3,'800-898'!25:25)</f>
        <v>0</v>
      </c>
      <c r="CE114" s="128">
        <f>SUMIF('800-898'!$1:$1,CE$3,'800-898'!25:25)</f>
        <v>5000</v>
      </c>
      <c r="CF114" s="128">
        <f>SUMIF('800-898'!$1:$1,CF$3,'800-898'!25:25)</f>
        <v>950</v>
      </c>
      <c r="CG114" s="302">
        <f t="shared" si="34"/>
        <v>-394865.93000000081</v>
      </c>
      <c r="CJ114" s="122"/>
      <c r="CK114" s="169">
        <f>INDEX(SAP!C:C,MATCH('Actuals mapped to CFR'!A114,SAP!H:H,FALSE),1)</f>
        <v>-394865.93</v>
      </c>
      <c r="CL114" s="59">
        <f t="shared" si="33"/>
        <v>0</v>
      </c>
      <c r="CN114" s="81">
        <f t="shared" si="35"/>
        <v>2198416.5800000005</v>
      </c>
      <c r="CO114" s="81">
        <f t="shared" si="36"/>
        <v>2127131.23</v>
      </c>
      <c r="CP114" s="166">
        <f>VLOOKUP(B114,'2526 GBP Data input'!$A$4:$CA$230,38,FALSE)</f>
        <v>2071673</v>
      </c>
      <c r="CQ114" s="166">
        <f>VLOOKUP(B114,'2526 GBP Data input'!$A$4:$CA$230,73,FALSE)</f>
        <v>112258</v>
      </c>
      <c r="CR114" s="89">
        <f t="shared" si="39"/>
        <v>126743.58000000054</v>
      </c>
      <c r="CS114" s="83">
        <f t="shared" si="40"/>
        <v>18.948593685973382</v>
      </c>
      <c r="CT114" s="82">
        <f t="shared" si="37"/>
        <v>385104.31000000052</v>
      </c>
      <c r="CU114" s="82">
        <f t="shared" si="38"/>
        <v>14761.619999999999</v>
      </c>
      <c r="CV114" s="86">
        <f t="shared" si="44"/>
        <v>399865.93000000052</v>
      </c>
    </row>
    <row r="115" spans="1:102">
      <c r="A115" s="238">
        <v>107887</v>
      </c>
      <c r="B115" s="60">
        <v>887</v>
      </c>
      <c r="C115" s="60" t="s">
        <v>278</v>
      </c>
      <c r="D115" s="128">
        <f>SUMIF('800-898'!$1:$1,D$3,'800-898'!26:26)</f>
        <v>-110200.82</v>
      </c>
      <c r="E115" s="128">
        <f>SUMIF('800-898'!$1:$1,E$3,'800-898'!26:26)</f>
        <v>-19733.46</v>
      </c>
      <c r="F115" s="128">
        <f>SUMIF('800-898'!$1:$1,F$3,'800-898'!26:26)</f>
        <v>0</v>
      </c>
      <c r="G115" s="128">
        <f>SUMIF('800-898'!$1:$1,G$3,'800-898'!26:26)</f>
        <v>-15497.19</v>
      </c>
      <c r="H115" s="128">
        <f>SUMIF('800-898'!$1:$1,H$3,'800-898'!26:26)</f>
        <v>0</v>
      </c>
      <c r="I115" s="128">
        <f>SUMIF('800-898'!$1:$1,I$3,'800-898'!26:26)</f>
        <v>0</v>
      </c>
      <c r="J115" s="128">
        <f>SUMIF('800-898'!$1:$1,J$3,'800-898'!26:26)</f>
        <v>-66377.899999999994</v>
      </c>
      <c r="K115" s="128">
        <f>SUMIF('800-898'!$1:$1,K$3,'800-898'!26:26)</f>
        <v>-1240372.8600000001</v>
      </c>
      <c r="L115" s="128">
        <f>SUMIF('800-898'!$1:$1,L$3,'800-898'!26:26)</f>
        <v>0</v>
      </c>
      <c r="M115" s="128">
        <f>SUMIF('800-898'!$1:$1,M$3,'800-898'!26:26)</f>
        <v>-216140</v>
      </c>
      <c r="N115" s="128">
        <f>SUMIF('800-898'!$1:$1,N$3,'800-898'!26:26)</f>
        <v>0</v>
      </c>
      <c r="O115" s="128">
        <f>SUMIF('800-898'!$1:$1,O$3,'800-898'!26:26)</f>
        <v>-63630</v>
      </c>
      <c r="P115" s="128">
        <f>SUMIF('800-898'!$1:$1,P$3,'800-898'!26:26)</f>
        <v>-75784.600000000006</v>
      </c>
      <c r="Q115" s="128">
        <f>SUMIF('800-898'!$1:$1,Q$3,'800-898'!26:26)</f>
        <v>-53039.040000000001</v>
      </c>
      <c r="R115" s="128">
        <f>SUMIF('800-898'!$1:$1,R$3,'800-898'!26:26)</f>
        <v>-1080.4000000000001</v>
      </c>
      <c r="S115" s="128">
        <f>SUMIF('800-898'!$1:$1,S$3,'800-898'!26:26)</f>
        <v>-55223.399999999994</v>
      </c>
      <c r="T115" s="128">
        <f>SUMIF('800-898'!$1:$1,T$3,'800-898'!26:26)</f>
        <v>-10539.66</v>
      </c>
      <c r="U115" s="128">
        <f>SUMIF('800-898'!$1:$1,U$3,'800-898'!26:26)</f>
        <v>0</v>
      </c>
      <c r="V115" s="128">
        <f>SUMIF('800-898'!$1:$1,V$3,'800-898'!26:26)</f>
        <v>0</v>
      </c>
      <c r="W115" s="128">
        <f>SUMIF('800-898'!$1:$1,W$3,'800-898'!26:26)</f>
        <v>-8224.0400000000009</v>
      </c>
      <c r="X115" s="128">
        <f>SUMIF('800-898'!$1:$1,X$3,'800-898'!26:26)</f>
        <v>-20802.060000000005</v>
      </c>
      <c r="Y115" s="164">
        <f>SUMIF('800-898'!$1:$1,Y$3,'800-898'!26:26)</f>
        <v>0</v>
      </c>
      <c r="Z115" s="128">
        <f>SUMIF('800-898'!$1:$1,Z$3,'800-898'!26:26)</f>
        <v>0</v>
      </c>
      <c r="AA115" s="128">
        <f>SUMIF('800-898'!$1:$1,AA$3,'800-898'!26:26)</f>
        <v>-101344.42</v>
      </c>
      <c r="AB115" s="128">
        <f>SUMIF('800-898'!$1:$1,AB$3,'800-898'!26:26)</f>
        <v>-6227.9900000000007</v>
      </c>
      <c r="AC115" s="314">
        <f>SUMIF('800-898'!$1:$1,AC$3,'800-898'!26:26)</f>
        <v>0</v>
      </c>
      <c r="AD115" s="314">
        <f>SUMIF('800-898'!$1:$1,AD$3,'800-898'!26:26)</f>
        <v>0</v>
      </c>
      <c r="AE115" s="314">
        <f>SUMIF('800-898'!$1:$1,AE$3,'800-898'!26:26)</f>
        <v>0</v>
      </c>
      <c r="AF115" s="314">
        <f>SUMIF('800-898'!$1:$1,AF$3,'800-898'!26:26)</f>
        <v>0</v>
      </c>
      <c r="AG115" s="128">
        <f>SUMIF('800-898'!$1:$1,AG$3,'800-898'!26:26)</f>
        <v>866124.25999999989</v>
      </c>
      <c r="AH115" s="128">
        <f>SUMIF('800-898'!$1:$1,AH$3,'800-898'!26:26)</f>
        <v>206.79</v>
      </c>
      <c r="AI115" s="128">
        <f>SUMIF('800-898'!$1:$1,AI$3,'800-898'!26:26)</f>
        <v>248748.52000000002</v>
      </c>
      <c r="AJ115" s="128">
        <f>SUMIF('800-898'!$1:$1,AJ$3,'800-898'!26:26)</f>
        <v>46675.359999999993</v>
      </c>
      <c r="AK115" s="128">
        <f>SUMIF('800-898'!$1:$1,AK$3,'800-898'!26:26)</f>
        <v>106484.98</v>
      </c>
      <c r="AL115" s="128">
        <f>SUMIF('800-898'!$1:$1,AL$3,'800-898'!26:26)</f>
        <v>9318.6099999999988</v>
      </c>
      <c r="AM115" s="128">
        <f>SUMIF('800-898'!$1:$1,AM$3,'800-898'!26:26)</f>
        <v>36951.010000000009</v>
      </c>
      <c r="AN115" s="128">
        <f>SUMIF('800-898'!$1:$1,AN$3,'800-898'!26:26)</f>
        <v>5204.55</v>
      </c>
      <c r="AO115" s="128">
        <f>SUMIF('800-898'!$1:$1,AO$3,'800-898'!26:26)</f>
        <v>11448.27</v>
      </c>
      <c r="AP115" s="128">
        <f>SUMIF('800-898'!$1:$1,AP$3,'800-898'!26:26)</f>
        <v>637.45000000000005</v>
      </c>
      <c r="AQ115" s="128">
        <f>SUMIF('800-898'!$1:$1,AQ$3,'800-898'!26:26)</f>
        <v>0</v>
      </c>
      <c r="AR115" s="128">
        <f>SUMIF('800-898'!$1:$1,AR$3,'800-898'!26:26)</f>
        <v>26036.170000000002</v>
      </c>
      <c r="AS115" s="128">
        <f>SUMIF('800-898'!$1:$1,AS$3,'800-898'!26:26)</f>
        <v>2042.5500000000004</v>
      </c>
      <c r="AT115" s="128">
        <f>SUMIF('800-898'!$1:$1,AT$3,'800-898'!26:26)</f>
        <v>5568.7499999999991</v>
      </c>
      <c r="AU115" s="128">
        <f>SUMIF('800-898'!$1:$1,AU$3,'800-898'!26:26)</f>
        <v>1975.75</v>
      </c>
      <c r="AV115" s="128">
        <f>SUMIF('800-898'!$1:$1,AV$3,'800-898'!26:26)</f>
        <v>15588.34</v>
      </c>
      <c r="AW115" s="128">
        <f>SUMIF('800-898'!$1:$1,AW$3,'800-898'!26:26)</f>
        <v>15593.75</v>
      </c>
      <c r="AX115" s="128">
        <f>SUMIF('800-898'!$1:$1,AX$3,'800-898'!26:26)</f>
        <v>2383.3199999999997</v>
      </c>
      <c r="AY115" s="128">
        <f>SUMIF('800-898'!$1:$1,AY$3,'800-898'!26:26)</f>
        <v>69031.790000000008</v>
      </c>
      <c r="AZ115" s="314">
        <f>SUMIF('800-898'!$1:$1,AZ$3,'800-898'!26:26)</f>
        <v>0</v>
      </c>
      <c r="BA115" s="128">
        <f>SUMIF('800-898'!$1:$1,BA$3,'800-898'!26:26)</f>
        <v>1426.0900000000001</v>
      </c>
      <c r="BB115" s="128">
        <f>SUMIF('800-898'!$1:$1,BB$3,'800-898'!26:26)</f>
        <v>0</v>
      </c>
      <c r="BC115" s="128">
        <f>SUMIF('800-898'!$1:$1,BC$3,'800-898'!26:26)</f>
        <v>5370.12</v>
      </c>
      <c r="BD115" s="128">
        <f>SUMIF('800-898'!$1:$1,BD$3,'800-898'!26:26)</f>
        <v>455.58</v>
      </c>
      <c r="BE115" s="128">
        <f>SUMIF('800-898'!$1:$1,BE$3,'800-898'!26:26)</f>
        <v>14684.04</v>
      </c>
      <c r="BF115" s="128">
        <f>SUMIF('800-898'!$1:$1,BF$3,'800-898'!26:26)</f>
        <v>967.66</v>
      </c>
      <c r="BG115" s="128">
        <f>SUMIF('800-898'!$1:$1,BG$3,'800-898'!26:26)</f>
        <v>2194.5</v>
      </c>
      <c r="BH115" s="128">
        <f>SUMIF('800-898'!$1:$1,BH$3,'800-898'!26:26)</f>
        <v>0</v>
      </c>
      <c r="BI115" s="128">
        <f>SUMIF('800-898'!$1:$1,BI$3,'800-898'!26:26)</f>
        <v>5521.09</v>
      </c>
      <c r="BJ115" s="128">
        <f>SUMIF('800-898'!$1:$1,BJ$3,'800-898'!26:26)</f>
        <v>11281.82</v>
      </c>
      <c r="BK115" s="128">
        <f>SUMIF('800-898'!$1:$1,BK$3,'800-898'!26:26)</f>
        <v>6479.5</v>
      </c>
      <c r="BL115" s="128">
        <f>SUMIF('800-898'!$1:$1,BL$3,'800-898'!26:26)</f>
        <v>68395.50999999998</v>
      </c>
      <c r="BM115" s="128">
        <f>SUMIF('800-898'!$1:$1,BM$3,'800-898'!26:26)</f>
        <v>7640.46</v>
      </c>
      <c r="BN115" s="128">
        <f>SUMIF('800-898'!$1:$1,BN$3,'800-898'!26:26)</f>
        <v>46490.64</v>
      </c>
      <c r="BO115" s="128">
        <f>SUMIF('800-898'!$1:$1,BO$3,'800-898'!26:26)</f>
        <v>28944.190000000002</v>
      </c>
      <c r="BP115" s="128">
        <f>SUMIF('800-898'!$1:$1,BP$3,'800-898'!26:26)</f>
        <v>0</v>
      </c>
      <c r="BQ115" s="128">
        <f>SUMIF('800-898'!$1:$1,BQ$3,'800-898'!26:26)</f>
        <v>0</v>
      </c>
      <c r="BR115" s="128">
        <f>SUMIF('800-898'!$1:$1,BR$3,'800-898'!26:26)</f>
        <v>0</v>
      </c>
      <c r="BS115" s="128">
        <f>SUMIF('800-898'!$1:$1,BS$3,'800-898'!26:26)</f>
        <v>62618.260000000009</v>
      </c>
      <c r="BT115" s="128">
        <f>SUMIF('800-898'!$1:$1,BT$3,'800-898'!26:26)</f>
        <v>3998.3399999999992</v>
      </c>
      <c r="BU115" s="128">
        <f>SUMIF('800-898'!$1:$1,BU$3,'800-898'!26:26)</f>
        <v>-6328.75</v>
      </c>
      <c r="BV115" s="128">
        <f>SUMIF('800-898'!$1:$1,BV$3,'800-898'!26:26)</f>
        <v>0</v>
      </c>
      <c r="BW115" s="128">
        <f>SUMIF('800-898'!$1:$1,BW$3,'800-898'!26:26)</f>
        <v>0</v>
      </c>
      <c r="BX115" s="128">
        <f>SUMIF('800-898'!$1:$1,BX$3,'800-898'!26:26)</f>
        <v>0</v>
      </c>
      <c r="BY115" s="128">
        <f>SUMIF('800-898'!$1:$1,BY$3,'800-898'!26:26)</f>
        <v>68810</v>
      </c>
      <c r="BZ115" s="128">
        <f>SUMIF('800-898'!$1:$1,BZ$3,'800-898'!26:26)</f>
        <v>0</v>
      </c>
      <c r="CA115" s="314">
        <f>SUMIF('800-898'!$1:$1,CA$3,'800-898'!26:26)</f>
        <v>0</v>
      </c>
      <c r="CB115" s="128">
        <f>SUMIF('800-898'!$1:$1,CB$3,'800-898'!26:26)</f>
        <v>384.44000000000005</v>
      </c>
      <c r="CC115" s="128">
        <f>SUMIF('800-898'!$1:$1,CC$3,'800-898'!26:26)</f>
        <v>0</v>
      </c>
      <c r="CD115" s="128">
        <f>SUMIF('800-898'!$1:$1,CD$3,'800-898'!26:26)</f>
        <v>0</v>
      </c>
      <c r="CE115" s="128">
        <f>SUMIF('800-898'!$1:$1,CE$3,'800-898'!26:26)</f>
        <v>0</v>
      </c>
      <c r="CF115" s="128">
        <f>SUMIF('800-898'!$1:$1,CF$3,'800-898'!26:26)</f>
        <v>0</v>
      </c>
      <c r="CG115" s="302">
        <f t="shared" si="34"/>
        <v>-264864.13</v>
      </c>
      <c r="CJ115" s="122"/>
      <c r="CK115" s="169">
        <f>INDEX(SAP!C:C,MATCH('Actuals mapped to CFR'!A115,SAP!H:H,FALSE),1)</f>
        <v>-264864.13</v>
      </c>
      <c r="CL115" s="59">
        <f t="shared" si="33"/>
        <v>0</v>
      </c>
      <c r="CN115" s="81">
        <f t="shared" si="35"/>
        <v>1852408.47</v>
      </c>
      <c r="CO115" s="81">
        <f t="shared" si="36"/>
        <v>1736488.0200000005</v>
      </c>
      <c r="CP115" s="166">
        <f>VLOOKUP(B115,'2526 GBP Data input'!$A$4:$CA$230,38,FALSE)</f>
        <v>1704856</v>
      </c>
      <c r="CQ115" s="166">
        <f>VLOOKUP(B115,'2526 GBP Data input'!$A$4:$CA$230,73,FALSE)</f>
        <v>28148</v>
      </c>
      <c r="CR115" s="89">
        <f t="shared" si="39"/>
        <v>147552.46999999997</v>
      </c>
      <c r="CS115" s="83">
        <f t="shared" si="40"/>
        <v>61.691346454455044</v>
      </c>
      <c r="CT115" s="82">
        <f t="shared" si="37"/>
        <v>226121.26999999955</v>
      </c>
      <c r="CU115" s="82">
        <f t="shared" si="38"/>
        <v>-46984.06</v>
      </c>
      <c r="CV115" s="86">
        <f t="shared" si="44"/>
        <v>179137.20999999956</v>
      </c>
    </row>
    <row r="116" spans="1:102">
      <c r="A116" s="238">
        <v>107888</v>
      </c>
      <c r="B116" s="60">
        <v>888</v>
      </c>
      <c r="C116" s="60" t="s">
        <v>411</v>
      </c>
      <c r="D116" s="128">
        <f>SUMIF('800-898'!$1:$1,D$3,'800-898'!27:27)</f>
        <v>-167274.29</v>
      </c>
      <c r="E116" s="128">
        <f>SUMIF('800-898'!$1:$1,E$3,'800-898'!27:27)</f>
        <v>-3809.93</v>
      </c>
      <c r="F116" s="128">
        <f>SUMIF('800-898'!$1:$1,F$3,'800-898'!27:27)</f>
        <v>0</v>
      </c>
      <c r="G116" s="128">
        <f>SUMIF('800-898'!$1:$1,G$3,'800-898'!27:27)</f>
        <v>-6137.08</v>
      </c>
      <c r="H116" s="128">
        <f>SUMIF('800-898'!$1:$1,H$3,'800-898'!27:27)</f>
        <v>0</v>
      </c>
      <c r="I116" s="128">
        <f>SUMIF('800-898'!$1:$1,I$3,'800-898'!27:27)</f>
        <v>0</v>
      </c>
      <c r="J116" s="128">
        <f>SUMIF('800-898'!$1:$1,J$3,'800-898'!27:27)</f>
        <v>0</v>
      </c>
      <c r="K116" s="128">
        <f>SUMIF('800-898'!$1:$1,K$3,'800-898'!27:27)</f>
        <v>-1262082.3400000001</v>
      </c>
      <c r="L116" s="128">
        <f>SUMIF('800-898'!$1:$1,L$3,'800-898'!27:27)</f>
        <v>0</v>
      </c>
      <c r="M116" s="128">
        <f>SUMIF('800-898'!$1:$1,M$3,'800-898'!27:27)</f>
        <v>-170909</v>
      </c>
      <c r="N116" s="128">
        <f>SUMIF('800-898'!$1:$1,N$3,'800-898'!27:27)</f>
        <v>0</v>
      </c>
      <c r="O116" s="128">
        <f>SUMIF('800-898'!$1:$1,O$3,'800-898'!27:27)</f>
        <v>-142190</v>
      </c>
      <c r="P116" s="128">
        <f>SUMIF('800-898'!$1:$1,P$3,'800-898'!27:27)</f>
        <v>-39374</v>
      </c>
      <c r="Q116" s="128">
        <f>SUMIF('800-898'!$1:$1,Q$3,'800-898'!27:27)</f>
        <v>0</v>
      </c>
      <c r="R116" s="128">
        <f>SUMIF('800-898'!$1:$1,R$3,'800-898'!27:27)</f>
        <v>0</v>
      </c>
      <c r="S116" s="128">
        <f>SUMIF('800-898'!$1:$1,S$3,'800-898'!27:27)</f>
        <v>-22434.27</v>
      </c>
      <c r="T116" s="128">
        <f>SUMIF('800-898'!$1:$1,T$3,'800-898'!27:27)</f>
        <v>-14185.560000000001</v>
      </c>
      <c r="U116" s="128">
        <f>SUMIF('800-898'!$1:$1,U$3,'800-898'!27:27)</f>
        <v>0</v>
      </c>
      <c r="V116" s="128">
        <f>SUMIF('800-898'!$1:$1,V$3,'800-898'!27:27)</f>
        <v>0</v>
      </c>
      <c r="W116" s="128">
        <f>SUMIF('800-898'!$1:$1,W$3,'800-898'!27:27)</f>
        <v>-5357.9800000000005</v>
      </c>
      <c r="X116" s="128">
        <f>SUMIF('800-898'!$1:$1,X$3,'800-898'!27:27)</f>
        <v>-100</v>
      </c>
      <c r="Y116" s="164">
        <f>SUMIF('800-898'!$1:$1,Y$3,'800-898'!27:27)</f>
        <v>0</v>
      </c>
      <c r="Z116" s="128">
        <f>SUMIF('800-898'!$1:$1,Z$3,'800-898'!27:27)</f>
        <v>0</v>
      </c>
      <c r="AA116" s="128">
        <f>SUMIF('800-898'!$1:$1,AA$3,'800-898'!27:27)</f>
        <v>0</v>
      </c>
      <c r="AB116" s="128">
        <f>SUMIF('800-898'!$1:$1,AB$3,'800-898'!27:27)</f>
        <v>0</v>
      </c>
      <c r="AC116" s="314">
        <f>SUMIF('800-898'!$1:$1,AC$3,'800-898'!27:27)</f>
        <v>0</v>
      </c>
      <c r="AD116" s="314">
        <f>SUMIF('800-898'!$1:$1,AD$3,'800-898'!27:27)</f>
        <v>0</v>
      </c>
      <c r="AE116" s="314">
        <f>SUMIF('800-898'!$1:$1,AE$3,'800-898'!27:27)</f>
        <v>0</v>
      </c>
      <c r="AF116" s="314">
        <f>SUMIF('800-898'!$1:$1,AF$3,'800-898'!27:27)</f>
        <v>0</v>
      </c>
      <c r="AG116" s="128">
        <f>SUMIF('800-898'!$1:$1,AG$3,'800-898'!27:27)</f>
        <v>757717.94000000006</v>
      </c>
      <c r="AH116" s="128">
        <f>SUMIF('800-898'!$1:$1,AH$3,'800-898'!27:27)</f>
        <v>23432.079999999998</v>
      </c>
      <c r="AI116" s="128">
        <f>SUMIF('800-898'!$1:$1,AI$3,'800-898'!27:27)</f>
        <v>342024.63999999996</v>
      </c>
      <c r="AJ116" s="128">
        <f>SUMIF('800-898'!$1:$1,AJ$3,'800-898'!27:27)</f>
        <v>60145.530000000006</v>
      </c>
      <c r="AK116" s="128">
        <f>SUMIF('800-898'!$1:$1,AK$3,'800-898'!27:27)</f>
        <v>73251.850000000006</v>
      </c>
      <c r="AL116" s="128">
        <f>SUMIF('800-898'!$1:$1,AL$3,'800-898'!27:27)</f>
        <v>52618.510000000009</v>
      </c>
      <c r="AM116" s="128">
        <f>SUMIF('800-898'!$1:$1,AM$3,'800-898'!27:27)</f>
        <v>10418.230000000001</v>
      </c>
      <c r="AN116" s="128">
        <f>SUMIF('800-898'!$1:$1,AN$3,'800-898'!27:27)</f>
        <v>4830.9399999999996</v>
      </c>
      <c r="AO116" s="128">
        <f>SUMIF('800-898'!$1:$1,AO$3,'800-898'!27:27)</f>
        <v>4055</v>
      </c>
      <c r="AP116" s="128">
        <f>SUMIF('800-898'!$1:$1,AP$3,'800-898'!27:27)</f>
        <v>561.20000000000005</v>
      </c>
      <c r="AQ116" s="128">
        <f>SUMIF('800-898'!$1:$1,AQ$3,'800-898'!27:27)</f>
        <v>0</v>
      </c>
      <c r="AR116" s="128">
        <f>SUMIF('800-898'!$1:$1,AR$3,'800-898'!27:27)</f>
        <v>18516.730000000003</v>
      </c>
      <c r="AS116" s="128">
        <f>SUMIF('800-898'!$1:$1,AS$3,'800-898'!27:27)</f>
        <v>8159.9000000000015</v>
      </c>
      <c r="AT116" s="128">
        <f>SUMIF('800-898'!$1:$1,AT$3,'800-898'!27:27)</f>
        <v>5284.1500000000005</v>
      </c>
      <c r="AU116" s="128">
        <f>SUMIF('800-898'!$1:$1,AU$3,'800-898'!27:27)</f>
        <v>6824.0000000000018</v>
      </c>
      <c r="AV116" s="128">
        <f>SUMIF('800-898'!$1:$1,AV$3,'800-898'!27:27)</f>
        <v>40284.720000000001</v>
      </c>
      <c r="AW116" s="128">
        <f>SUMIF('800-898'!$1:$1,AW$3,'800-898'!27:27)</f>
        <v>18503.5</v>
      </c>
      <c r="AX116" s="128">
        <f>SUMIF('800-898'!$1:$1,AX$3,'800-898'!27:27)</f>
        <v>5164.1799999999994</v>
      </c>
      <c r="AY116" s="128">
        <f>SUMIF('800-898'!$1:$1,AY$3,'800-898'!27:27)</f>
        <v>76315.390000000029</v>
      </c>
      <c r="AZ116" s="314">
        <f>SUMIF('800-898'!$1:$1,AZ$3,'800-898'!27:27)</f>
        <v>0</v>
      </c>
      <c r="BA116" s="128">
        <f>SUMIF('800-898'!$1:$1,BA$3,'800-898'!27:27)</f>
        <v>2579</v>
      </c>
      <c r="BB116" s="128">
        <f>SUMIF('800-898'!$1:$1,BB$3,'800-898'!27:27)</f>
        <v>0</v>
      </c>
      <c r="BC116" s="128">
        <f>SUMIF('800-898'!$1:$1,BC$3,'800-898'!27:27)</f>
        <v>693.75</v>
      </c>
      <c r="BD116" s="128">
        <f>SUMIF('800-898'!$1:$1,BD$3,'800-898'!27:27)</f>
        <v>786.25</v>
      </c>
      <c r="BE116" s="128">
        <f>SUMIF('800-898'!$1:$1,BE$3,'800-898'!27:27)</f>
        <v>439</v>
      </c>
      <c r="BF116" s="128">
        <f>SUMIF('800-898'!$1:$1,BF$3,'800-898'!27:27)</f>
        <v>9592.6600000000017</v>
      </c>
      <c r="BG116" s="128">
        <f>SUMIF('800-898'!$1:$1,BG$3,'800-898'!27:27)</f>
        <v>5104</v>
      </c>
      <c r="BH116" s="128">
        <f>SUMIF('800-898'!$1:$1,BH$3,'800-898'!27:27)</f>
        <v>0</v>
      </c>
      <c r="BI116" s="128">
        <f>SUMIF('800-898'!$1:$1,BI$3,'800-898'!27:27)</f>
        <v>4214.1900000000005</v>
      </c>
      <c r="BJ116" s="128">
        <f>SUMIF('800-898'!$1:$1,BJ$3,'800-898'!27:27)</f>
        <v>9932.32</v>
      </c>
      <c r="BK116" s="128">
        <f>SUMIF('800-898'!$1:$1,BK$3,'800-898'!27:27)</f>
        <v>0</v>
      </c>
      <c r="BL116" s="128">
        <f>SUMIF('800-898'!$1:$1,BL$3,'800-898'!27:27)</f>
        <v>34914.129999999983</v>
      </c>
      <c r="BM116" s="128">
        <f>SUMIF('800-898'!$1:$1,BM$3,'800-898'!27:27)</f>
        <v>95589.52</v>
      </c>
      <c r="BN116" s="128">
        <f>SUMIF('800-898'!$1:$1,BN$3,'800-898'!27:27)</f>
        <v>43050</v>
      </c>
      <c r="BO116" s="128">
        <f>SUMIF('800-898'!$1:$1,BO$3,'800-898'!27:27)</f>
        <v>16961.8</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-6036.25</v>
      </c>
      <c r="BV116" s="128">
        <f>SUMIF('800-898'!$1:$1,BV$3,'800-898'!27:27)</f>
        <v>0</v>
      </c>
      <c r="BW116" s="128">
        <f>SUMIF('800-898'!$1:$1,BW$3,'800-898'!27:27)</f>
        <v>0</v>
      </c>
      <c r="BX116" s="128">
        <f>SUMIF('800-898'!$1:$1,BX$3,'800-898'!27:27)</f>
        <v>0</v>
      </c>
      <c r="BY116" s="128">
        <f>SUMIF('800-898'!$1:$1,BY$3,'800-898'!27:27)</f>
        <v>0</v>
      </c>
      <c r="BZ116" s="128">
        <f>SUMIF('800-898'!$1:$1,BZ$3,'800-898'!27:27)</f>
        <v>0</v>
      </c>
      <c r="CA116" s="314">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302">
        <f t="shared" si="34"/>
        <v>-107925.5900000003</v>
      </c>
      <c r="CJ116" s="122"/>
      <c r="CK116" s="169">
        <f>INDEX(SAP!C:C,MATCH('Actuals mapped to CFR'!A116,SAP!H:H,FALSE),1)</f>
        <v>-107925.59</v>
      </c>
      <c r="CL116" s="59">
        <f t="shared" si="33"/>
        <v>0</v>
      </c>
      <c r="CN116" s="81">
        <f t="shared" si="35"/>
        <v>1656633.1500000001</v>
      </c>
      <c r="CO116" s="81">
        <f t="shared" si="36"/>
        <v>1731965.1099999996</v>
      </c>
      <c r="CP116" s="166">
        <f>VLOOKUP(B116,'2526 GBP Data input'!$A$4:$CA$230,38,FALSE)</f>
        <v>1590975</v>
      </c>
      <c r="CQ116" s="166">
        <f>VLOOKUP(B116,'2526 GBP Data input'!$A$4:$CA$230,73,FALSE)</f>
        <v>17155</v>
      </c>
      <c r="CR116" s="89">
        <f t="shared" si="39"/>
        <v>65658.15000000014</v>
      </c>
      <c r="CS116" s="83">
        <f t="shared" si="40"/>
        <v>100.95978490236081</v>
      </c>
      <c r="CT116" s="82">
        <f t="shared" si="37"/>
        <v>91942.33000000054</v>
      </c>
      <c r="CU116" s="82">
        <f t="shared" si="38"/>
        <v>12173.33</v>
      </c>
      <c r="CV116" s="86">
        <f t="shared" si="44"/>
        <v>104115.66000000054</v>
      </c>
    </row>
    <row r="117" spans="1:102">
      <c r="A117" s="238">
        <v>107890</v>
      </c>
      <c r="B117" s="60">
        <v>890</v>
      </c>
      <c r="C117" s="60" t="s">
        <v>196</v>
      </c>
      <c r="D117" s="128">
        <f>SUMIF('800-898'!$1:$1,D$3,'800-898'!28:28)</f>
        <v>0</v>
      </c>
      <c r="E117" s="128">
        <f>SUMIF('800-898'!$1:$1,E$3,'800-898'!28:28)</f>
        <v>-33681.599999999999</v>
      </c>
      <c r="F117" s="128">
        <f>SUMIF('800-898'!$1:$1,F$3,'800-898'!28:28)</f>
        <v>207120.02</v>
      </c>
      <c r="G117" s="128">
        <f>SUMIF('800-898'!$1:$1,G$3,'800-898'!28:28)</f>
        <v>-869.73</v>
      </c>
      <c r="H117" s="128">
        <f>SUMIF('800-898'!$1:$1,H$3,'800-898'!28:28)</f>
        <v>0</v>
      </c>
      <c r="I117" s="128">
        <f>SUMIF('800-898'!$1:$1,I$3,'800-898'!28:28)</f>
        <v>0</v>
      </c>
      <c r="J117" s="128">
        <f>SUMIF('800-898'!$1:$1,J$3,'800-898'!28:28)</f>
        <v>0</v>
      </c>
      <c r="K117" s="128">
        <f>SUMIF('800-898'!$1:$1,K$3,'800-898'!28:28)</f>
        <v>-1155914.1499999999</v>
      </c>
      <c r="L117" s="128">
        <f>SUMIF('800-898'!$1:$1,L$3,'800-898'!28:28)</f>
        <v>0</v>
      </c>
      <c r="M117" s="128">
        <f>SUMIF('800-898'!$1:$1,M$3,'800-898'!28:28)</f>
        <v>-79760.5</v>
      </c>
      <c r="N117" s="128">
        <f>SUMIF('800-898'!$1:$1,N$3,'800-898'!28:28)</f>
        <v>0</v>
      </c>
      <c r="O117" s="128">
        <f>SUMIF('800-898'!$1:$1,O$3,'800-898'!28:28)</f>
        <v>-61315</v>
      </c>
      <c r="P117" s="128">
        <f>SUMIF('800-898'!$1:$1,P$3,'800-898'!28:28)</f>
        <v>-47584</v>
      </c>
      <c r="Q117" s="128">
        <f>SUMIF('800-898'!$1:$1,Q$3,'800-898'!28:28)</f>
        <v>-580</v>
      </c>
      <c r="R117" s="128">
        <f>SUMIF('800-898'!$1:$1,R$3,'800-898'!28:28)</f>
        <v>-948</v>
      </c>
      <c r="S117" s="128">
        <f>SUMIF('800-898'!$1:$1,S$3,'800-898'!28:28)</f>
        <v>-31578.619999999974</v>
      </c>
      <c r="T117" s="128">
        <f>SUMIF('800-898'!$1:$1,T$3,'800-898'!28:28)</f>
        <v>7.05</v>
      </c>
      <c r="U117" s="128">
        <f>SUMIF('800-898'!$1:$1,U$3,'800-898'!28:28)</f>
        <v>0</v>
      </c>
      <c r="V117" s="128">
        <f>SUMIF('800-898'!$1:$1,V$3,'800-898'!28:28)</f>
        <v>0</v>
      </c>
      <c r="W117" s="128">
        <f>SUMIF('800-898'!$1:$1,W$3,'800-898'!28:28)</f>
        <v>-19238.60999999999</v>
      </c>
      <c r="X117" s="128">
        <f>SUMIF('800-898'!$1:$1,X$3,'800-898'!28:28)</f>
        <v>-193.32000000000005</v>
      </c>
      <c r="Y117" s="164">
        <f>SUMIF('800-898'!$1:$1,Y$3,'800-898'!28:28)</f>
        <v>0</v>
      </c>
      <c r="Z117" s="128">
        <f>SUMIF('800-898'!$1:$1,Z$3,'800-898'!28:28)</f>
        <v>0</v>
      </c>
      <c r="AA117" s="128">
        <f>SUMIF('800-898'!$1:$1,AA$3,'800-898'!28:28)</f>
        <v>0</v>
      </c>
      <c r="AB117" s="128">
        <f>SUMIF('800-898'!$1:$1,AB$3,'800-898'!28:28)</f>
        <v>0</v>
      </c>
      <c r="AC117" s="314">
        <f>SUMIF('800-898'!$1:$1,AC$3,'800-898'!28:28)</f>
        <v>0</v>
      </c>
      <c r="AD117" s="314">
        <f>SUMIF('800-898'!$1:$1,AD$3,'800-898'!28:28)</f>
        <v>0</v>
      </c>
      <c r="AE117" s="314">
        <f>SUMIF('800-898'!$1:$1,AE$3,'800-898'!28:28)</f>
        <v>0</v>
      </c>
      <c r="AF117" s="314">
        <f>SUMIF('800-898'!$1:$1,AF$3,'800-898'!28:28)</f>
        <v>0</v>
      </c>
      <c r="AG117" s="128">
        <f>SUMIF('800-898'!$1:$1,AG$3,'800-898'!28:28)</f>
        <v>703486.78</v>
      </c>
      <c r="AH117" s="128">
        <f>SUMIF('800-898'!$1:$1,AH$3,'800-898'!28:28)</f>
        <v>6203.94</v>
      </c>
      <c r="AI117" s="128">
        <f>SUMIF('800-898'!$1:$1,AI$3,'800-898'!28:28)</f>
        <v>290747.03999999998</v>
      </c>
      <c r="AJ117" s="128">
        <f>SUMIF('800-898'!$1:$1,AJ$3,'800-898'!28:28)</f>
        <v>36543.879999999997</v>
      </c>
      <c r="AK117" s="128">
        <f>SUMIF('800-898'!$1:$1,AK$3,'800-898'!28:28)</f>
        <v>52756.470000000008</v>
      </c>
      <c r="AL117" s="128">
        <f>SUMIF('800-898'!$1:$1,AL$3,'800-898'!28:28)</f>
        <v>0</v>
      </c>
      <c r="AM117" s="128">
        <f>SUMIF('800-898'!$1:$1,AM$3,'800-898'!28:28)</f>
        <v>58239.149999999994</v>
      </c>
      <c r="AN117" s="128">
        <f>SUMIF('800-898'!$1:$1,AN$3,'800-898'!28:28)</f>
        <v>4446.2</v>
      </c>
      <c r="AO117" s="128">
        <f>SUMIF('800-898'!$1:$1,AO$3,'800-898'!28:28)</f>
        <v>7963.3899999999994</v>
      </c>
      <c r="AP117" s="128">
        <f>SUMIF('800-898'!$1:$1,AP$3,'800-898'!28:28)</f>
        <v>622.20000000000005</v>
      </c>
      <c r="AQ117" s="128">
        <f>SUMIF('800-898'!$1:$1,AQ$3,'800-898'!28:28)</f>
        <v>0</v>
      </c>
      <c r="AR117" s="128">
        <f>SUMIF('800-898'!$1:$1,AR$3,'800-898'!28:28)</f>
        <v>15816.500000000004</v>
      </c>
      <c r="AS117" s="128">
        <f>SUMIF('800-898'!$1:$1,AS$3,'800-898'!28:28)</f>
        <v>0</v>
      </c>
      <c r="AT117" s="128">
        <f>SUMIF('800-898'!$1:$1,AT$3,'800-898'!28:28)</f>
        <v>5830.7099999999991</v>
      </c>
      <c r="AU117" s="128">
        <f>SUMIF('800-898'!$1:$1,AU$3,'800-898'!28:28)</f>
        <v>3939.3900000000008</v>
      </c>
      <c r="AV117" s="128">
        <f>SUMIF('800-898'!$1:$1,AV$3,'800-898'!28:28)</f>
        <v>14449.4</v>
      </c>
      <c r="AW117" s="128">
        <f>SUMIF('800-898'!$1:$1,AW$3,'800-898'!28:28)</f>
        <v>16467</v>
      </c>
      <c r="AX117" s="128">
        <f>SUMIF('800-898'!$1:$1,AX$3,'800-898'!28:28)</f>
        <v>3949.04</v>
      </c>
      <c r="AY117" s="128">
        <f>SUMIF('800-898'!$1:$1,AY$3,'800-898'!28:28)</f>
        <v>34595.800000000003</v>
      </c>
      <c r="AZ117" s="314">
        <f>SUMIF('800-898'!$1:$1,AZ$3,'800-898'!28:28)</f>
        <v>9.48</v>
      </c>
      <c r="BA117" s="128">
        <f>SUMIF('800-898'!$1:$1,BA$3,'800-898'!28:28)</f>
        <v>3898</v>
      </c>
      <c r="BB117" s="128">
        <f>SUMIF('800-898'!$1:$1,BB$3,'800-898'!28:28)</f>
        <v>640</v>
      </c>
      <c r="BC117" s="128">
        <f>SUMIF('800-898'!$1:$1,BC$3,'800-898'!28:28)</f>
        <v>48.15</v>
      </c>
      <c r="BD117" s="128">
        <f>SUMIF('800-898'!$1:$1,BD$3,'800-898'!28:28)</f>
        <v>12966.66</v>
      </c>
      <c r="BE117" s="128">
        <f>SUMIF('800-898'!$1:$1,BE$3,'800-898'!28:28)</f>
        <v>78.31</v>
      </c>
      <c r="BF117" s="128">
        <f>SUMIF('800-898'!$1:$1,BF$3,'800-898'!28:28)</f>
        <v>0</v>
      </c>
      <c r="BG117" s="128">
        <f>SUMIF('800-898'!$1:$1,BG$3,'800-898'!28:28)</f>
        <v>7242</v>
      </c>
      <c r="BH117" s="128">
        <f>SUMIF('800-898'!$1:$1,BH$3,'800-898'!28:28)</f>
        <v>0</v>
      </c>
      <c r="BI117" s="128">
        <f>SUMIF('800-898'!$1:$1,BI$3,'800-898'!28:28)</f>
        <v>9327.51</v>
      </c>
      <c r="BJ117" s="128">
        <f>SUMIF('800-898'!$1:$1,BJ$3,'800-898'!28:28)</f>
        <v>9708.36</v>
      </c>
      <c r="BK117" s="128">
        <f>SUMIF('800-898'!$1:$1,BK$3,'800-898'!28:28)</f>
        <v>0</v>
      </c>
      <c r="BL117" s="128">
        <f>SUMIF('800-898'!$1:$1,BL$3,'800-898'!28:28)</f>
        <v>53991.340000000004</v>
      </c>
      <c r="BM117" s="128">
        <f>SUMIF('800-898'!$1:$1,BM$3,'800-898'!28:28)</f>
        <v>9846.32</v>
      </c>
      <c r="BN117" s="128">
        <f>SUMIF('800-898'!$1:$1,BN$3,'800-898'!28:28)</f>
        <v>32135.440000000002</v>
      </c>
      <c r="BO117" s="128">
        <f>SUMIF('800-898'!$1:$1,BO$3,'800-898'!28:28)</f>
        <v>31600.44</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-6266.88</v>
      </c>
      <c r="BV117" s="128">
        <f>SUMIF('800-898'!$1:$1,BV$3,'800-898'!28:28)</f>
        <v>0</v>
      </c>
      <c r="BW117" s="128">
        <f>SUMIF('800-898'!$1:$1,BW$3,'800-898'!28:28)</f>
        <v>0</v>
      </c>
      <c r="BX117" s="128">
        <f>SUMIF('800-898'!$1:$1,BX$3,'800-898'!28:28)</f>
        <v>0</v>
      </c>
      <c r="BY117" s="128">
        <f>SUMIF('800-898'!$1:$1,BY$3,'800-898'!28:28)</f>
        <v>0</v>
      </c>
      <c r="BZ117" s="128">
        <f>SUMIF('800-898'!$1:$1,BZ$3,'800-898'!28:28)</f>
        <v>0</v>
      </c>
      <c r="CA117" s="314">
        <f>SUMIF('800-898'!$1:$1,CA$3,'800-898'!28:28)</f>
        <v>0</v>
      </c>
      <c r="CB117" s="128">
        <f>SUMIF('800-898'!$1:$1,CB$3,'800-898'!28:28)</f>
        <v>0</v>
      </c>
      <c r="CC117" s="128">
        <f>SUMIF('800-898'!$1:$1,CC$3,'800-898'!28:28)</f>
        <v>0</v>
      </c>
      <c r="CD117" s="128">
        <f>SUMIF('800-898'!$1:$1,CD$3,'800-898'!28:28)</f>
        <v>0</v>
      </c>
      <c r="CE117" s="128">
        <f>SUMIF('800-898'!$1:$1,CE$3,'800-898'!28:28)</f>
        <v>4987.4699999999993</v>
      </c>
      <c r="CF117" s="128">
        <f>SUMIF('800-898'!$1:$1,CF$3,'800-898'!28:28)</f>
        <v>0</v>
      </c>
      <c r="CG117" s="302">
        <f t="shared" si="34"/>
        <v>201733.03000000006</v>
      </c>
      <c r="CJ117" s="122"/>
      <c r="CK117" s="169">
        <f>INDEX(SAP!C:C,MATCH('Actuals mapped to CFR'!A117,SAP!H:H,FALSE),1)</f>
        <v>201733.03</v>
      </c>
      <c r="CL117" s="59">
        <f t="shared" si="33"/>
        <v>0</v>
      </c>
      <c r="CN117" s="81">
        <f t="shared" si="35"/>
        <v>1397105.15</v>
      </c>
      <c r="CO117" s="81">
        <f t="shared" si="36"/>
        <v>1427548.8999999997</v>
      </c>
      <c r="CP117" s="166">
        <f>VLOOKUP(B117,'2526 GBP Data input'!$A$4:$CA$230,38,FALSE)</f>
        <v>1414313</v>
      </c>
      <c r="CQ117" s="166">
        <f>VLOOKUP(B117,'2526 GBP Data input'!$A$4:$CA$230,73,FALSE)</f>
        <v>27834</v>
      </c>
      <c r="CR117" s="89">
        <f t="shared" si="39"/>
        <v>-17207.850000000093</v>
      </c>
      <c r="CS117" s="83">
        <f t="shared" si="40"/>
        <v>51.28795358195012</v>
      </c>
      <c r="CT117" s="82">
        <f t="shared" si="37"/>
        <v>-237563.76999999979</v>
      </c>
      <c r="CU117" s="82">
        <f t="shared" si="38"/>
        <v>7136.6100000000006</v>
      </c>
      <c r="CV117" s="86">
        <f t="shared" si="44"/>
        <v>-230427.1599999998</v>
      </c>
    </row>
    <row r="118" spans="1:102">
      <c r="A118" s="238">
        <v>107891</v>
      </c>
      <c r="B118" s="60">
        <v>891</v>
      </c>
      <c r="C118" s="60" t="s">
        <v>214</v>
      </c>
      <c r="D118" s="128">
        <f>SUMIF('800-898'!$1:$1,D$3,'800-898'!29:29)</f>
        <v>-43472.33</v>
      </c>
      <c r="E118" s="128">
        <f>SUMIF('800-898'!$1:$1,E$3,'800-898'!29:29)</f>
        <v>-13444.18</v>
      </c>
      <c r="F118" s="128">
        <f>SUMIF('800-898'!$1:$1,F$3,'800-898'!29:29)</f>
        <v>0</v>
      </c>
      <c r="G118" s="128">
        <f>SUMIF('800-898'!$1:$1,G$3,'800-898'!29:29)</f>
        <v>-2864.26</v>
      </c>
      <c r="H118" s="128">
        <f>SUMIF('800-898'!$1:$1,H$3,'800-898'!29:29)</f>
        <v>0</v>
      </c>
      <c r="I118" s="128">
        <f>SUMIF('800-898'!$1:$1,I$3,'800-898'!29:29)</f>
        <v>0</v>
      </c>
      <c r="J118" s="128">
        <f>SUMIF('800-898'!$1:$1,J$3,'800-898'!29:29)</f>
        <v>0</v>
      </c>
      <c r="K118" s="128">
        <f>SUMIF('800-898'!$1:$1,K$3,'800-898'!29:29)</f>
        <v>-1034996.6</v>
      </c>
      <c r="L118" s="128">
        <f>SUMIF('800-898'!$1:$1,L$3,'800-898'!29:29)</f>
        <v>0</v>
      </c>
      <c r="M118" s="128">
        <f>SUMIF('800-898'!$1:$1,M$3,'800-898'!29:29)</f>
        <v>-106116</v>
      </c>
      <c r="N118" s="128">
        <f>SUMIF('800-898'!$1:$1,N$3,'800-898'!29:29)</f>
        <v>0</v>
      </c>
      <c r="O118" s="128">
        <f>SUMIF('800-898'!$1:$1,O$3,'800-898'!29:29)</f>
        <v>-51891.97</v>
      </c>
      <c r="P118" s="128">
        <f>SUMIF('800-898'!$1:$1,P$3,'800-898'!29:29)</f>
        <v>-48948</v>
      </c>
      <c r="Q118" s="128">
        <f>SUMIF('800-898'!$1:$1,Q$3,'800-898'!29:29)</f>
        <v>-9160</v>
      </c>
      <c r="R118" s="128">
        <f>SUMIF('800-898'!$1:$1,R$3,'800-898'!29:29)</f>
        <v>-13007.44</v>
      </c>
      <c r="S118" s="128">
        <f>SUMIF('800-898'!$1:$1,S$3,'800-898'!29:29)</f>
        <v>-6677.93</v>
      </c>
      <c r="T118" s="128">
        <f>SUMIF('800-898'!$1:$1,T$3,'800-898'!29:29)</f>
        <v>271.77</v>
      </c>
      <c r="U118" s="128">
        <f>SUMIF('800-898'!$1:$1,U$3,'800-898'!29:29)</f>
        <v>0</v>
      </c>
      <c r="V118" s="128">
        <f>SUMIF('800-898'!$1:$1,V$3,'800-898'!29:29)</f>
        <v>0</v>
      </c>
      <c r="W118" s="128">
        <f>SUMIF('800-898'!$1:$1,W$3,'800-898'!29:29)</f>
        <v>-12604</v>
      </c>
      <c r="X118" s="128">
        <f>SUMIF('800-898'!$1:$1,X$3,'800-898'!29:29)</f>
        <v>-5510.08</v>
      </c>
      <c r="Y118" s="164">
        <f>SUMIF('800-898'!$1:$1,Y$3,'800-898'!29:29)</f>
        <v>0</v>
      </c>
      <c r="Z118" s="128">
        <f>SUMIF('800-898'!$1:$1,Z$3,'800-898'!29:29)</f>
        <v>0</v>
      </c>
      <c r="AA118" s="128">
        <f>SUMIF('800-898'!$1:$1,AA$3,'800-898'!29:29)</f>
        <v>0</v>
      </c>
      <c r="AB118" s="128">
        <f>SUMIF('800-898'!$1:$1,AB$3,'800-898'!29:29)</f>
        <v>0</v>
      </c>
      <c r="AC118" s="314">
        <f>SUMIF('800-898'!$1:$1,AC$3,'800-898'!29:29)</f>
        <v>0</v>
      </c>
      <c r="AD118" s="314">
        <f>SUMIF('800-898'!$1:$1,AD$3,'800-898'!29:29)</f>
        <v>0</v>
      </c>
      <c r="AE118" s="314">
        <f>SUMIF('800-898'!$1:$1,AE$3,'800-898'!29:29)</f>
        <v>0</v>
      </c>
      <c r="AF118" s="314">
        <f>SUMIF('800-898'!$1:$1,AF$3,'800-898'!29:29)</f>
        <v>0</v>
      </c>
      <c r="AG118" s="128">
        <f>SUMIF('800-898'!$1:$1,AG$3,'800-898'!29:29)</f>
        <v>693728.44</v>
      </c>
      <c r="AH118" s="128">
        <f>SUMIF('800-898'!$1:$1,AH$3,'800-898'!29:29)</f>
        <v>11681.49</v>
      </c>
      <c r="AI118" s="128">
        <f>SUMIF('800-898'!$1:$1,AI$3,'800-898'!29:29)</f>
        <v>251986.49999999997</v>
      </c>
      <c r="AJ118" s="128">
        <f>SUMIF('800-898'!$1:$1,AJ$3,'800-898'!29:29)</f>
        <v>8572.91</v>
      </c>
      <c r="AK118" s="128">
        <f>SUMIF('800-898'!$1:$1,AK$3,'800-898'!29:29)</f>
        <v>83703.939999999988</v>
      </c>
      <c r="AL118" s="128">
        <f>SUMIF('800-898'!$1:$1,AL$3,'800-898'!29:29)</f>
        <v>0</v>
      </c>
      <c r="AM118" s="128">
        <f>SUMIF('800-898'!$1:$1,AM$3,'800-898'!29:29)</f>
        <v>28777.040000000001</v>
      </c>
      <c r="AN118" s="128">
        <f>SUMIF('800-898'!$1:$1,AN$3,'800-898'!29:29)</f>
        <v>3907.6</v>
      </c>
      <c r="AO118" s="128">
        <f>SUMIF('800-898'!$1:$1,AO$3,'800-898'!29:29)</f>
        <v>4093.25</v>
      </c>
      <c r="AP118" s="128">
        <f>SUMIF('800-898'!$1:$1,AP$3,'800-898'!29:29)</f>
        <v>570.35</v>
      </c>
      <c r="AQ118" s="128">
        <f>SUMIF('800-898'!$1:$1,AQ$3,'800-898'!29:29)</f>
        <v>0</v>
      </c>
      <c r="AR118" s="128">
        <f>SUMIF('800-898'!$1:$1,AR$3,'800-898'!29:29)</f>
        <v>19973.82</v>
      </c>
      <c r="AS118" s="128">
        <f>SUMIF('800-898'!$1:$1,AS$3,'800-898'!29:29)</f>
        <v>5826.1</v>
      </c>
      <c r="AT118" s="128">
        <f>SUMIF('800-898'!$1:$1,AT$3,'800-898'!29:29)</f>
        <v>24068.240000000002</v>
      </c>
      <c r="AU118" s="128">
        <f>SUMIF('800-898'!$1:$1,AU$3,'800-898'!29:29)</f>
        <v>5254.079999999999</v>
      </c>
      <c r="AV118" s="128">
        <f>SUMIF('800-898'!$1:$1,AV$3,'800-898'!29:29)</f>
        <v>15827.480000000001</v>
      </c>
      <c r="AW118" s="128">
        <f>SUMIF('800-898'!$1:$1,AW$3,'800-898'!29:29)</f>
        <v>24825.25</v>
      </c>
      <c r="AX118" s="128">
        <f>SUMIF('800-898'!$1:$1,AX$3,'800-898'!29:29)</f>
        <v>5142.05</v>
      </c>
      <c r="AY118" s="128">
        <f>SUMIF('800-898'!$1:$1,AY$3,'800-898'!29:29)</f>
        <v>54330.239999999998</v>
      </c>
      <c r="AZ118" s="314">
        <f>SUMIF('800-898'!$1:$1,AZ$3,'800-898'!29:29)</f>
        <v>0</v>
      </c>
      <c r="BA118" s="128">
        <f>SUMIF('800-898'!$1:$1,BA$3,'800-898'!29:29)</f>
        <v>3387</v>
      </c>
      <c r="BB118" s="128">
        <f>SUMIF('800-898'!$1:$1,BB$3,'800-898'!29:29)</f>
        <v>0</v>
      </c>
      <c r="BC118" s="128">
        <f>SUMIF('800-898'!$1:$1,BC$3,'800-898'!29:29)</f>
        <v>138.44999999999999</v>
      </c>
      <c r="BD118" s="128">
        <f>SUMIF('800-898'!$1:$1,BD$3,'800-898'!29:29)</f>
        <v>500</v>
      </c>
      <c r="BE118" s="128">
        <f>SUMIF('800-898'!$1:$1,BE$3,'800-898'!29:29)</f>
        <v>324</v>
      </c>
      <c r="BF118" s="128">
        <f>SUMIF('800-898'!$1:$1,BF$3,'800-898'!29:29)</f>
        <v>0</v>
      </c>
      <c r="BG118" s="128">
        <f>SUMIF('800-898'!$1:$1,BG$3,'800-898'!29:29)</f>
        <v>6299.5</v>
      </c>
      <c r="BH118" s="128">
        <f>SUMIF('800-898'!$1:$1,BH$3,'800-898'!29:29)</f>
        <v>0</v>
      </c>
      <c r="BI118" s="128">
        <f>SUMIF('800-898'!$1:$1,BI$3,'800-898'!29:29)</f>
        <v>3982.22</v>
      </c>
      <c r="BJ118" s="128">
        <f>SUMIF('800-898'!$1:$1,BJ$3,'800-898'!29:29)</f>
        <v>10094.26</v>
      </c>
      <c r="BK118" s="128">
        <f>SUMIF('800-898'!$1:$1,BK$3,'800-898'!29:29)</f>
        <v>0</v>
      </c>
      <c r="BL118" s="128">
        <f>SUMIF('800-898'!$1:$1,BL$3,'800-898'!29:29)</f>
        <v>48572.54</v>
      </c>
      <c r="BM118" s="128">
        <f>SUMIF('800-898'!$1:$1,BM$3,'800-898'!29:29)</f>
        <v>4091</v>
      </c>
      <c r="BN118" s="128">
        <f>SUMIF('800-898'!$1:$1,BN$3,'800-898'!29:29)</f>
        <v>21929.279999999999</v>
      </c>
      <c r="BO118" s="128">
        <f>SUMIF('800-898'!$1:$1,BO$3,'800-898'!29:29)</f>
        <v>16470.170000000002</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-24174.080000000002</v>
      </c>
      <c r="BV118" s="128">
        <f>SUMIF('800-898'!$1:$1,BV$3,'800-898'!29:29)</f>
        <v>0</v>
      </c>
      <c r="BW118" s="128">
        <f>SUMIF('800-898'!$1:$1,BW$3,'800-898'!29:29)</f>
        <v>0</v>
      </c>
      <c r="BX118" s="128">
        <f>SUMIF('800-898'!$1:$1,BX$3,'800-898'!29:29)</f>
        <v>0</v>
      </c>
      <c r="BY118" s="128">
        <f>SUMIF('800-898'!$1:$1,BY$3,'800-898'!29:29)</f>
        <v>3855</v>
      </c>
      <c r="BZ118" s="128">
        <f>SUMIF('800-898'!$1:$1,BZ$3,'800-898'!29:29)</f>
        <v>0</v>
      </c>
      <c r="CA118" s="314">
        <f>SUMIF('800-898'!$1:$1,CA$3,'800-898'!29:29)</f>
        <v>0</v>
      </c>
      <c r="CB118" s="128">
        <f>SUMIF('800-898'!$1:$1,CB$3,'800-898'!29:29)</f>
        <v>0</v>
      </c>
      <c r="CC118" s="128">
        <f>SUMIF('800-898'!$1:$1,CC$3,'800-898'!29:29)</f>
        <v>0</v>
      </c>
      <c r="CD118" s="128">
        <f>SUMIF('800-898'!$1:$1,CD$3,'800-898'!29:29)</f>
        <v>0</v>
      </c>
      <c r="CE118" s="128">
        <f>SUMIF('800-898'!$1:$1,CE$3,'800-898'!29:29)</f>
        <v>5574</v>
      </c>
      <c r="CF118" s="128">
        <f>SUMIF('800-898'!$1:$1,CF$3,'800-898'!29:29)</f>
        <v>0</v>
      </c>
      <c r="CG118" s="302">
        <f t="shared" si="34"/>
        <v>-5108.8999999999396</v>
      </c>
      <c r="CJ118" s="122"/>
      <c r="CK118" s="169">
        <f>INDEX(SAP!C:C,MATCH('Actuals mapped to CFR'!A118,SAP!H:H,FALSE),1)</f>
        <v>-5108.8999999999996</v>
      </c>
      <c r="CL118" s="59">
        <f t="shared" si="33"/>
        <v>0</v>
      </c>
      <c r="CN118" s="81">
        <f t="shared" si="35"/>
        <v>1288640.25</v>
      </c>
      <c r="CO118" s="81">
        <f t="shared" si="36"/>
        <v>1358057.2000000004</v>
      </c>
      <c r="CP118" s="166">
        <f>VLOOKUP(B118,'2526 GBP Data input'!$A$4:$CA$230,38,FALSE)</f>
        <v>1245483</v>
      </c>
      <c r="CQ118" s="166">
        <f>VLOOKUP(B118,'2526 GBP Data input'!$A$4:$CA$230,73,FALSE)</f>
        <v>15980</v>
      </c>
      <c r="CR118" s="89">
        <f t="shared" si="39"/>
        <v>43157.25</v>
      </c>
      <c r="CS118" s="83">
        <f t="shared" si="40"/>
        <v>84.98480600750942</v>
      </c>
      <c r="CT118" s="82">
        <f t="shared" si="37"/>
        <v>-25944.620000000345</v>
      </c>
      <c r="CU118" s="82">
        <f t="shared" si="38"/>
        <v>23183.340000000004</v>
      </c>
      <c r="CV118" s="86">
        <f t="shared" si="44"/>
        <v>-2761.2800000003408</v>
      </c>
    </row>
    <row r="119" spans="1:102">
      <c r="A119" s="238">
        <v>107892</v>
      </c>
      <c r="B119" s="60">
        <v>892</v>
      </c>
      <c r="C119" s="60" t="s">
        <v>221</v>
      </c>
      <c r="D119" s="128">
        <f>SUMIF('800-898'!$1:$1,D$3,'800-898'!30:30)</f>
        <v>-107627.26</v>
      </c>
      <c r="E119" s="128">
        <f>SUMIF('800-898'!$1:$1,E$3,'800-898'!30:30)</f>
        <v>-96841</v>
      </c>
      <c r="F119" s="128">
        <f>SUMIF('800-898'!$1:$1,F$3,'800-898'!30:30)</f>
        <v>0</v>
      </c>
      <c r="G119" s="128">
        <f>SUMIF('800-898'!$1:$1,G$3,'800-898'!30:30)</f>
        <v>0.13</v>
      </c>
      <c r="H119" s="128">
        <f>SUMIF('800-898'!$1:$1,H$3,'800-898'!30:30)</f>
        <v>0</v>
      </c>
      <c r="I119" s="128">
        <f>SUMIF('800-898'!$1:$1,I$3,'800-898'!30:30)</f>
        <v>-15882</v>
      </c>
      <c r="J119" s="128">
        <f>SUMIF('800-898'!$1:$1,J$3,'800-898'!30:30)</f>
        <v>0</v>
      </c>
      <c r="K119" s="128">
        <f>SUMIF('800-898'!$1:$1,K$3,'800-898'!30:30)</f>
        <v>-2754668</v>
      </c>
      <c r="L119" s="128">
        <f>SUMIF('800-898'!$1:$1,L$3,'800-898'!30:30)</f>
        <v>0</v>
      </c>
      <c r="M119" s="128">
        <f>SUMIF('800-898'!$1:$1,M$3,'800-898'!30:30)</f>
        <v>-169661</v>
      </c>
      <c r="N119" s="128">
        <f>SUMIF('800-898'!$1:$1,N$3,'800-898'!30:30)</f>
        <v>0</v>
      </c>
      <c r="O119" s="128">
        <f>SUMIF('800-898'!$1:$1,O$3,'800-898'!30:30)</f>
        <v>-109681</v>
      </c>
      <c r="P119" s="128">
        <f>SUMIF('800-898'!$1:$1,P$3,'800-898'!30:30)</f>
        <v>-104081.01</v>
      </c>
      <c r="Q119" s="128">
        <f>SUMIF('800-898'!$1:$1,Q$3,'800-898'!30:30)</f>
        <v>-1000</v>
      </c>
      <c r="R119" s="128">
        <f>SUMIF('800-898'!$1:$1,R$3,'800-898'!30:30)</f>
        <v>-28015.360000000004</v>
      </c>
      <c r="S119" s="128">
        <f>SUMIF('800-898'!$1:$1,S$3,'800-898'!30:30)</f>
        <v>-17303</v>
      </c>
      <c r="T119" s="128">
        <f>SUMIF('800-898'!$1:$1,T$3,'800-898'!30:30)</f>
        <v>5.1099999999999994</v>
      </c>
      <c r="U119" s="128">
        <f>SUMIF('800-898'!$1:$1,U$3,'800-898'!30:30)</f>
        <v>-7800</v>
      </c>
      <c r="V119" s="128">
        <f>SUMIF('800-898'!$1:$1,V$3,'800-898'!30:30)</f>
        <v>0</v>
      </c>
      <c r="W119" s="128">
        <f>SUMIF('800-898'!$1:$1,W$3,'800-898'!30:30)</f>
        <v>-58639.130000000026</v>
      </c>
      <c r="X119" s="128">
        <f>SUMIF('800-898'!$1:$1,X$3,'800-898'!30:30)</f>
        <v>-23073.710000000003</v>
      </c>
      <c r="Y119" s="164">
        <f>SUMIF('800-898'!$1:$1,Y$3,'800-898'!30:30)</f>
        <v>0</v>
      </c>
      <c r="Z119" s="128">
        <f>SUMIF('800-898'!$1:$1,Z$3,'800-898'!30:30)</f>
        <v>0</v>
      </c>
      <c r="AA119" s="128">
        <f>SUMIF('800-898'!$1:$1,AA$3,'800-898'!30:30)</f>
        <v>0</v>
      </c>
      <c r="AB119" s="128">
        <f>SUMIF('800-898'!$1:$1,AB$3,'800-898'!30:30)</f>
        <v>0</v>
      </c>
      <c r="AC119" s="314">
        <f>SUMIF('800-898'!$1:$1,AC$3,'800-898'!30:30)</f>
        <v>0</v>
      </c>
      <c r="AD119" s="314">
        <f>SUMIF('800-898'!$1:$1,AD$3,'800-898'!30:30)</f>
        <v>0</v>
      </c>
      <c r="AE119" s="314">
        <f>SUMIF('800-898'!$1:$1,AE$3,'800-898'!30:30)</f>
        <v>0</v>
      </c>
      <c r="AF119" s="314">
        <f>SUMIF('800-898'!$1:$1,AF$3,'800-898'!30:30)</f>
        <v>0</v>
      </c>
      <c r="AG119" s="128">
        <f>SUMIF('800-898'!$1:$1,AG$3,'800-898'!30:30)</f>
        <v>1700336.2</v>
      </c>
      <c r="AH119" s="128">
        <f>SUMIF('800-898'!$1:$1,AH$3,'800-898'!30:30)</f>
        <v>12752.630000000001</v>
      </c>
      <c r="AI119" s="128">
        <f>SUMIF('800-898'!$1:$1,AI$3,'800-898'!30:30)</f>
        <v>440228.39999999991</v>
      </c>
      <c r="AJ119" s="128">
        <f>SUMIF('800-898'!$1:$1,AJ$3,'800-898'!30:30)</f>
        <v>86347.74</v>
      </c>
      <c r="AK119" s="128">
        <f>SUMIF('800-898'!$1:$1,AK$3,'800-898'!30:30)</f>
        <v>177469.71000000002</v>
      </c>
      <c r="AL119" s="128">
        <f>SUMIF('800-898'!$1:$1,AL$3,'800-898'!30:30)</f>
        <v>0</v>
      </c>
      <c r="AM119" s="128">
        <f>SUMIF('800-898'!$1:$1,AM$3,'800-898'!30:30)</f>
        <v>47706.32</v>
      </c>
      <c r="AN119" s="128">
        <f>SUMIF('800-898'!$1:$1,AN$3,'800-898'!30:30)</f>
        <v>9366.1799999999985</v>
      </c>
      <c r="AO119" s="128">
        <f>SUMIF('800-898'!$1:$1,AO$3,'800-898'!30:30)</f>
        <v>9180.4700000000012</v>
      </c>
      <c r="AP119" s="128">
        <f>SUMIF('800-898'!$1:$1,AP$3,'800-898'!30:30)</f>
        <v>18252</v>
      </c>
      <c r="AQ119" s="128">
        <f>SUMIF('800-898'!$1:$1,AQ$3,'800-898'!30:30)</f>
        <v>0</v>
      </c>
      <c r="AR119" s="128">
        <f>SUMIF('800-898'!$1:$1,AR$3,'800-898'!30:30)</f>
        <v>23738.410000000003</v>
      </c>
      <c r="AS119" s="128">
        <f>SUMIF('800-898'!$1:$1,AS$3,'800-898'!30:30)</f>
        <v>8547.4599999999991</v>
      </c>
      <c r="AT119" s="128">
        <f>SUMIF('800-898'!$1:$1,AT$3,'800-898'!30:30)</f>
        <v>65921.040000000008</v>
      </c>
      <c r="AU119" s="128">
        <f>SUMIF('800-898'!$1:$1,AU$3,'800-898'!30:30)</f>
        <v>8562.41</v>
      </c>
      <c r="AV119" s="128">
        <f>SUMIF('800-898'!$1:$1,AV$3,'800-898'!30:30)</f>
        <v>58551.47</v>
      </c>
      <c r="AW119" s="128">
        <f>SUMIF('800-898'!$1:$1,AW$3,'800-898'!30:30)</f>
        <v>24950</v>
      </c>
      <c r="AX119" s="128">
        <f>SUMIF('800-898'!$1:$1,AX$3,'800-898'!30:30)</f>
        <v>18035.97</v>
      </c>
      <c r="AY119" s="128">
        <f>SUMIF('800-898'!$1:$1,AY$3,'800-898'!30:30)</f>
        <v>121373.89000000001</v>
      </c>
      <c r="AZ119" s="314">
        <f>SUMIF('800-898'!$1:$1,AZ$3,'800-898'!30:30)</f>
        <v>0</v>
      </c>
      <c r="BA119" s="128">
        <f>SUMIF('800-898'!$1:$1,BA$3,'800-898'!30:30)</f>
        <v>4350</v>
      </c>
      <c r="BB119" s="128">
        <f>SUMIF('800-898'!$1:$1,BB$3,'800-898'!30:30)</f>
        <v>0</v>
      </c>
      <c r="BC119" s="128">
        <f>SUMIF('800-898'!$1:$1,BC$3,'800-898'!30:30)</f>
        <v>3595.2799999999988</v>
      </c>
      <c r="BD119" s="128">
        <f>SUMIF('800-898'!$1:$1,BD$3,'800-898'!30:30)</f>
        <v>4423.9799999999996</v>
      </c>
      <c r="BE119" s="128">
        <f>SUMIF('800-898'!$1:$1,BE$3,'800-898'!30:30)</f>
        <v>0</v>
      </c>
      <c r="BF119" s="128">
        <f>SUMIF('800-898'!$1:$1,BF$3,'800-898'!30:30)</f>
        <v>0</v>
      </c>
      <c r="BG119" s="128">
        <f>SUMIF('800-898'!$1:$1,BG$3,'800-898'!30:30)</f>
        <v>10080</v>
      </c>
      <c r="BH119" s="128">
        <f>SUMIF('800-898'!$1:$1,BH$3,'800-898'!30:30)</f>
        <v>0</v>
      </c>
      <c r="BI119" s="128">
        <f>SUMIF('800-898'!$1:$1,BI$3,'800-898'!30:30)</f>
        <v>8248.07</v>
      </c>
      <c r="BJ119" s="128">
        <f>SUMIF('800-898'!$1:$1,BJ$3,'800-898'!30:30)</f>
        <v>28933.279999999999</v>
      </c>
      <c r="BK119" s="128">
        <f>SUMIF('800-898'!$1:$1,BK$3,'800-898'!30:30)</f>
        <v>0</v>
      </c>
      <c r="BL119" s="128">
        <f>SUMIF('800-898'!$1:$1,BL$3,'800-898'!30:30)</f>
        <v>112065.13000000003</v>
      </c>
      <c r="BM119" s="128">
        <f>SUMIF('800-898'!$1:$1,BM$3,'800-898'!30:30)</f>
        <v>45736.639999999999</v>
      </c>
      <c r="BN119" s="128">
        <f>SUMIF('800-898'!$1:$1,BN$3,'800-898'!30:30)</f>
        <v>113836.74</v>
      </c>
      <c r="BO119" s="128">
        <f>SUMIF('800-898'!$1:$1,BO$3,'800-898'!30:30)</f>
        <v>19101.270000000004</v>
      </c>
      <c r="BP119" s="128">
        <f>SUMIF('800-898'!$1:$1,BP$3,'800-898'!30:30)</f>
        <v>0</v>
      </c>
      <c r="BQ119" s="128">
        <f>SUMIF('800-898'!$1:$1,BQ$3,'800-898'!30:30)</f>
        <v>0</v>
      </c>
      <c r="BR119" s="128">
        <f>SUMIF('800-898'!$1:$1,BR$3,'800-898'!30:30)</f>
        <v>34519.449999999997</v>
      </c>
      <c r="BS119" s="128">
        <f>SUMIF('800-898'!$1:$1,BS$3,'800-898'!30:30)</f>
        <v>0</v>
      </c>
      <c r="BT119" s="128">
        <f>SUMIF('800-898'!$1:$1,BT$3,'800-898'!30:30)</f>
        <v>0</v>
      </c>
      <c r="BU119" s="128">
        <f>SUMIF('800-898'!$1:$1,BU$3,'800-898'!30:30)</f>
        <v>-154338.5</v>
      </c>
      <c r="BV119" s="128">
        <f>SUMIF('800-898'!$1:$1,BV$3,'800-898'!30:30)</f>
        <v>0</v>
      </c>
      <c r="BW119" s="128">
        <f>SUMIF('800-898'!$1:$1,BW$3,'800-898'!30:30)</f>
        <v>-34519.449999999997</v>
      </c>
      <c r="BX119" s="128">
        <f>SUMIF('800-898'!$1:$1,BX$3,'800-898'!30:30)</f>
        <v>0</v>
      </c>
      <c r="BY119" s="128">
        <f>SUMIF('800-898'!$1:$1,BY$3,'800-898'!30:30)</f>
        <v>168538.83000000002</v>
      </c>
      <c r="BZ119" s="128">
        <f>SUMIF('800-898'!$1:$1,BZ$3,'800-898'!30:30)</f>
        <v>4406.0999999999995</v>
      </c>
      <c r="CA119" s="314">
        <f>SUMIF('800-898'!$1:$1,CA$3,'800-898'!30:30)</f>
        <v>0</v>
      </c>
      <c r="CB119" s="128">
        <f>SUMIF('800-898'!$1:$1,CB$3,'800-898'!30:30)</f>
        <v>0</v>
      </c>
      <c r="CC119" s="128">
        <f>SUMIF('800-898'!$1:$1,CC$3,'800-898'!30:30)</f>
        <v>0</v>
      </c>
      <c r="CD119" s="128">
        <f>SUMIF('800-898'!$1:$1,CD$3,'800-898'!30:30)</f>
        <v>0</v>
      </c>
      <c r="CE119" s="128">
        <f>SUMIF('800-898'!$1:$1,CE$3,'800-898'!30:30)</f>
        <v>16212.119999999999</v>
      </c>
      <c r="CF119" s="128">
        <f>SUMIF('800-898'!$1:$1,CF$3,'800-898'!30:30)</f>
        <v>4568</v>
      </c>
      <c r="CG119" s="302">
        <f t="shared" si="34"/>
        <v>-273189.98999999982</v>
      </c>
      <c r="CJ119" s="122"/>
      <c r="CK119" s="169">
        <f>INDEX(SAP!C:C,MATCH('Actuals mapped to CFR'!A119,SAP!H:H,FALSE),1)</f>
        <v>-273189.99</v>
      </c>
      <c r="CL119" s="59">
        <f t="shared" si="33"/>
        <v>0</v>
      </c>
      <c r="CN119" s="81">
        <f t="shared" si="35"/>
        <v>3273917.0999999996</v>
      </c>
      <c r="CO119" s="81">
        <f t="shared" si="36"/>
        <v>3216210.1400000006</v>
      </c>
      <c r="CP119" s="166">
        <f>VLOOKUP(B119,'2526 GBP Data input'!$A$4:$CA$230,38,FALSE)</f>
        <v>3269330</v>
      </c>
      <c r="CQ119" s="166">
        <f>VLOOKUP(B119,'2526 GBP Data input'!$A$4:$CA$230,73,FALSE)</f>
        <v>15641</v>
      </c>
      <c r="CR119" s="89">
        <f t="shared" si="39"/>
        <v>4587.0999999996275</v>
      </c>
      <c r="CS119" s="83">
        <f t="shared" si="40"/>
        <v>205.62688702768369</v>
      </c>
      <c r="CT119" s="82">
        <f t="shared" si="37"/>
        <v>165334.21999999881</v>
      </c>
      <c r="CU119" s="82">
        <f t="shared" si="38"/>
        <v>27226.889999999992</v>
      </c>
      <c r="CV119" s="86">
        <f t="shared" si="44"/>
        <v>192561.10999999879</v>
      </c>
    </row>
    <row r="120" spans="1:102" ht="13.5" thickBot="1">
      <c r="A120" s="258">
        <v>107898</v>
      </c>
      <c r="B120" s="230">
        <v>898</v>
      </c>
      <c r="C120" s="230" t="s">
        <v>285</v>
      </c>
      <c r="D120" s="128">
        <f>SUMIF('800-898'!$1:$1,D$3,'800-898'!31:31)</f>
        <v>0</v>
      </c>
      <c r="E120" s="128">
        <f>SUMIF('800-898'!$1:$1,E$3,'800-898'!31:31)</f>
        <v>-2791.12</v>
      </c>
      <c r="F120" s="128">
        <f>SUMIF('800-898'!$1:$1,F$3,'800-898'!31:31)</f>
        <v>339709.74</v>
      </c>
      <c r="G120" s="128">
        <f>SUMIF('800-898'!$1:$1,G$3,'800-898'!31:31)</f>
        <v>-13493.52</v>
      </c>
      <c r="H120" s="128">
        <f>SUMIF('800-898'!$1:$1,H$3,'800-898'!31:31)</f>
        <v>0</v>
      </c>
      <c r="I120" s="128">
        <f>SUMIF('800-898'!$1:$1,I$3,'800-898'!31:31)</f>
        <v>0</v>
      </c>
      <c r="J120" s="128">
        <f>SUMIF('800-898'!$1:$1,J$3,'800-898'!31:31)</f>
        <v>0</v>
      </c>
      <c r="K120" s="128">
        <f>SUMIF('800-898'!$1:$1,K$3,'800-898'!31:31)</f>
        <v>-2150761</v>
      </c>
      <c r="L120" s="128">
        <f>SUMIF('800-898'!$1:$1,L$3,'800-898'!31:31)</f>
        <v>0</v>
      </c>
      <c r="M120" s="128">
        <f>SUMIF('800-898'!$1:$1,M$3,'800-898'!31:31)</f>
        <v>-151511</v>
      </c>
      <c r="N120" s="128">
        <f>SUMIF('800-898'!$1:$1,N$3,'800-898'!31:31)</f>
        <v>0</v>
      </c>
      <c r="O120" s="128">
        <f>SUMIF('800-898'!$1:$1,O$3,'800-898'!31:31)</f>
        <v>-52250</v>
      </c>
      <c r="P120" s="128">
        <f>SUMIF('800-898'!$1:$1,P$3,'800-898'!31:31)</f>
        <v>-100252.93</v>
      </c>
      <c r="Q120" s="128">
        <f>SUMIF('800-898'!$1:$1,Q$3,'800-898'!31:31)</f>
        <v>0</v>
      </c>
      <c r="R120" s="128">
        <f>SUMIF('800-898'!$1:$1,R$3,'800-898'!31:31)</f>
        <v>-3010</v>
      </c>
      <c r="S120" s="128">
        <f>SUMIF('800-898'!$1:$1,S$3,'800-898'!31:31)</f>
        <v>-204926.17</v>
      </c>
      <c r="T120" s="128">
        <f>SUMIF('800-898'!$1:$1,T$3,'800-898'!31:31)</f>
        <v>-356.83</v>
      </c>
      <c r="U120" s="128">
        <f>SUMIF('800-898'!$1:$1,U$3,'800-898'!31:31)</f>
        <v>-4000</v>
      </c>
      <c r="V120" s="128">
        <f>SUMIF('800-898'!$1:$1,V$3,'800-898'!31:31)</f>
        <v>-4000</v>
      </c>
      <c r="W120" s="128">
        <f>SUMIF('800-898'!$1:$1,W$3,'800-898'!31:31)</f>
        <v>-65014.940000000017</v>
      </c>
      <c r="X120" s="128">
        <f>SUMIF('800-898'!$1:$1,X$3,'800-898'!31:31)</f>
        <v>-1397.1100000000001</v>
      </c>
      <c r="Y120" s="164">
        <f>SUMIF('800-898'!$1:$1,Y$3,'800-898'!31:31)</f>
        <v>0</v>
      </c>
      <c r="Z120" s="128">
        <f>SUMIF('800-898'!$1:$1,Z$3,'800-898'!31:31)</f>
        <v>0</v>
      </c>
      <c r="AA120" s="128">
        <f>SUMIF('800-898'!$1:$1,AA$3,'800-898'!31:31)</f>
        <v>0</v>
      </c>
      <c r="AB120" s="128">
        <f>SUMIF('800-898'!$1:$1,AB$3,'800-898'!31:31)</f>
        <v>-194.81</v>
      </c>
      <c r="AC120" s="314">
        <f>SUMIF('800-898'!$1:$1,AC$3,'800-898'!31:31)</f>
        <v>0</v>
      </c>
      <c r="AD120" s="314">
        <f>SUMIF('800-898'!$1:$1,AD$3,'800-898'!31:31)</f>
        <v>0</v>
      </c>
      <c r="AE120" s="314">
        <f>SUMIF('800-898'!$1:$1,AE$3,'800-898'!31:31)</f>
        <v>0</v>
      </c>
      <c r="AF120" s="314">
        <f>SUMIF('800-898'!$1:$1,AF$3,'800-898'!31:31)</f>
        <v>0</v>
      </c>
      <c r="AG120" s="128">
        <f>SUMIF('800-898'!$1:$1,AG$3,'800-898'!31:31)</f>
        <v>1281472.8199999998</v>
      </c>
      <c r="AH120" s="128">
        <f>SUMIF('800-898'!$1:$1,AH$3,'800-898'!31:31)</f>
        <v>65951.73</v>
      </c>
      <c r="AI120" s="128">
        <f>SUMIF('800-898'!$1:$1,AI$3,'800-898'!31:31)</f>
        <v>445713.76</v>
      </c>
      <c r="AJ120" s="128">
        <f>SUMIF('800-898'!$1:$1,AJ$3,'800-898'!31:31)</f>
        <v>43842.720000000001</v>
      </c>
      <c r="AK120" s="128">
        <f>SUMIF('800-898'!$1:$1,AK$3,'800-898'!31:31)</f>
        <v>145990.35</v>
      </c>
      <c r="AL120" s="128">
        <f>SUMIF('800-898'!$1:$1,AL$3,'800-898'!31:31)</f>
        <v>0</v>
      </c>
      <c r="AM120" s="128">
        <f>SUMIF('800-898'!$1:$1,AM$3,'800-898'!31:31)</f>
        <v>150626.02999999997</v>
      </c>
      <c r="AN120" s="128">
        <f>SUMIF('800-898'!$1:$1,AN$3,'800-898'!31:31)</f>
        <v>7795</v>
      </c>
      <c r="AO120" s="128">
        <f>SUMIF('800-898'!$1:$1,AO$3,'800-898'!31:31)</f>
        <v>6767</v>
      </c>
      <c r="AP120" s="128">
        <f>SUMIF('800-898'!$1:$1,AP$3,'800-898'!31:31)</f>
        <v>1265.75</v>
      </c>
      <c r="AQ120" s="128">
        <f>SUMIF('800-898'!$1:$1,AQ$3,'800-898'!31:31)</f>
        <v>16373.44</v>
      </c>
      <c r="AR120" s="128">
        <f>SUMIF('800-898'!$1:$1,AR$3,'800-898'!31:31)</f>
        <v>37802.19</v>
      </c>
      <c r="AS120" s="128">
        <f>SUMIF('800-898'!$1:$1,AS$3,'800-898'!31:31)</f>
        <v>0</v>
      </c>
      <c r="AT120" s="128">
        <f>SUMIF('800-898'!$1:$1,AT$3,'800-898'!31:31)</f>
        <v>48005.42</v>
      </c>
      <c r="AU120" s="128">
        <f>SUMIF('800-898'!$1:$1,AU$3,'800-898'!31:31)</f>
        <v>10997.900000000001</v>
      </c>
      <c r="AV120" s="128">
        <f>SUMIF('800-898'!$1:$1,AV$3,'800-898'!31:31)</f>
        <v>36790.410000000003</v>
      </c>
      <c r="AW120" s="128">
        <f>SUMIF('800-898'!$1:$1,AW$3,'800-898'!31:31)</f>
        <v>39585</v>
      </c>
      <c r="AX120" s="128">
        <f>SUMIF('800-898'!$1:$1,AX$3,'800-898'!31:31)</f>
        <v>9011.9500000000007</v>
      </c>
      <c r="AY120" s="128">
        <f>SUMIF('800-898'!$1:$1,AY$3,'800-898'!31:31)</f>
        <v>97481.400000000009</v>
      </c>
      <c r="AZ120" s="314">
        <f>SUMIF('800-898'!$1:$1,AZ$3,'800-898'!31:31)</f>
        <v>0</v>
      </c>
      <c r="BA120" s="128">
        <f>SUMIF('800-898'!$1:$1,BA$3,'800-898'!31:31)</f>
        <v>0</v>
      </c>
      <c r="BB120" s="128">
        <f>SUMIF('800-898'!$1:$1,BB$3,'800-898'!31:31)</f>
        <v>0</v>
      </c>
      <c r="BC120" s="128">
        <f>SUMIF('800-898'!$1:$1,BC$3,'800-898'!31:31)</f>
        <v>4443.1000000000004</v>
      </c>
      <c r="BD120" s="128">
        <f>SUMIF('800-898'!$1:$1,BD$3,'800-898'!31:31)</f>
        <v>9960.869999999999</v>
      </c>
      <c r="BE120" s="128">
        <f>SUMIF('800-898'!$1:$1,BE$3,'800-898'!31:31)</f>
        <v>3949.99</v>
      </c>
      <c r="BF120" s="128">
        <f>SUMIF('800-898'!$1:$1,BF$3,'800-898'!31:31)</f>
        <v>563.19000000000005</v>
      </c>
      <c r="BG120" s="128">
        <f>SUMIF('800-898'!$1:$1,BG$3,'800-898'!31:31)</f>
        <v>8943.74</v>
      </c>
      <c r="BH120" s="128">
        <f>SUMIF('800-898'!$1:$1,BH$3,'800-898'!31:31)</f>
        <v>0</v>
      </c>
      <c r="BI120" s="128">
        <f>SUMIF('800-898'!$1:$1,BI$3,'800-898'!31:31)</f>
        <v>7698.5300000000007</v>
      </c>
      <c r="BJ120" s="128">
        <f>SUMIF('800-898'!$1:$1,BJ$3,'800-898'!31:31)</f>
        <v>22401.7</v>
      </c>
      <c r="BK120" s="128">
        <f>SUMIF('800-898'!$1:$1,BK$3,'800-898'!31:31)</f>
        <v>5556.29</v>
      </c>
      <c r="BL120" s="128">
        <f>SUMIF('800-898'!$1:$1,BL$3,'800-898'!31:31)</f>
        <v>100533.76000000001</v>
      </c>
      <c r="BM120" s="128">
        <f>SUMIF('800-898'!$1:$1,BM$3,'800-898'!31:31)</f>
        <v>42119.170000000013</v>
      </c>
      <c r="BN120" s="128">
        <f>SUMIF('800-898'!$1:$1,BN$3,'800-898'!31:31)</f>
        <v>43561.149999999994</v>
      </c>
      <c r="BO120" s="128">
        <f>SUMIF('800-898'!$1:$1,BO$3,'800-898'!31:31)</f>
        <v>23721.16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-8725</v>
      </c>
      <c r="BV120" s="128">
        <f>SUMIF('800-898'!$1:$1,BV$3,'800-898'!31:31)</f>
        <v>0</v>
      </c>
      <c r="BW120" s="128">
        <f>SUMIF('800-898'!$1:$1,BW$3,'800-898'!31:31)</f>
        <v>0</v>
      </c>
      <c r="BX120" s="128">
        <f>SUMIF('800-898'!$1:$1,BX$3,'800-898'!31:31)</f>
        <v>0</v>
      </c>
      <c r="BY120" s="128">
        <f>SUMIF('800-898'!$1:$1,BY$3,'800-898'!31:31)</f>
        <v>10649.22</v>
      </c>
      <c r="BZ120" s="128">
        <f>SUMIF('800-898'!$1:$1,BZ$3,'800-898'!31:31)</f>
        <v>0</v>
      </c>
      <c r="CA120" s="314">
        <f>SUMIF('800-898'!$1:$1,CA$3,'800-898'!31:31)</f>
        <v>0</v>
      </c>
      <c r="CB120" s="128">
        <f>SUMIF('800-898'!$1:$1,CB$3,'800-898'!31:31)</f>
        <v>0</v>
      </c>
      <c r="CC120" s="128">
        <f>SUMIF('800-898'!$1:$1,CC$3,'800-898'!31:31)</f>
        <v>11227</v>
      </c>
      <c r="CD120" s="128">
        <f>SUMIF('800-898'!$1:$1,CD$3,'800-898'!31:31)</f>
        <v>0</v>
      </c>
      <c r="CE120" s="128">
        <f>SUMIF('800-898'!$1:$1,CE$3,'800-898'!31:31)</f>
        <v>0</v>
      </c>
      <c r="CF120" s="128">
        <f>SUMIF('800-898'!$1:$1,CF$3,'800-898'!31:31)</f>
        <v>0</v>
      </c>
      <c r="CG120" s="301">
        <f t="shared" si="34"/>
        <v>317827.04999999976</v>
      </c>
      <c r="CJ120" s="122"/>
      <c r="CK120" s="169">
        <f>INDEX(SAP!C:C,MATCH('Actuals mapped to CFR'!A120,SAP!H:H,FALSE),1)</f>
        <v>317827.05</v>
      </c>
      <c r="CL120" s="59">
        <f t="shared" si="33"/>
        <v>0</v>
      </c>
      <c r="CN120" s="81">
        <f t="shared" si="35"/>
        <v>2737674.79</v>
      </c>
      <c r="CO120" s="81">
        <f t="shared" si="36"/>
        <v>2718925.52</v>
      </c>
      <c r="CP120" s="166">
        <f>VLOOKUP(B120,'2526 GBP Data input'!$A$4:$CA$230,38,FALSE)</f>
        <v>2619343</v>
      </c>
      <c r="CQ120" s="166">
        <f>VLOOKUP(B120,'2526 GBP Data input'!$A$4:$CA$230,73,FALSE)</f>
        <v>27349</v>
      </c>
      <c r="CR120" s="89">
        <f t="shared" si="39"/>
        <v>118331.79000000004</v>
      </c>
      <c r="CS120" s="83">
        <f t="shared" si="40"/>
        <v>99.415902592416543</v>
      </c>
      <c r="CT120" s="82">
        <f t="shared" si="37"/>
        <v>-320960.4700000002</v>
      </c>
      <c r="CU120" s="82">
        <f t="shared" si="38"/>
        <v>11569.300000000001</v>
      </c>
      <c r="CV120" s="86">
        <f t="shared" si="44"/>
        <v>-309391.17000000022</v>
      </c>
    </row>
    <row r="121" spans="1:102">
      <c r="A121" s="252">
        <v>107900</v>
      </c>
      <c r="B121" s="253">
        <v>900</v>
      </c>
      <c r="C121" s="253" t="s">
        <v>256</v>
      </c>
      <c r="D121" s="254">
        <f>SUMIF('900-958'!$1:$1,D$3,'900-958'!3:3)</f>
        <v>-208581.73</v>
      </c>
      <c r="E121" s="254">
        <f>SUMIF('900-958'!$1:$1,E$3,'900-958'!3:3)</f>
        <v>-6690.55</v>
      </c>
      <c r="F121" s="254">
        <f>SUMIF('900-958'!$1:$1,F$3,'900-958'!3:3)</f>
        <v>0</v>
      </c>
      <c r="G121" s="254">
        <f>SUMIF('900-958'!$1:$1,G$3,'900-958'!3:3)</f>
        <v>-11200</v>
      </c>
      <c r="H121" s="254">
        <f>SUMIF('900-958'!$1:$1,H$3,'900-958'!3:3)</f>
        <v>0</v>
      </c>
      <c r="I121" s="254">
        <f>SUMIF('900-958'!$1:$1,I$3,'900-958'!3:3)</f>
        <v>0</v>
      </c>
      <c r="J121" s="254">
        <f>SUMIF('900-958'!$1:$1,J$3,'900-958'!3:3)</f>
        <v>0</v>
      </c>
      <c r="K121" s="254">
        <f>SUMIF('900-958'!$1:$1,K$3,'900-958'!3:3)</f>
        <v>-2196578</v>
      </c>
      <c r="L121" s="254">
        <f>SUMIF('900-958'!$1:$1,L$3,'900-958'!3:3)</f>
        <v>0</v>
      </c>
      <c r="M121" s="254">
        <f>SUMIF('900-958'!$1:$1,M$3,'900-958'!3:3)</f>
        <v>-282272</v>
      </c>
      <c r="N121" s="254">
        <f>SUMIF('900-958'!$1:$1,N$3,'900-958'!3:3)</f>
        <v>0</v>
      </c>
      <c r="O121" s="254">
        <f>SUMIF('900-958'!$1:$1,O$3,'900-958'!3:3)</f>
        <v>-234982.19</v>
      </c>
      <c r="P121" s="254">
        <f>SUMIF('900-958'!$1:$1,P$3,'900-958'!3:3)</f>
        <v>-41684</v>
      </c>
      <c r="Q121" s="254">
        <f>SUMIF('900-958'!$1:$1,Q$3,'900-958'!3:3)</f>
        <v>-925</v>
      </c>
      <c r="R121" s="254">
        <f>SUMIF('900-958'!$1:$1,R$3,'900-958'!3:3)</f>
        <v>0</v>
      </c>
      <c r="S121" s="254">
        <f>SUMIF('900-958'!$1:$1,S$3,'900-958'!3:3)</f>
        <v>-14962.53</v>
      </c>
      <c r="T121" s="254">
        <f>SUMIF('900-958'!$1:$1,T$3,'900-958'!3:3)</f>
        <v>1761.2699999999995</v>
      </c>
      <c r="U121" s="254">
        <f>SUMIF('900-958'!$1:$1,U$3,'900-958'!3:3)</f>
        <v>0</v>
      </c>
      <c r="V121" s="254">
        <f>SUMIF('900-958'!$1:$1,V$3,'900-958'!3:3)</f>
        <v>0</v>
      </c>
      <c r="W121" s="254">
        <f>SUMIF('900-958'!$1:$1,W$3,'900-958'!3:3)</f>
        <v>-7793.3999999999978</v>
      </c>
      <c r="X121" s="254">
        <f>SUMIF('900-958'!$1:$1,X$3,'900-958'!3:3)</f>
        <v>-29141.84</v>
      </c>
      <c r="Y121" s="255">
        <f>SUMIF('900-958'!$1:$1,Y$3,'900-958'!3:3)</f>
        <v>0</v>
      </c>
      <c r="Z121" s="254">
        <f>SUMIF('900-958'!$1:$1,Z$3,'900-958'!3:3)</f>
        <v>0</v>
      </c>
      <c r="AA121" s="254">
        <f>SUMIF('900-958'!$1:$1,AA$3,'900-958'!3:3)</f>
        <v>0</v>
      </c>
      <c r="AB121" s="254">
        <f>SUMIF('900-958'!$1:$1,AB$3,'900-958'!3:3)</f>
        <v>0</v>
      </c>
      <c r="AC121" s="313">
        <f>SUMIF('900-958'!$1:$1,AC$3,'900-958'!3:3)</f>
        <v>0</v>
      </c>
      <c r="AD121" s="313">
        <f>SUMIF('900-958'!$1:$1,AD$3,'900-958'!3:3)</f>
        <v>0</v>
      </c>
      <c r="AE121" s="313">
        <f>SUMIF('900-958'!$1:$1,AE$3,'900-958'!3:3)</f>
        <v>0</v>
      </c>
      <c r="AF121" s="313">
        <f>SUMIF('900-958'!$1:$1,AF$3,'900-958'!3:3)</f>
        <v>0</v>
      </c>
      <c r="AG121" s="254">
        <f>SUMIF('900-958'!$1:$1,AG$3,'900-958'!3:3)</f>
        <v>1159312.79</v>
      </c>
      <c r="AH121" s="254">
        <f>SUMIF('900-958'!$1:$1,AH$3,'900-958'!3:3)</f>
        <v>23707.53</v>
      </c>
      <c r="AI121" s="254">
        <f>SUMIF('900-958'!$1:$1,AI$3,'900-958'!3:3)</f>
        <v>778904.44000000006</v>
      </c>
      <c r="AJ121" s="254">
        <f>SUMIF('900-958'!$1:$1,AJ$3,'900-958'!3:3)</f>
        <v>46782.2</v>
      </c>
      <c r="AK121" s="254">
        <f>SUMIF('900-958'!$1:$1,AK$3,'900-958'!3:3)</f>
        <v>123909.78999999998</v>
      </c>
      <c r="AL121" s="254">
        <f>SUMIF('900-958'!$1:$1,AL$3,'900-958'!3:3)</f>
        <v>0</v>
      </c>
      <c r="AM121" s="254">
        <f>SUMIF('900-958'!$1:$1,AM$3,'900-958'!3:3)</f>
        <v>51717.340000000004</v>
      </c>
      <c r="AN121" s="254">
        <f>SUMIF('900-958'!$1:$1,AN$3,'900-958'!3:3)</f>
        <v>0</v>
      </c>
      <c r="AO121" s="254">
        <f>SUMIF('900-958'!$1:$1,AO$3,'900-958'!3:3)</f>
        <v>2708</v>
      </c>
      <c r="AP121" s="254">
        <f>SUMIF('900-958'!$1:$1,AP$3,'900-958'!3:3)</f>
        <v>1076.6500000000001</v>
      </c>
      <c r="AQ121" s="254">
        <f>SUMIF('900-958'!$1:$1,AQ$3,'900-958'!3:3)</f>
        <v>0</v>
      </c>
      <c r="AR121" s="254">
        <f>SUMIF('900-958'!$1:$1,AR$3,'900-958'!3:3)</f>
        <v>38354.12000000001</v>
      </c>
      <c r="AS121" s="254">
        <f>SUMIF('900-958'!$1:$1,AS$3,'900-958'!3:3)</f>
        <v>787</v>
      </c>
      <c r="AT121" s="254">
        <f>SUMIF('900-958'!$1:$1,AT$3,'900-958'!3:3)</f>
        <v>46849.68</v>
      </c>
      <c r="AU121" s="254">
        <f>SUMIF('900-958'!$1:$1,AU$3,'900-958'!3:3)</f>
        <v>10132.68</v>
      </c>
      <c r="AV121" s="254">
        <f>SUMIF('900-958'!$1:$1,AV$3,'900-958'!3:3)</f>
        <v>49154.080000000002</v>
      </c>
      <c r="AW121" s="254">
        <f>SUMIF('900-958'!$1:$1,AW$3,'900-958'!3:3)</f>
        <v>13431.6</v>
      </c>
      <c r="AX121" s="254">
        <f>SUMIF('900-958'!$1:$1,AX$3,'900-958'!3:3)</f>
        <v>4954.6000000000013</v>
      </c>
      <c r="AY121" s="254">
        <f>SUMIF('900-958'!$1:$1,AY$3,'900-958'!3:3)</f>
        <v>64919.869999999995</v>
      </c>
      <c r="AZ121" s="313">
        <f>SUMIF('900-958'!$1:$1,AZ$3,'900-958'!3:3)</f>
        <v>54.99</v>
      </c>
      <c r="BA121" s="254">
        <f>SUMIF('900-958'!$1:$1,BA$3,'900-958'!3:3)</f>
        <v>10590.369999999997</v>
      </c>
      <c r="BB121" s="254">
        <f>SUMIF('900-958'!$1:$1,BB$3,'900-958'!3:3)</f>
        <v>0</v>
      </c>
      <c r="BC121" s="254">
        <f>SUMIF('900-958'!$1:$1,BC$3,'900-958'!3:3)</f>
        <v>4351.97</v>
      </c>
      <c r="BD121" s="254">
        <f>SUMIF('900-958'!$1:$1,BD$3,'900-958'!3:3)</f>
        <v>0</v>
      </c>
      <c r="BE121" s="254">
        <f>SUMIF('900-958'!$1:$1,BE$3,'900-958'!3:3)</f>
        <v>9070</v>
      </c>
      <c r="BF121" s="254">
        <f>SUMIF('900-958'!$1:$1,BF$3,'900-958'!3:3)</f>
        <v>5000</v>
      </c>
      <c r="BG121" s="254">
        <f>SUMIF('900-958'!$1:$1,BG$3,'900-958'!3:3)</f>
        <v>3706.5</v>
      </c>
      <c r="BH121" s="254">
        <f>SUMIF('900-958'!$1:$1,BH$3,'900-958'!3:3)</f>
        <v>0</v>
      </c>
      <c r="BI121" s="254">
        <f>SUMIF('900-958'!$1:$1,BI$3,'900-958'!3:3)</f>
        <v>25296.329999999998</v>
      </c>
      <c r="BJ121" s="254">
        <f>SUMIF('900-958'!$1:$1,BJ$3,'900-958'!3:3)</f>
        <v>19054.940000000002</v>
      </c>
      <c r="BK121" s="254">
        <f>SUMIF('900-958'!$1:$1,BK$3,'900-958'!3:3)</f>
        <v>0</v>
      </c>
      <c r="BL121" s="254">
        <f>SUMIF('900-958'!$1:$1,BL$3,'900-958'!3:3)</f>
        <v>94573.32</v>
      </c>
      <c r="BM121" s="254">
        <f>SUMIF('900-958'!$1:$1,BM$3,'900-958'!3:3)</f>
        <v>140178.12999999998</v>
      </c>
      <c r="BN121" s="254">
        <f>SUMIF('900-958'!$1:$1,BN$3,'900-958'!3:3)</f>
        <v>0</v>
      </c>
      <c r="BO121" s="254">
        <f>SUMIF('900-958'!$1:$1,BO$3,'900-958'!3:3)</f>
        <v>136529.60999999999</v>
      </c>
      <c r="BP121" s="254">
        <f>SUMIF('900-958'!$1:$1,BP$3,'900-958'!3:3)</f>
        <v>0</v>
      </c>
      <c r="BQ121" s="254">
        <f>SUMIF('900-958'!$1:$1,BQ$3,'900-958'!3:3)</f>
        <v>0</v>
      </c>
      <c r="BR121" s="254">
        <f>SUMIF('900-958'!$1:$1,BR$3,'900-958'!3:3)</f>
        <v>0</v>
      </c>
      <c r="BS121" s="254">
        <f>SUMIF('900-958'!$1:$1,BS$3,'900-958'!3:3)</f>
        <v>0</v>
      </c>
      <c r="BT121" s="254">
        <f>SUMIF('900-958'!$1:$1,BT$3,'900-958'!3:3)</f>
        <v>0</v>
      </c>
      <c r="BU121" s="254">
        <f>SUMIF('900-958'!$1:$1,BU$3,'900-958'!3:3)</f>
        <v>-8027.5</v>
      </c>
      <c r="BV121" s="254">
        <f>SUMIF('900-958'!$1:$1,BV$3,'900-958'!3:3)</f>
        <v>0</v>
      </c>
      <c r="BW121" s="254">
        <f>SUMIF('900-958'!$1:$1,BW$3,'900-958'!3:3)</f>
        <v>0</v>
      </c>
      <c r="BX121" s="254">
        <f>SUMIF('900-958'!$1:$1,BX$3,'900-958'!3:3)</f>
        <v>0</v>
      </c>
      <c r="BY121" s="254">
        <f>SUMIF('900-958'!$1:$1,BY$3,'900-958'!3:3)</f>
        <v>14712.39</v>
      </c>
      <c r="BZ121" s="254">
        <f>SUMIF('900-958'!$1:$1,BZ$3,'900-958'!3:3)</f>
        <v>0</v>
      </c>
      <c r="CA121" s="313">
        <f>SUMIF('900-958'!$1:$1,CA$3,'900-958'!3:3)</f>
        <v>0</v>
      </c>
      <c r="CB121" s="254">
        <f>SUMIF('900-958'!$1:$1,CB$3,'900-958'!3:3)</f>
        <v>0</v>
      </c>
      <c r="CC121" s="254">
        <f>SUMIF('900-958'!$1:$1,CC$3,'900-958'!3:3)</f>
        <v>0</v>
      </c>
      <c r="CD121" s="254">
        <f>SUMIF('900-958'!$1:$1,CD$3,'900-958'!3:3)</f>
        <v>0</v>
      </c>
      <c r="CE121" s="254">
        <f>SUMIF('900-958'!$1:$1,CE$3,'900-958'!3:3)</f>
        <v>0</v>
      </c>
      <c r="CF121" s="254">
        <f>SUMIF('900-958'!$1:$1,CF$3,'900-958'!3:3)</f>
        <v>0</v>
      </c>
      <c r="CG121" s="256">
        <f t="shared" si="34"/>
        <v>-161256.54999999912</v>
      </c>
      <c r="CJ121" s="122"/>
      <c r="CK121" s="169">
        <f>INDEX(SAP!C:C,MATCH('Actuals mapped to CFR'!A121,SAP!H:H,FALSE),1)</f>
        <v>-161256.54999999999</v>
      </c>
      <c r="CL121" s="59">
        <f t="shared" si="33"/>
        <v>0</v>
      </c>
      <c r="CN121" s="81">
        <f t="shared" si="35"/>
        <v>2806577.6899999995</v>
      </c>
      <c r="CO121" s="81">
        <f t="shared" si="36"/>
        <v>2865108.5300000007</v>
      </c>
      <c r="CP121" s="166">
        <f>VLOOKUP(B121,'2526 GBP Data input'!$A$4:$CA$230,38,FALSE)</f>
        <v>2625751</v>
      </c>
      <c r="CQ121" s="166">
        <f>VLOOKUP(B121,'2526 GBP Data input'!$A$4:$CA$230,73,FALSE)</f>
        <v>130713</v>
      </c>
      <c r="CR121" s="89">
        <f t="shared" si="39"/>
        <v>180826.68999999948</v>
      </c>
      <c r="CS121" s="83">
        <f t="shared" si="40"/>
        <v>21.919078668533356</v>
      </c>
      <c r="CT121" s="82">
        <f t="shared" si="37"/>
        <v>150050.88999999873</v>
      </c>
      <c r="CU121" s="82">
        <f t="shared" si="38"/>
        <v>4515.1100000000006</v>
      </c>
      <c r="CV121" s="86">
        <f t="shared" si="44"/>
        <v>154565.99999999872</v>
      </c>
      <c r="CX121" s="116"/>
    </row>
    <row r="122" spans="1:102">
      <c r="A122" s="238">
        <v>107906</v>
      </c>
      <c r="B122" s="60">
        <v>906</v>
      </c>
      <c r="C122" s="60" t="s">
        <v>412</v>
      </c>
      <c r="D122" s="128">
        <f>SUMIF('900-958'!$1:$1,D$3,'900-958'!4:4)</f>
        <v>-101994.62</v>
      </c>
      <c r="E122" s="128">
        <f>SUMIF('900-958'!$1:$1,E$3,'900-958'!4:4)</f>
        <v>-11330.74</v>
      </c>
      <c r="F122" s="128">
        <f>SUMIF('900-958'!$1:$1,F$3,'900-958'!4:4)</f>
        <v>0</v>
      </c>
      <c r="G122" s="128">
        <f>SUMIF('900-958'!$1:$1,G$3,'900-958'!4:4)</f>
        <v>-3042.05</v>
      </c>
      <c r="H122" s="128">
        <f>SUMIF('900-958'!$1:$1,H$3,'900-958'!4:4)</f>
        <v>0</v>
      </c>
      <c r="I122" s="128">
        <f>SUMIF('900-958'!$1:$1,I$3,'900-958'!4:4)</f>
        <v>0</v>
      </c>
      <c r="J122" s="128">
        <f>SUMIF('900-958'!$1:$1,J$3,'900-958'!4:4)</f>
        <v>0</v>
      </c>
      <c r="K122" s="128">
        <f>SUMIF('900-958'!$1:$1,K$3,'900-958'!4:4)</f>
        <v>-1159275.97</v>
      </c>
      <c r="L122" s="128">
        <f>SUMIF('900-958'!$1:$1,L$3,'900-958'!4:4)</f>
        <v>0</v>
      </c>
      <c r="M122" s="128">
        <f>SUMIF('900-958'!$1:$1,M$3,'900-958'!4:4)</f>
        <v>-112808</v>
      </c>
      <c r="N122" s="128">
        <f>SUMIF('900-958'!$1:$1,N$3,'900-958'!4:4)</f>
        <v>0</v>
      </c>
      <c r="O122" s="128">
        <f>SUMIF('900-958'!$1:$1,O$3,'900-958'!4:4)</f>
        <v>-69275</v>
      </c>
      <c r="P122" s="128">
        <f>SUMIF('900-958'!$1:$1,P$3,'900-958'!4:4)</f>
        <v>-42552</v>
      </c>
      <c r="Q122" s="128">
        <f>SUMIF('900-958'!$1:$1,Q$3,'900-958'!4:4)</f>
        <v>0</v>
      </c>
      <c r="R122" s="128">
        <f>SUMIF('900-958'!$1:$1,R$3,'900-958'!4:4)</f>
        <v>0</v>
      </c>
      <c r="S122" s="128">
        <f>SUMIF('900-958'!$1:$1,S$3,'900-958'!4:4)</f>
        <v>-6351.74</v>
      </c>
      <c r="T122" s="128">
        <f>SUMIF('900-958'!$1:$1,T$3,'900-958'!4:4)</f>
        <v>326.15000000000003</v>
      </c>
      <c r="U122" s="128">
        <f>SUMIF('900-958'!$1:$1,U$3,'900-958'!4:4)</f>
        <v>0</v>
      </c>
      <c r="V122" s="128">
        <f>SUMIF('900-958'!$1:$1,V$3,'900-958'!4:4)</f>
        <v>0</v>
      </c>
      <c r="W122" s="128">
        <f>SUMIF('900-958'!$1:$1,W$3,'900-958'!4:4)</f>
        <v>-12307.270000000004</v>
      </c>
      <c r="X122" s="128">
        <f>SUMIF('900-958'!$1:$1,X$3,'900-958'!4:4)</f>
        <v>-6005.67</v>
      </c>
      <c r="Y122" s="164">
        <f>SUMIF('900-958'!$1:$1,Y$3,'900-958'!4:4)</f>
        <v>0</v>
      </c>
      <c r="Z122" s="128">
        <f>SUMIF('900-958'!$1:$1,Z$3,'900-958'!4:4)</f>
        <v>0</v>
      </c>
      <c r="AA122" s="128">
        <f>SUMIF('900-958'!$1:$1,AA$3,'900-958'!4:4)</f>
        <v>0</v>
      </c>
      <c r="AB122" s="128">
        <f>SUMIF('900-958'!$1:$1,AB$3,'900-958'!4:4)</f>
        <v>0</v>
      </c>
      <c r="AC122" s="314">
        <f>SUMIF('900-958'!$1:$1,AC$3,'900-958'!4:4)</f>
        <v>0</v>
      </c>
      <c r="AD122" s="314">
        <f>SUMIF('900-958'!$1:$1,AD$3,'900-958'!4:4)</f>
        <v>0</v>
      </c>
      <c r="AE122" s="314">
        <f>SUMIF('900-958'!$1:$1,AE$3,'900-958'!4:4)</f>
        <v>0</v>
      </c>
      <c r="AF122" s="314">
        <f>SUMIF('900-958'!$1:$1,AF$3,'900-958'!4:4)</f>
        <v>0</v>
      </c>
      <c r="AG122" s="128">
        <f>SUMIF('900-958'!$1:$1,AG$3,'900-958'!4:4)</f>
        <v>719155.59000000008</v>
      </c>
      <c r="AH122" s="128">
        <f>SUMIF('900-958'!$1:$1,AH$3,'900-958'!4:4)</f>
        <v>18386.8</v>
      </c>
      <c r="AI122" s="128">
        <f>SUMIF('900-958'!$1:$1,AI$3,'900-958'!4:4)</f>
        <v>264008.38</v>
      </c>
      <c r="AJ122" s="128">
        <f>SUMIF('900-958'!$1:$1,AJ$3,'900-958'!4:4)</f>
        <v>50524.800000000003</v>
      </c>
      <c r="AK122" s="128">
        <f>SUMIF('900-958'!$1:$1,AK$3,'900-958'!4:4)</f>
        <v>63733.700000000004</v>
      </c>
      <c r="AL122" s="128">
        <f>SUMIF('900-958'!$1:$1,AL$3,'900-958'!4:4)</f>
        <v>0</v>
      </c>
      <c r="AM122" s="128">
        <f>SUMIF('900-958'!$1:$1,AM$3,'900-958'!4:4)</f>
        <v>3556.1599999999994</v>
      </c>
      <c r="AN122" s="128">
        <f>SUMIF('900-958'!$1:$1,AN$3,'900-958'!4:4)</f>
        <v>3999.1</v>
      </c>
      <c r="AO122" s="128">
        <f>SUMIF('900-958'!$1:$1,AO$3,'900-958'!4:4)</f>
        <v>14108.29</v>
      </c>
      <c r="AP122" s="128">
        <f>SUMIF('900-958'!$1:$1,AP$3,'900-958'!4:4)</f>
        <v>603.9</v>
      </c>
      <c r="AQ122" s="128">
        <f>SUMIF('900-958'!$1:$1,AQ$3,'900-958'!4:4)</f>
        <v>6675</v>
      </c>
      <c r="AR122" s="128">
        <f>SUMIF('900-958'!$1:$1,AR$3,'900-958'!4:4)</f>
        <v>7304.5800000000008</v>
      </c>
      <c r="AS122" s="128">
        <f>SUMIF('900-958'!$1:$1,AS$3,'900-958'!4:4)</f>
        <v>3705.3</v>
      </c>
      <c r="AT122" s="128">
        <f>SUMIF('900-958'!$1:$1,AT$3,'900-958'!4:4)</f>
        <v>3087.6400000000008</v>
      </c>
      <c r="AU122" s="128">
        <f>SUMIF('900-958'!$1:$1,AU$3,'900-958'!4:4)</f>
        <v>4126.0700000000006</v>
      </c>
      <c r="AV122" s="128">
        <f>SUMIF('900-958'!$1:$1,AV$3,'900-958'!4:4)</f>
        <v>11174.33</v>
      </c>
      <c r="AW122" s="128">
        <f>SUMIF('900-958'!$1:$1,AW$3,'900-958'!4:4)</f>
        <v>17340.25</v>
      </c>
      <c r="AX122" s="128">
        <f>SUMIF('900-958'!$1:$1,AX$3,'900-958'!4:4)</f>
        <v>2207.3499999999995</v>
      </c>
      <c r="AY122" s="128">
        <f>SUMIF('900-958'!$1:$1,AY$3,'900-958'!4:4)</f>
        <v>100036.07999999997</v>
      </c>
      <c r="AZ122" s="314">
        <f>SUMIF('900-958'!$1:$1,AZ$3,'900-958'!4:4)</f>
        <v>0</v>
      </c>
      <c r="BA122" s="128">
        <f>SUMIF('900-958'!$1:$1,BA$3,'900-958'!4:4)</f>
        <v>5060.2</v>
      </c>
      <c r="BB122" s="128">
        <f>SUMIF('900-958'!$1:$1,BB$3,'900-958'!4:4)</f>
        <v>0</v>
      </c>
      <c r="BC122" s="128">
        <f>SUMIF('900-958'!$1:$1,BC$3,'900-958'!4:4)</f>
        <v>1299.71</v>
      </c>
      <c r="BD122" s="128">
        <f>SUMIF('900-958'!$1:$1,BD$3,'900-958'!4:4)</f>
        <v>2782.26</v>
      </c>
      <c r="BE122" s="128">
        <f>SUMIF('900-958'!$1:$1,BE$3,'900-958'!4:4)</f>
        <v>3846.67</v>
      </c>
      <c r="BF122" s="128">
        <f>SUMIF('900-958'!$1:$1,BF$3,'900-958'!4:4)</f>
        <v>6.64</v>
      </c>
      <c r="BG122" s="128">
        <f>SUMIF('900-958'!$1:$1,BG$3,'900-958'!4:4)</f>
        <v>6932.92</v>
      </c>
      <c r="BH122" s="128">
        <f>SUMIF('900-958'!$1:$1,BH$3,'900-958'!4:4)</f>
        <v>0</v>
      </c>
      <c r="BI122" s="128">
        <f>SUMIF('900-958'!$1:$1,BI$3,'900-958'!4:4)</f>
        <v>5262.1799999999994</v>
      </c>
      <c r="BJ122" s="128">
        <f>SUMIF('900-958'!$1:$1,BJ$3,'900-958'!4:4)</f>
        <v>11488.77</v>
      </c>
      <c r="BK122" s="128">
        <f>SUMIF('900-958'!$1:$1,BK$3,'900-958'!4:4)</f>
        <v>0</v>
      </c>
      <c r="BL122" s="128">
        <f>SUMIF('900-958'!$1:$1,BL$3,'900-958'!4:4)</f>
        <v>52045.57</v>
      </c>
      <c r="BM122" s="128">
        <f>SUMIF('900-958'!$1:$1,BM$3,'900-958'!4:4)</f>
        <v>4469</v>
      </c>
      <c r="BN122" s="128">
        <f>SUMIF('900-958'!$1:$1,BN$3,'900-958'!4:4)</f>
        <v>9207.2900000000009</v>
      </c>
      <c r="BO122" s="128">
        <f>SUMIF('900-958'!$1:$1,BO$3,'900-958'!4:4)</f>
        <v>13999.089999999998</v>
      </c>
      <c r="BP122" s="128">
        <f>SUMIF('900-958'!$1:$1,BP$3,'900-958'!4:4)</f>
        <v>0</v>
      </c>
      <c r="BQ122" s="128">
        <f>SUMIF('900-958'!$1:$1,BQ$3,'900-958'!4:4)</f>
        <v>0</v>
      </c>
      <c r="BR122" s="128">
        <f>SUMIF('900-958'!$1:$1,BR$3,'900-958'!4:4)</f>
        <v>0</v>
      </c>
      <c r="BS122" s="128">
        <f>SUMIF('900-958'!$1:$1,BS$3,'900-958'!4:4)</f>
        <v>0</v>
      </c>
      <c r="BT122" s="128">
        <f>SUMIF('900-958'!$1:$1,BT$3,'900-958'!4:4)</f>
        <v>0</v>
      </c>
      <c r="BU122" s="128">
        <f>SUMIF('900-958'!$1:$1,BU$3,'900-958'!4:4)</f>
        <v>-6221.88</v>
      </c>
      <c r="BV122" s="128">
        <f>SUMIF('900-958'!$1:$1,BV$3,'900-958'!4:4)</f>
        <v>0</v>
      </c>
      <c r="BW122" s="128">
        <f>SUMIF('900-958'!$1:$1,BW$3,'900-958'!4:4)</f>
        <v>0</v>
      </c>
      <c r="BX122" s="128">
        <f>SUMIF('900-958'!$1:$1,BX$3,'900-958'!4:4)</f>
        <v>0</v>
      </c>
      <c r="BY122" s="128">
        <f>SUMIF('900-958'!$1:$1,BY$3,'900-958'!4:4)</f>
        <v>6221</v>
      </c>
      <c r="BZ122" s="128">
        <f>SUMIF('900-958'!$1:$1,BZ$3,'900-958'!4:4)</f>
        <v>0</v>
      </c>
      <c r="CA122" s="314">
        <f>SUMIF('900-958'!$1:$1,CA$3,'900-958'!4:4)</f>
        <v>0</v>
      </c>
      <c r="CB122" s="128">
        <f>SUMIF('900-958'!$1:$1,CB$3,'900-958'!4:4)</f>
        <v>0</v>
      </c>
      <c r="CC122" s="128">
        <f>SUMIF('900-958'!$1:$1,CC$3,'900-958'!4:4)</f>
        <v>0</v>
      </c>
      <c r="CD122" s="128">
        <f>SUMIF('900-958'!$1:$1,CD$3,'900-958'!4:4)</f>
        <v>0</v>
      </c>
      <c r="CE122" s="128">
        <f>SUMIF('900-958'!$1:$1,CE$3,'900-958'!4:4)</f>
        <v>3042</v>
      </c>
      <c r="CF122" s="128">
        <f>SUMIF('900-958'!$1:$1,CF$3,'900-958'!4:4)</f>
        <v>0</v>
      </c>
      <c r="CG122" s="257">
        <f t="shared" ref="CG122:CG135" si="45">SUM(D122:CF122)</f>
        <v>-111442.16999999981</v>
      </c>
      <c r="CJ122" s="122"/>
      <c r="CK122" s="169">
        <f>INDEX(SAP!C:C,MATCH('Actuals mapped to CFR'!A122,SAP!H:H,FALSE),1)</f>
        <v>-111442.17</v>
      </c>
      <c r="CL122" s="59">
        <f t="shared" ref="CL122" si="46">ROUND(CK122-CG122,2)</f>
        <v>0</v>
      </c>
      <c r="CN122" s="81">
        <f t="shared" ref="CN122:CN135" si="47">SUM(K122:AF122)*-1</f>
        <v>1408249.5</v>
      </c>
      <c r="CO122" s="81">
        <f t="shared" ref="CO122:CO135" si="48">SUM(AG122:BT122)</f>
        <v>1410133.62</v>
      </c>
      <c r="CP122" s="166">
        <f>VLOOKUP(B122,'2526 GBP Data input'!$A$4:$CA$230,38,FALSE)</f>
        <v>1353421</v>
      </c>
      <c r="CQ122" s="166">
        <f>VLOOKUP(B122,'2526 GBP Data input'!$A$4:$CA$230,73,FALSE)</f>
        <v>15217</v>
      </c>
      <c r="CR122" s="89">
        <f t="shared" ref="CR122" si="49">CN122-CP122</f>
        <v>54828.5</v>
      </c>
      <c r="CS122" s="83">
        <f t="shared" ref="CS122" si="50">CO122/CQ122</f>
        <v>92.668306499309992</v>
      </c>
      <c r="CT122" s="82">
        <f t="shared" ref="CT122:CT135" si="51">SUM(D122+F122)*-1+CN122-CO122</f>
        <v>100110.5</v>
      </c>
      <c r="CU122" s="82">
        <f t="shared" ref="CU122:CU135" si="52">SUM(G122+H122+I122+BU122+BV122+BW122)*-1-BX122-BY122-BZ122-CF122</f>
        <v>3042.9300000000003</v>
      </c>
      <c r="CV122" s="86">
        <f t="shared" ref="CV122" si="53">SUM(CT122:CU122)</f>
        <v>103153.43</v>
      </c>
      <c r="CX122" s="116"/>
    </row>
    <row r="123" spans="1:102">
      <c r="A123" s="305">
        <v>107907</v>
      </c>
      <c r="B123" s="306">
        <v>907</v>
      </c>
      <c r="C123" s="60" t="s">
        <v>763</v>
      </c>
      <c r="D123" s="128">
        <f>SUMIF('900-958'!$1:$1,D$3,'900-958'!5:5)</f>
        <v>41995.97</v>
      </c>
      <c r="E123" s="128">
        <f>SUMIF('900-958'!$1:$1,E$3,'900-958'!5:5)</f>
        <v>-4525.3100000000004</v>
      </c>
      <c r="F123" s="128">
        <f>SUMIF('900-958'!$1:$1,F$3,'900-958'!5:5)</f>
        <v>0</v>
      </c>
      <c r="G123" s="128">
        <f>SUMIF('900-958'!$1:$1,G$3,'900-958'!5:5)</f>
        <v>0</v>
      </c>
      <c r="H123" s="128">
        <f>SUMIF('900-958'!$1:$1,H$3,'900-958'!5:5)</f>
        <v>0</v>
      </c>
      <c r="I123" s="128">
        <f>SUMIF('900-958'!$1:$1,I$3,'900-958'!5:5)</f>
        <v>0</v>
      </c>
      <c r="J123" s="128">
        <f>SUMIF('900-958'!$1:$1,J$3,'900-958'!5:5)</f>
        <v>0</v>
      </c>
      <c r="K123" s="128">
        <f>SUMIF('900-958'!$1:$1,K$3,'900-958'!5:5)</f>
        <v>-1236182.3899999999</v>
      </c>
      <c r="L123" s="128">
        <f>SUMIF('900-958'!$1:$1,L$3,'900-958'!5:5)</f>
        <v>0</v>
      </c>
      <c r="M123" s="128">
        <f>SUMIF('900-958'!$1:$1,M$3,'900-958'!5:5)</f>
        <v>-95435</v>
      </c>
      <c r="N123" s="128">
        <f>SUMIF('900-958'!$1:$1,N$3,'900-958'!5:5)</f>
        <v>0</v>
      </c>
      <c r="O123" s="128">
        <f>SUMIF('900-958'!$1:$1,O$3,'900-958'!5:5)</f>
        <v>-54090</v>
      </c>
      <c r="P123" s="128">
        <f>SUMIF('900-958'!$1:$1,P$3,'900-958'!5:5)</f>
        <v>-16811</v>
      </c>
      <c r="Q123" s="128">
        <f>SUMIF('900-958'!$1:$1,Q$3,'900-958'!5:5)</f>
        <v>-7000</v>
      </c>
      <c r="R123" s="128">
        <f>SUMIF('900-958'!$1:$1,R$3,'900-958'!5:5)</f>
        <v>-13679.54</v>
      </c>
      <c r="S123" s="128">
        <f>SUMIF('900-958'!$1:$1,S$3,'900-958'!5:5)</f>
        <v>-3199.13</v>
      </c>
      <c r="T123" s="128">
        <f>SUMIF('900-958'!$1:$1,T$3,'900-958'!5:5)</f>
        <v>46.45</v>
      </c>
      <c r="U123" s="128">
        <f>SUMIF('900-958'!$1:$1,U$3,'900-958'!5:5)</f>
        <v>0</v>
      </c>
      <c r="V123" s="128">
        <f>SUMIF('900-958'!$1:$1,V$3,'900-958'!5:5)</f>
        <v>0</v>
      </c>
      <c r="W123" s="128">
        <f>SUMIF('900-958'!$1:$1,W$3,'900-958'!5:5)</f>
        <v>-31701.969999999998</v>
      </c>
      <c r="X123" s="128">
        <f>SUMIF('900-958'!$1:$1,X$3,'900-958'!5:5)</f>
        <v>-1985.8300000000002</v>
      </c>
      <c r="Y123" s="164">
        <f>SUMIF('900-958'!$1:$1,Y$3,'900-958'!5:5)</f>
        <v>0</v>
      </c>
      <c r="Z123" s="128">
        <f>SUMIF('900-958'!$1:$1,Z$3,'900-958'!5:5)</f>
        <v>0</v>
      </c>
      <c r="AA123" s="128">
        <f>SUMIF('900-958'!$1:$1,AA$3,'900-958'!5:5)</f>
        <v>0</v>
      </c>
      <c r="AB123" s="128">
        <f>SUMIF('900-958'!$1:$1,AB$3,'900-958'!5:5)</f>
        <v>0</v>
      </c>
      <c r="AC123" s="314">
        <f>SUMIF('900-958'!$1:$1,AC$3,'900-958'!5:5)</f>
        <v>0</v>
      </c>
      <c r="AD123" s="314">
        <f>SUMIF('900-958'!$1:$1,AD$3,'900-958'!5:5)</f>
        <v>0</v>
      </c>
      <c r="AE123" s="314">
        <f>SUMIF('900-958'!$1:$1,AE$3,'900-958'!5:5)</f>
        <v>0</v>
      </c>
      <c r="AF123" s="314">
        <f>SUMIF('900-958'!$1:$1,AF$3,'900-958'!5:5)</f>
        <v>0</v>
      </c>
      <c r="AG123" s="128">
        <f>SUMIF('900-958'!$1:$1,AG$3,'900-958'!5:5)</f>
        <v>741844.62000000011</v>
      </c>
      <c r="AH123" s="128">
        <f>SUMIF('900-958'!$1:$1,AH$3,'900-958'!5:5)</f>
        <v>11556.02</v>
      </c>
      <c r="AI123" s="128">
        <f>SUMIF('900-958'!$1:$1,AI$3,'900-958'!5:5)</f>
        <v>301389.11</v>
      </c>
      <c r="AJ123" s="128">
        <f>SUMIF('900-958'!$1:$1,AJ$3,'900-958'!5:5)</f>
        <v>61748.53</v>
      </c>
      <c r="AK123" s="128">
        <f>SUMIF('900-958'!$1:$1,AK$3,'900-958'!5:5)</f>
        <v>98370.01</v>
      </c>
      <c r="AL123" s="128">
        <f>SUMIF('900-958'!$1:$1,AL$3,'900-958'!5:5)</f>
        <v>0</v>
      </c>
      <c r="AM123" s="128">
        <f>SUMIF('900-958'!$1:$1,AM$3,'900-958'!5:5)</f>
        <v>28734.78</v>
      </c>
      <c r="AN123" s="128">
        <f>SUMIF('900-958'!$1:$1,AN$3,'900-958'!5:5)</f>
        <v>383.89</v>
      </c>
      <c r="AO123" s="128">
        <f>SUMIF('900-958'!$1:$1,AO$3,'900-958'!5:5)</f>
        <v>6039.25</v>
      </c>
      <c r="AP123" s="128">
        <f>SUMIF('900-958'!$1:$1,AP$3,'900-958'!5:5)</f>
        <v>1991.1100000000001</v>
      </c>
      <c r="AQ123" s="128">
        <f>SUMIF('900-958'!$1:$1,AQ$3,'900-958'!5:5)</f>
        <v>0</v>
      </c>
      <c r="AR123" s="128">
        <f>SUMIF('900-958'!$1:$1,AR$3,'900-958'!5:5)</f>
        <v>6414.87</v>
      </c>
      <c r="AS123" s="128">
        <f>SUMIF('900-958'!$1:$1,AS$3,'900-958'!5:5)</f>
        <v>10882.86</v>
      </c>
      <c r="AT123" s="128">
        <f>SUMIF('900-958'!$1:$1,AT$3,'900-958'!5:5)</f>
        <v>3778.4100000000003</v>
      </c>
      <c r="AU123" s="128">
        <f>SUMIF('900-958'!$1:$1,AU$3,'900-958'!5:5)</f>
        <v>4552.93</v>
      </c>
      <c r="AV123" s="128">
        <f>SUMIF('900-958'!$1:$1,AV$3,'900-958'!5:5)</f>
        <v>13733.400000000001</v>
      </c>
      <c r="AW123" s="128">
        <f>SUMIF('900-958'!$1:$1,AW$3,'900-958'!5:5)</f>
        <v>3468.05</v>
      </c>
      <c r="AX123" s="128">
        <f>SUMIF('900-958'!$1:$1,AX$3,'900-958'!5:5)</f>
        <v>5009.54</v>
      </c>
      <c r="AY123" s="128">
        <f>SUMIF('900-958'!$1:$1,AY$3,'900-958'!5:5)</f>
        <v>49448.740000000013</v>
      </c>
      <c r="AZ123" s="314">
        <f>SUMIF('900-958'!$1:$1,AZ$3,'900-958'!5:5)</f>
        <v>0</v>
      </c>
      <c r="BA123" s="128">
        <f>SUMIF('900-958'!$1:$1,BA$3,'900-958'!5:5)</f>
        <v>3710.5</v>
      </c>
      <c r="BB123" s="128">
        <f>SUMIF('900-958'!$1:$1,BB$3,'900-958'!5:5)</f>
        <v>0</v>
      </c>
      <c r="BC123" s="128">
        <f>SUMIF('900-958'!$1:$1,BC$3,'900-958'!5:5)</f>
        <v>2880.6600000000003</v>
      </c>
      <c r="BD123" s="128">
        <f>SUMIF('900-958'!$1:$1,BD$3,'900-958'!5:5)</f>
        <v>6474.72</v>
      </c>
      <c r="BE123" s="128">
        <f>SUMIF('900-958'!$1:$1,BE$3,'900-958'!5:5)</f>
        <v>3644.86</v>
      </c>
      <c r="BF123" s="128">
        <f>SUMIF('900-958'!$1:$1,BF$3,'900-958'!5:5)</f>
        <v>90</v>
      </c>
      <c r="BG123" s="128">
        <f>SUMIF('900-958'!$1:$1,BG$3,'900-958'!5:5)</f>
        <v>4574.5</v>
      </c>
      <c r="BH123" s="128">
        <f>SUMIF('900-958'!$1:$1,BH$3,'900-958'!5:5)</f>
        <v>0</v>
      </c>
      <c r="BI123" s="128">
        <f>SUMIF('900-958'!$1:$1,BI$3,'900-958'!5:5)</f>
        <v>5397.37</v>
      </c>
      <c r="BJ123" s="128">
        <f>SUMIF('900-958'!$1:$1,BJ$3,'900-958'!5:5)</f>
        <v>11088.47</v>
      </c>
      <c r="BK123" s="128">
        <f>SUMIF('900-958'!$1:$1,BK$3,'900-958'!5:5)</f>
        <v>0</v>
      </c>
      <c r="BL123" s="128">
        <f>SUMIF('900-958'!$1:$1,BL$3,'900-958'!5:5)</f>
        <v>17828.68</v>
      </c>
      <c r="BM123" s="128">
        <f>SUMIF('900-958'!$1:$1,BM$3,'900-958'!5:5)</f>
        <v>13932</v>
      </c>
      <c r="BN123" s="128">
        <f>SUMIF('900-958'!$1:$1,BN$3,'900-958'!5:5)</f>
        <v>25266.33</v>
      </c>
      <c r="BO123" s="128">
        <f>SUMIF('900-958'!$1:$1,BO$3,'900-958'!5:5)</f>
        <v>36823.180000000008</v>
      </c>
      <c r="BP123" s="128">
        <f>SUMIF('900-958'!$1:$1,BP$3,'900-958'!5:5)</f>
        <v>0</v>
      </c>
      <c r="BQ123" s="128">
        <f>SUMIF('900-958'!$1:$1,BQ$3,'900-958'!5:5)</f>
        <v>0</v>
      </c>
      <c r="BR123" s="128">
        <f>SUMIF('900-958'!$1:$1,BR$3,'900-958'!5:5)</f>
        <v>9762.5</v>
      </c>
      <c r="BS123" s="128">
        <f>SUMIF('900-958'!$1:$1,BS$3,'900-958'!5:5)</f>
        <v>0</v>
      </c>
      <c r="BT123" s="128">
        <f>SUMIF('900-958'!$1:$1,BT$3,'900-958'!5:5)</f>
        <v>0</v>
      </c>
      <c r="BU123" s="128">
        <f>SUMIF('900-958'!$1:$1,BU$3,'900-958'!5:5)</f>
        <v>0</v>
      </c>
      <c r="BV123" s="128">
        <f>SUMIF('900-958'!$1:$1,BV$3,'900-958'!5:5)</f>
        <v>0</v>
      </c>
      <c r="BW123" s="128">
        <f>SUMIF('900-958'!$1:$1,BW$3,'900-958'!5:5)</f>
        <v>-9762.5</v>
      </c>
      <c r="BX123" s="128">
        <f>SUMIF('900-958'!$1:$1,BX$3,'900-958'!5:5)</f>
        <v>0</v>
      </c>
      <c r="BY123" s="128">
        <f>SUMIF('900-958'!$1:$1,BY$3,'900-958'!5:5)</f>
        <v>9762.5</v>
      </c>
      <c r="BZ123" s="128">
        <f>SUMIF('900-958'!$1:$1,BZ$3,'900-958'!5:5)</f>
        <v>0</v>
      </c>
      <c r="CA123" s="314">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7">
        <f t="shared" si="45"/>
        <v>68252.140000000189</v>
      </c>
      <c r="CJ123" s="122"/>
      <c r="CK123" s="169">
        <f>INDEX(SAP!C:C,MATCH('Actuals mapped to CFR'!A123,SAP!H:H,FALSE),1)</f>
        <v>68252.14</v>
      </c>
      <c r="CL123" s="59">
        <f t="shared" si="33"/>
        <v>0</v>
      </c>
      <c r="CN123" s="81">
        <f t="shared" si="47"/>
        <v>1460038.41</v>
      </c>
      <c r="CO123" s="81">
        <f t="shared" si="48"/>
        <v>1490819.8900000001</v>
      </c>
      <c r="CP123" s="166">
        <f>VLOOKUP(B123,'2526 GBP Data input'!$A$4:$CA$230,38,FALSE)</f>
        <v>1419053</v>
      </c>
      <c r="CQ123" s="166">
        <f>VLOOKUP(B123,'2526 GBP Data input'!$A$4:$CA$230,73,FALSE)</f>
        <v>15685</v>
      </c>
      <c r="CR123" s="89">
        <f t="shared" si="39"/>
        <v>40985.409999999916</v>
      </c>
      <c r="CS123" s="83">
        <f t="shared" si="40"/>
        <v>95.047490596110947</v>
      </c>
      <c r="CT123" s="82">
        <f t="shared" si="51"/>
        <v>-72777.450000000186</v>
      </c>
      <c r="CU123" s="82">
        <f t="shared" si="52"/>
        <v>0</v>
      </c>
      <c r="CV123" s="86">
        <f t="shared" si="44"/>
        <v>-72777.450000000186</v>
      </c>
      <c r="CX123" s="116"/>
    </row>
    <row r="124" spans="1:102">
      <c r="A124" s="238">
        <v>107924</v>
      </c>
      <c r="B124" s="60">
        <v>924</v>
      </c>
      <c r="C124" s="60" t="s">
        <v>222</v>
      </c>
      <c r="D124" s="128">
        <f>SUMIF('900-958'!$1:$1,D$3,'900-958'!6:6)</f>
        <v>-119910.32</v>
      </c>
      <c r="E124" s="128">
        <f>SUMIF('900-958'!$1:$1,E$3,'900-958'!6:6)</f>
        <v>0</v>
      </c>
      <c r="F124" s="128">
        <f>SUMIF('900-958'!$1:$1,F$3,'900-958'!6:6)</f>
        <v>0</v>
      </c>
      <c r="G124" s="128">
        <f>SUMIF('900-958'!$1:$1,G$3,'900-958'!6:6)</f>
        <v>-1503.22</v>
      </c>
      <c r="H124" s="128">
        <f>SUMIF('900-958'!$1:$1,H$3,'900-958'!6:6)</f>
        <v>0</v>
      </c>
      <c r="I124" s="128">
        <f>SUMIF('900-958'!$1:$1,I$3,'900-958'!6:6)</f>
        <v>0</v>
      </c>
      <c r="J124" s="128">
        <f>SUMIF('900-958'!$1:$1,J$3,'900-958'!6:6)</f>
        <v>0</v>
      </c>
      <c r="K124" s="128">
        <f>SUMIF('900-958'!$1:$1,K$3,'900-958'!6:6)</f>
        <v>-1298490.6400000001</v>
      </c>
      <c r="L124" s="128">
        <f>SUMIF('900-958'!$1:$1,L$3,'900-958'!6:6)</f>
        <v>0</v>
      </c>
      <c r="M124" s="128">
        <f>SUMIF('900-958'!$1:$1,M$3,'900-958'!6:6)</f>
        <v>-223556</v>
      </c>
      <c r="N124" s="128">
        <f>SUMIF('900-958'!$1:$1,N$3,'900-958'!6:6)</f>
        <v>0</v>
      </c>
      <c r="O124" s="128">
        <f>SUMIF('900-958'!$1:$1,O$3,'900-958'!6:6)</f>
        <v>-105965</v>
      </c>
      <c r="P124" s="128">
        <f>SUMIF('900-958'!$1:$1,P$3,'900-958'!6:6)</f>
        <v>-52604</v>
      </c>
      <c r="Q124" s="128">
        <f>SUMIF('900-958'!$1:$1,Q$3,'900-958'!6:6)</f>
        <v>-54140</v>
      </c>
      <c r="R124" s="128">
        <f>SUMIF('900-958'!$1:$1,R$3,'900-958'!6:6)</f>
        <v>-220</v>
      </c>
      <c r="S124" s="128">
        <f>SUMIF('900-958'!$1:$1,S$3,'900-958'!6:6)</f>
        <v>-34297.859999999986</v>
      </c>
      <c r="T124" s="128">
        <f>SUMIF('900-958'!$1:$1,T$3,'900-958'!6:6)</f>
        <v>-2292.5699999999993</v>
      </c>
      <c r="U124" s="128">
        <f>SUMIF('900-958'!$1:$1,U$3,'900-958'!6:6)</f>
        <v>0</v>
      </c>
      <c r="V124" s="128">
        <f>SUMIF('900-958'!$1:$1,V$3,'900-958'!6:6)</f>
        <v>0</v>
      </c>
      <c r="W124" s="128">
        <f>SUMIF('900-958'!$1:$1,W$3,'900-958'!6:6)</f>
        <v>-20209.309999999994</v>
      </c>
      <c r="X124" s="128">
        <f>SUMIF('900-958'!$1:$1,X$3,'900-958'!6:6)</f>
        <v>-8811.82</v>
      </c>
      <c r="Y124" s="164">
        <f>SUMIF('900-958'!$1:$1,Y$3,'900-958'!6:6)</f>
        <v>0</v>
      </c>
      <c r="Z124" s="128">
        <f>SUMIF('900-958'!$1:$1,Z$3,'900-958'!6:6)</f>
        <v>0</v>
      </c>
      <c r="AA124" s="128">
        <f>SUMIF('900-958'!$1:$1,AA$3,'900-958'!6:6)</f>
        <v>-95540.849999999977</v>
      </c>
      <c r="AB124" s="128">
        <f>SUMIF('900-958'!$1:$1,AB$3,'900-958'!6:6)</f>
        <v>-2334.7200000000003</v>
      </c>
      <c r="AC124" s="314">
        <f>SUMIF('900-958'!$1:$1,AC$3,'900-958'!6:6)</f>
        <v>0</v>
      </c>
      <c r="AD124" s="314">
        <f>SUMIF('900-958'!$1:$1,AD$3,'900-958'!6:6)</f>
        <v>0</v>
      </c>
      <c r="AE124" s="314">
        <f>SUMIF('900-958'!$1:$1,AE$3,'900-958'!6:6)</f>
        <v>0</v>
      </c>
      <c r="AF124" s="314">
        <f>SUMIF('900-958'!$1:$1,AF$3,'900-958'!6:6)</f>
        <v>0</v>
      </c>
      <c r="AG124" s="128">
        <f>SUMIF('900-958'!$1:$1,AG$3,'900-958'!6:6)</f>
        <v>742144.98</v>
      </c>
      <c r="AH124" s="128">
        <f>SUMIF('900-958'!$1:$1,AH$3,'900-958'!6:6)</f>
        <v>0</v>
      </c>
      <c r="AI124" s="128">
        <f>SUMIF('900-958'!$1:$1,AI$3,'900-958'!6:6)</f>
        <v>474010.37000000011</v>
      </c>
      <c r="AJ124" s="128">
        <f>SUMIF('900-958'!$1:$1,AJ$3,'900-958'!6:6)</f>
        <v>43368.289999999994</v>
      </c>
      <c r="AK124" s="128">
        <f>SUMIF('900-958'!$1:$1,AK$3,'900-958'!6:6)</f>
        <v>86112.81</v>
      </c>
      <c r="AL124" s="128">
        <f>SUMIF('900-958'!$1:$1,AL$3,'900-958'!6:6)</f>
        <v>0</v>
      </c>
      <c r="AM124" s="128">
        <f>SUMIF('900-958'!$1:$1,AM$3,'900-958'!6:6)</f>
        <v>95826.89</v>
      </c>
      <c r="AN124" s="128">
        <f>SUMIF('900-958'!$1:$1,AN$3,'900-958'!6:6)</f>
        <v>5495.7</v>
      </c>
      <c r="AO124" s="128">
        <f>SUMIF('900-958'!$1:$1,AO$3,'900-958'!6:6)</f>
        <v>6207.5</v>
      </c>
      <c r="AP124" s="128">
        <f>SUMIF('900-958'!$1:$1,AP$3,'900-958'!6:6)</f>
        <v>646.6</v>
      </c>
      <c r="AQ124" s="128">
        <f>SUMIF('900-958'!$1:$1,AQ$3,'900-958'!6:6)</f>
        <v>0</v>
      </c>
      <c r="AR124" s="128">
        <f>SUMIF('900-958'!$1:$1,AR$3,'900-958'!6:6)</f>
        <v>17874.969999999998</v>
      </c>
      <c r="AS124" s="128">
        <f>SUMIF('900-958'!$1:$1,AS$3,'900-958'!6:6)</f>
        <v>3912.329999999999</v>
      </c>
      <c r="AT124" s="128">
        <f>SUMIF('900-958'!$1:$1,AT$3,'900-958'!6:6)</f>
        <v>29456.499999999993</v>
      </c>
      <c r="AU124" s="128">
        <f>SUMIF('900-958'!$1:$1,AU$3,'900-958'!6:6)</f>
        <v>5642.77</v>
      </c>
      <c r="AV124" s="128">
        <f>SUMIF('900-958'!$1:$1,AV$3,'900-958'!6:6)</f>
        <v>20455.230000000003</v>
      </c>
      <c r="AW124" s="128">
        <f>SUMIF('900-958'!$1:$1,AW$3,'900-958'!6:6)</f>
        <v>54439</v>
      </c>
      <c r="AX124" s="128">
        <f>SUMIF('900-958'!$1:$1,AX$3,'900-958'!6:6)</f>
        <v>2976.4299999999994</v>
      </c>
      <c r="AY124" s="128">
        <f>SUMIF('900-958'!$1:$1,AY$3,'900-958'!6:6)</f>
        <v>49431.46</v>
      </c>
      <c r="AZ124" s="314">
        <f>SUMIF('900-958'!$1:$1,AZ$3,'900-958'!6:6)</f>
        <v>0</v>
      </c>
      <c r="BA124" s="128">
        <f>SUMIF('900-958'!$1:$1,BA$3,'900-958'!6:6)</f>
        <v>2195</v>
      </c>
      <c r="BB124" s="128">
        <f>SUMIF('900-958'!$1:$1,BB$3,'900-958'!6:6)</f>
        <v>0</v>
      </c>
      <c r="BC124" s="128">
        <f>SUMIF('900-958'!$1:$1,BC$3,'900-958'!6:6)</f>
        <v>7744.11</v>
      </c>
      <c r="BD124" s="128">
        <f>SUMIF('900-958'!$1:$1,BD$3,'900-958'!6:6)</f>
        <v>6420.7300000000005</v>
      </c>
      <c r="BE124" s="128">
        <f>SUMIF('900-958'!$1:$1,BE$3,'900-958'!6:6)</f>
        <v>374</v>
      </c>
      <c r="BF124" s="128">
        <f>SUMIF('900-958'!$1:$1,BF$3,'900-958'!6:6)</f>
        <v>0</v>
      </c>
      <c r="BG124" s="128">
        <f>SUMIF('900-958'!$1:$1,BG$3,'900-958'!6:6)</f>
        <v>11665.53</v>
      </c>
      <c r="BH124" s="128">
        <f>SUMIF('900-958'!$1:$1,BH$3,'900-958'!6:6)</f>
        <v>0</v>
      </c>
      <c r="BI124" s="128">
        <f>SUMIF('900-958'!$1:$1,BI$3,'900-958'!6:6)</f>
        <v>2224.33</v>
      </c>
      <c r="BJ124" s="128">
        <f>SUMIF('900-958'!$1:$1,BJ$3,'900-958'!6:6)</f>
        <v>13045.22</v>
      </c>
      <c r="BK124" s="128">
        <f>SUMIF('900-958'!$1:$1,BK$3,'900-958'!6:6)</f>
        <v>0</v>
      </c>
      <c r="BL124" s="128">
        <f>SUMIF('900-958'!$1:$1,BL$3,'900-958'!6:6)</f>
        <v>73706.080000000002</v>
      </c>
      <c r="BM124" s="128">
        <f>SUMIF('900-958'!$1:$1,BM$3,'900-958'!6:6)</f>
        <v>2518</v>
      </c>
      <c r="BN124" s="128">
        <f>SUMIF('900-958'!$1:$1,BN$3,'900-958'!6:6)</f>
        <v>45953</v>
      </c>
      <c r="BO124" s="128">
        <f>SUMIF('900-958'!$1:$1,BO$3,'900-958'!6:6)</f>
        <v>13678.840000000006</v>
      </c>
      <c r="BP124" s="128">
        <f>SUMIF('900-958'!$1:$1,BP$3,'900-958'!6:6)</f>
        <v>0</v>
      </c>
      <c r="BQ124" s="128">
        <f>SUMIF('900-958'!$1:$1,BQ$3,'900-958'!6:6)</f>
        <v>0</v>
      </c>
      <c r="BR124" s="128">
        <f>SUMIF('900-958'!$1:$1,BR$3,'900-958'!6:6)</f>
        <v>1278</v>
      </c>
      <c r="BS124" s="128">
        <f>SUMIF('900-958'!$1:$1,BS$3,'900-958'!6:6)</f>
        <v>50695.370000000017</v>
      </c>
      <c r="BT124" s="128">
        <f>SUMIF('900-958'!$1:$1,BT$3,'900-958'!6:6)</f>
        <v>11329.23</v>
      </c>
      <c r="BU124" s="128">
        <f>SUMIF('900-958'!$1:$1,BU$3,'900-958'!6:6)</f>
        <v>-6711.25</v>
      </c>
      <c r="BV124" s="128">
        <f>SUMIF('900-958'!$1:$1,BV$3,'900-958'!6:6)</f>
        <v>-11000</v>
      </c>
      <c r="BW124" s="128">
        <f>SUMIF('900-958'!$1:$1,BW$3,'900-958'!6:6)</f>
        <v>-1278</v>
      </c>
      <c r="BX124" s="128">
        <f>SUMIF('900-958'!$1:$1,BX$3,'900-958'!6:6)</f>
        <v>0</v>
      </c>
      <c r="BY124" s="128">
        <f>SUMIF('900-958'!$1:$1,BY$3,'900-958'!6:6)</f>
        <v>4613</v>
      </c>
      <c r="BZ124" s="128">
        <f>SUMIF('900-958'!$1:$1,BZ$3,'900-958'!6:6)</f>
        <v>11268.75</v>
      </c>
      <c r="CA124" s="314">
        <f>SUMIF('900-958'!$1:$1,CA$3,'900-958'!6:6)</f>
        <v>0</v>
      </c>
      <c r="CB124" s="128">
        <f>SUMIF('900-958'!$1:$1,CB$3,'900-958'!6:6)</f>
        <v>0</v>
      </c>
      <c r="CC124" s="128">
        <f>SUMIF('900-958'!$1:$1,CC$3,'900-958'!6:6)</f>
        <v>4879</v>
      </c>
      <c r="CD124" s="128">
        <f>SUMIF('900-958'!$1:$1,CD$3,'900-958'!6:6)</f>
        <v>0</v>
      </c>
      <c r="CE124" s="128">
        <f>SUMIF('900-958'!$1:$1,CE$3,'900-958'!6:6)</f>
        <v>0</v>
      </c>
      <c r="CF124" s="128">
        <f>SUMIF('900-958'!$1:$1,CF$3,'900-958'!6:6)</f>
        <v>0</v>
      </c>
      <c r="CG124" s="257">
        <f t="shared" si="45"/>
        <v>-137275.54000000018</v>
      </c>
      <c r="CJ124" s="122"/>
      <c r="CK124" s="169">
        <f>INDEX(SAP!C:C,MATCH('Actuals mapped to CFR'!A124,SAP!H:H,FALSE),1)</f>
        <v>-137275.54</v>
      </c>
      <c r="CL124" s="59">
        <f t="shared" si="33"/>
        <v>0</v>
      </c>
      <c r="CN124" s="81">
        <f t="shared" si="47"/>
        <v>1898462.7700000003</v>
      </c>
      <c r="CO124" s="81">
        <f t="shared" si="48"/>
        <v>1880829.2700000005</v>
      </c>
      <c r="CP124" s="166">
        <f>VLOOKUP(B124,'2526 GBP Data input'!$A$4:$CA$230,38,FALSE)</f>
        <v>1696821</v>
      </c>
      <c r="CQ124" s="166">
        <f>VLOOKUP(B124,'2526 GBP Data input'!$A$4:$CA$230,73,FALSE)</f>
        <v>13506</v>
      </c>
      <c r="CR124" s="89">
        <f t="shared" si="39"/>
        <v>201641.77000000025</v>
      </c>
      <c r="CS124" s="83">
        <f t="shared" si="40"/>
        <v>139.25879386939141</v>
      </c>
      <c r="CT124" s="82">
        <f t="shared" si="51"/>
        <v>137543.81999999983</v>
      </c>
      <c r="CU124" s="82">
        <f t="shared" si="52"/>
        <v>4610.7200000000012</v>
      </c>
      <c r="CV124" s="86">
        <f t="shared" si="44"/>
        <v>142154.53999999983</v>
      </c>
      <c r="CX124" s="116"/>
    </row>
    <row r="125" spans="1:102">
      <c r="A125" s="238">
        <v>107925</v>
      </c>
      <c r="B125" s="60">
        <v>925</v>
      </c>
      <c r="C125" s="60" t="s">
        <v>202</v>
      </c>
      <c r="D125" s="128">
        <f>SUMIF('900-958'!$1:$1,D$3,'900-958'!7:7)</f>
        <v>-131799.76</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-1282872</v>
      </c>
      <c r="L125" s="128">
        <f>SUMIF('900-958'!$1:$1,L$3,'900-958'!7:7)</f>
        <v>0</v>
      </c>
      <c r="M125" s="128">
        <f>SUMIF('900-958'!$1:$1,M$3,'900-958'!7:7)</f>
        <v>-109275</v>
      </c>
      <c r="N125" s="128">
        <f>SUMIF('900-958'!$1:$1,N$3,'900-958'!7:7)</f>
        <v>0</v>
      </c>
      <c r="O125" s="128">
        <f>SUMIF('900-958'!$1:$1,O$3,'900-958'!7:7)</f>
        <v>-24320</v>
      </c>
      <c r="P125" s="128">
        <f>SUMIF('900-958'!$1:$1,P$3,'900-958'!7:7)</f>
        <v>-123031</v>
      </c>
      <c r="Q125" s="128">
        <f>SUMIF('900-958'!$1:$1,Q$3,'900-958'!7:7)</f>
        <v>0</v>
      </c>
      <c r="R125" s="128">
        <f>SUMIF('900-958'!$1:$1,R$3,'900-958'!7:7)</f>
        <v>-2348.98</v>
      </c>
      <c r="S125" s="128">
        <f>SUMIF('900-958'!$1:$1,S$3,'900-958'!7:7)</f>
        <v>-92299.85</v>
      </c>
      <c r="T125" s="128">
        <f>SUMIF('900-958'!$1:$1,T$3,'900-958'!7:7)</f>
        <v>0</v>
      </c>
      <c r="U125" s="128">
        <f>SUMIF('900-958'!$1:$1,U$3,'900-958'!7:7)</f>
        <v>0</v>
      </c>
      <c r="V125" s="128">
        <f>SUMIF('900-958'!$1:$1,V$3,'900-958'!7:7)</f>
        <v>0</v>
      </c>
      <c r="W125" s="128">
        <f>SUMIF('900-958'!$1:$1,W$3,'900-958'!7:7)</f>
        <v>0</v>
      </c>
      <c r="X125" s="128">
        <f>SUMIF('900-958'!$1:$1,X$3,'900-958'!7:7)</f>
        <v>-3403.5099999999998</v>
      </c>
      <c r="Y125" s="164">
        <f>SUMIF('900-958'!$1:$1,Y$3,'900-958'!7:7)</f>
        <v>0</v>
      </c>
      <c r="Z125" s="128">
        <f>SUMIF('900-958'!$1:$1,Z$3,'900-958'!7:7)</f>
        <v>0</v>
      </c>
      <c r="AA125" s="128">
        <f>SUMIF('900-958'!$1:$1,AA$3,'900-958'!7:7)</f>
        <v>0</v>
      </c>
      <c r="AB125" s="128">
        <f>SUMIF('900-958'!$1:$1,AB$3,'900-958'!7:7)</f>
        <v>0</v>
      </c>
      <c r="AC125" s="314">
        <f>SUMIF('900-958'!$1:$1,AC$3,'900-958'!7:7)</f>
        <v>0</v>
      </c>
      <c r="AD125" s="314">
        <f>SUMIF('900-958'!$1:$1,AD$3,'900-958'!7:7)</f>
        <v>0</v>
      </c>
      <c r="AE125" s="314">
        <f>SUMIF('900-958'!$1:$1,AE$3,'900-958'!7:7)</f>
        <v>0</v>
      </c>
      <c r="AF125" s="314">
        <f>SUMIF('900-958'!$1:$1,AF$3,'900-958'!7:7)</f>
        <v>0</v>
      </c>
      <c r="AG125" s="128">
        <f>SUMIF('900-958'!$1:$1,AG$3,'900-958'!7:7)</f>
        <v>829550.46000000008</v>
      </c>
      <c r="AH125" s="128">
        <f>SUMIF('900-958'!$1:$1,AH$3,'900-958'!7:7)</f>
        <v>6030.22</v>
      </c>
      <c r="AI125" s="128">
        <f>SUMIF('900-958'!$1:$1,AI$3,'900-958'!7:7)</f>
        <v>305668.12</v>
      </c>
      <c r="AJ125" s="128">
        <f>SUMIF('900-958'!$1:$1,AJ$3,'900-958'!7:7)</f>
        <v>22080.589999999997</v>
      </c>
      <c r="AK125" s="128">
        <f>SUMIF('900-958'!$1:$1,AK$3,'900-958'!7:7)</f>
        <v>63178.83</v>
      </c>
      <c r="AL125" s="128">
        <f>SUMIF('900-958'!$1:$1,AL$3,'900-958'!7:7)</f>
        <v>0</v>
      </c>
      <c r="AM125" s="128">
        <f>SUMIF('900-958'!$1:$1,AM$3,'900-958'!7:7)</f>
        <v>79306.779999999984</v>
      </c>
      <c r="AN125" s="128">
        <f>SUMIF('900-958'!$1:$1,AN$3,'900-958'!7:7)</f>
        <v>4798.47</v>
      </c>
      <c r="AO125" s="128">
        <f>SUMIF('900-958'!$1:$1,AO$3,'900-958'!7:7)</f>
        <v>11158.65</v>
      </c>
      <c r="AP125" s="128">
        <f>SUMIF('900-958'!$1:$1,AP$3,'900-958'!7:7)</f>
        <v>768.6</v>
      </c>
      <c r="AQ125" s="128">
        <f>SUMIF('900-958'!$1:$1,AQ$3,'900-958'!7:7)</f>
        <v>0</v>
      </c>
      <c r="AR125" s="128">
        <f>SUMIF('900-958'!$1:$1,AR$3,'900-958'!7:7)</f>
        <v>16215.3</v>
      </c>
      <c r="AS125" s="128">
        <f>SUMIF('900-958'!$1:$1,AS$3,'900-958'!7:7)</f>
        <v>0</v>
      </c>
      <c r="AT125" s="128">
        <f>SUMIF('900-958'!$1:$1,AT$3,'900-958'!7:7)</f>
        <v>26736.479999999996</v>
      </c>
      <c r="AU125" s="128">
        <f>SUMIF('900-958'!$1:$1,AU$3,'900-958'!7:7)</f>
        <v>4816.5899999999992</v>
      </c>
      <c r="AV125" s="128">
        <f>SUMIF('900-958'!$1:$1,AV$3,'900-958'!7:7)</f>
        <v>8424.0499999999993</v>
      </c>
      <c r="AW125" s="128">
        <f>SUMIF('900-958'!$1:$1,AW$3,'900-958'!7:7)</f>
        <v>0</v>
      </c>
      <c r="AX125" s="128">
        <f>SUMIF('900-958'!$1:$1,AX$3,'900-958'!7:7)</f>
        <v>3553.1299999999992</v>
      </c>
      <c r="AY125" s="128">
        <f>SUMIF('900-958'!$1:$1,AY$3,'900-958'!7:7)</f>
        <v>20914.94000000001</v>
      </c>
      <c r="AZ125" s="314">
        <f>SUMIF('900-958'!$1:$1,AZ$3,'900-958'!7:7)</f>
        <v>0</v>
      </c>
      <c r="BA125" s="128">
        <f>SUMIF('900-958'!$1:$1,BA$3,'900-958'!7:7)</f>
        <v>2492.1400000000003</v>
      </c>
      <c r="BB125" s="128">
        <f>SUMIF('900-958'!$1:$1,BB$3,'900-958'!7:7)</f>
        <v>0</v>
      </c>
      <c r="BC125" s="128">
        <f>SUMIF('900-958'!$1:$1,BC$3,'900-958'!7:7)</f>
        <v>5854.8</v>
      </c>
      <c r="BD125" s="128">
        <f>SUMIF('900-958'!$1:$1,BD$3,'900-958'!7:7)</f>
        <v>7460.1100000000006</v>
      </c>
      <c r="BE125" s="128">
        <f>SUMIF('900-958'!$1:$1,BE$3,'900-958'!7:7)</f>
        <v>773</v>
      </c>
      <c r="BF125" s="128">
        <f>SUMIF('900-958'!$1:$1,BF$3,'900-958'!7:7)</f>
        <v>17650</v>
      </c>
      <c r="BG125" s="128">
        <f>SUMIF('900-958'!$1:$1,BG$3,'900-958'!7:7)</f>
        <v>4953.5599999999995</v>
      </c>
      <c r="BH125" s="128">
        <f>SUMIF('900-958'!$1:$1,BH$3,'900-958'!7:7)</f>
        <v>0</v>
      </c>
      <c r="BI125" s="128">
        <f>SUMIF('900-958'!$1:$1,BI$3,'900-958'!7:7)</f>
        <v>5660.99</v>
      </c>
      <c r="BJ125" s="128">
        <f>SUMIF('900-958'!$1:$1,BJ$3,'900-958'!7:7)</f>
        <v>13602.960000000001</v>
      </c>
      <c r="BK125" s="128">
        <f>SUMIF('900-958'!$1:$1,BK$3,'900-958'!7:7)</f>
        <v>0</v>
      </c>
      <c r="BL125" s="128">
        <f>SUMIF('900-958'!$1:$1,BL$3,'900-958'!7:7)</f>
        <v>113886.56</v>
      </c>
      <c r="BM125" s="128">
        <f>SUMIF('900-958'!$1:$1,BM$3,'900-958'!7:7)</f>
        <v>0</v>
      </c>
      <c r="BN125" s="128">
        <f>SUMIF('900-958'!$1:$1,BN$3,'900-958'!7:7)</f>
        <v>4628</v>
      </c>
      <c r="BO125" s="128">
        <f>SUMIF('900-958'!$1:$1,BO$3,'900-958'!7:7)</f>
        <v>19249.230000000003</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-6981.25</v>
      </c>
      <c r="BV125" s="128">
        <f>SUMIF('900-958'!$1:$1,BV$3,'900-958'!7:7)</f>
        <v>0</v>
      </c>
      <c r="BW125" s="128">
        <f>SUMIF('900-958'!$1:$1,BW$3,'900-958'!7:7)</f>
        <v>0</v>
      </c>
      <c r="BX125" s="128">
        <f>SUMIF('900-958'!$1:$1,BX$3,'900-958'!7:7)</f>
        <v>0</v>
      </c>
      <c r="BY125" s="128">
        <f>SUMIF('900-958'!$1:$1,BY$3,'900-958'!7:7)</f>
        <v>3500</v>
      </c>
      <c r="BZ125" s="128">
        <f>SUMIF('900-958'!$1:$1,BZ$3,'900-958'!7:7)</f>
        <v>0</v>
      </c>
      <c r="CA125" s="314">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7">
        <f t="shared" si="45"/>
        <v>-173418.79000000018</v>
      </c>
      <c r="CJ125" s="122"/>
      <c r="CK125" s="169">
        <f>INDEX(SAP!C:C,MATCH('Actuals mapped to CFR'!A125,SAP!H:H,FALSE),1)</f>
        <v>-173418.79</v>
      </c>
      <c r="CL125" s="59">
        <f t="shared" si="33"/>
        <v>0</v>
      </c>
      <c r="CN125" s="81">
        <f t="shared" si="47"/>
        <v>1637550.34</v>
      </c>
      <c r="CO125" s="81">
        <f t="shared" si="48"/>
        <v>1599412.5600000003</v>
      </c>
      <c r="CP125" s="166">
        <f>VLOOKUP(B125,'2526 GBP Data input'!$A$4:$CA$230,38,FALSE)</f>
        <v>1571492</v>
      </c>
      <c r="CQ125" s="166">
        <f>VLOOKUP(B125,'2526 GBP Data input'!$A$4:$CA$230,73,FALSE)</f>
        <v>16034</v>
      </c>
      <c r="CR125" s="89">
        <f t="shared" si="39"/>
        <v>66058.340000000084</v>
      </c>
      <c r="CS125" s="83">
        <f t="shared" si="40"/>
        <v>99.751313458899858</v>
      </c>
      <c r="CT125" s="82">
        <f t="shared" si="51"/>
        <v>169937.5399999998</v>
      </c>
      <c r="CU125" s="82">
        <f t="shared" si="52"/>
        <v>3481.25</v>
      </c>
      <c r="CV125" s="86">
        <f t="shared" si="44"/>
        <v>173418.7899999998</v>
      </c>
      <c r="CX125" s="116"/>
    </row>
    <row r="126" spans="1:102">
      <c r="A126" s="238">
        <v>107926</v>
      </c>
      <c r="B126" s="60">
        <v>926</v>
      </c>
      <c r="C126" s="60" t="s">
        <v>267</v>
      </c>
      <c r="D126" s="128">
        <f>SUMIF('900-958'!$1:$1,D$3,'900-958'!8:8)</f>
        <v>-20303.169999999998</v>
      </c>
      <c r="E126" s="128">
        <f>SUMIF('900-958'!$1:$1,E$3,'900-958'!8:8)</f>
        <v>-12507.88</v>
      </c>
      <c r="F126" s="128">
        <f>SUMIF('900-958'!$1:$1,F$3,'900-958'!8:8)</f>
        <v>0</v>
      </c>
      <c r="G126" s="128">
        <f>SUMIF('900-958'!$1:$1,G$3,'900-958'!8:8)</f>
        <v>-9292.07</v>
      </c>
      <c r="H126" s="128">
        <f>SUMIF('900-958'!$1:$1,H$3,'900-958'!8:8)</f>
        <v>0</v>
      </c>
      <c r="I126" s="128">
        <f>SUMIF('900-958'!$1:$1,I$3,'900-958'!8:8)</f>
        <v>0</v>
      </c>
      <c r="J126" s="128">
        <f>SUMIF('900-958'!$1:$1,J$3,'900-958'!8:8)</f>
        <v>0</v>
      </c>
      <c r="K126" s="128">
        <f>SUMIF('900-958'!$1:$1,K$3,'900-958'!8:8)</f>
        <v>-1856853</v>
      </c>
      <c r="L126" s="128">
        <f>SUMIF('900-958'!$1:$1,L$3,'900-958'!8:8)</f>
        <v>0</v>
      </c>
      <c r="M126" s="128">
        <f>SUMIF('900-958'!$1:$1,M$3,'900-958'!8:8)</f>
        <v>-198943</v>
      </c>
      <c r="N126" s="128">
        <f>SUMIF('900-958'!$1:$1,N$3,'900-958'!8:8)</f>
        <v>0</v>
      </c>
      <c r="O126" s="128">
        <f>SUMIF('900-958'!$1:$1,O$3,'900-958'!8:8)</f>
        <v>-62025</v>
      </c>
      <c r="P126" s="128">
        <f>SUMIF('900-958'!$1:$1,P$3,'900-958'!8:8)</f>
        <v>-17953</v>
      </c>
      <c r="Q126" s="128">
        <f>SUMIF('900-958'!$1:$1,Q$3,'900-958'!8:8)</f>
        <v>-950</v>
      </c>
      <c r="R126" s="128">
        <f>SUMIF('900-958'!$1:$1,R$3,'900-958'!8:8)</f>
        <v>-6740.9</v>
      </c>
      <c r="S126" s="128">
        <f>SUMIF('900-958'!$1:$1,S$3,'900-958'!8:8)</f>
        <v>-109215.89000000003</v>
      </c>
      <c r="T126" s="128">
        <f>SUMIF('900-958'!$1:$1,T$3,'900-958'!8:8)</f>
        <v>-9229.68</v>
      </c>
      <c r="U126" s="128">
        <f>SUMIF('900-958'!$1:$1,U$3,'900-958'!8:8)</f>
        <v>0</v>
      </c>
      <c r="V126" s="128">
        <f>SUMIF('900-958'!$1:$1,V$3,'900-958'!8:8)</f>
        <v>0</v>
      </c>
      <c r="W126" s="128">
        <f>SUMIF('900-958'!$1:$1,W$3,'900-958'!8:8)</f>
        <v>-56571.899999999987</v>
      </c>
      <c r="X126" s="128">
        <f>SUMIF('900-958'!$1:$1,X$3,'900-958'!8:8)</f>
        <v>0</v>
      </c>
      <c r="Y126" s="164">
        <f>SUMIF('900-958'!$1:$1,Y$3,'900-958'!8:8)</f>
        <v>0</v>
      </c>
      <c r="Z126" s="128">
        <f>SUMIF('900-958'!$1:$1,Z$3,'900-958'!8:8)</f>
        <v>0</v>
      </c>
      <c r="AA126" s="128">
        <f>SUMIF('900-958'!$1:$1,AA$3,'900-958'!8:8)</f>
        <v>0</v>
      </c>
      <c r="AB126" s="128">
        <f>SUMIF('900-958'!$1:$1,AB$3,'900-958'!8:8)</f>
        <v>0</v>
      </c>
      <c r="AC126" s="314">
        <f>SUMIF('900-958'!$1:$1,AC$3,'900-958'!8:8)</f>
        <v>0</v>
      </c>
      <c r="AD126" s="314">
        <f>SUMIF('900-958'!$1:$1,AD$3,'900-958'!8:8)</f>
        <v>0</v>
      </c>
      <c r="AE126" s="314">
        <f>SUMIF('900-958'!$1:$1,AE$3,'900-958'!8:8)</f>
        <v>0</v>
      </c>
      <c r="AF126" s="314">
        <f>SUMIF('900-958'!$1:$1,AF$3,'900-958'!8:8)</f>
        <v>0</v>
      </c>
      <c r="AG126" s="128">
        <f>SUMIF('900-958'!$1:$1,AG$3,'900-958'!8:8)</f>
        <v>1158723.51</v>
      </c>
      <c r="AH126" s="128">
        <f>SUMIF('900-958'!$1:$1,AH$3,'900-958'!8:8)</f>
        <v>6827.8199999999988</v>
      </c>
      <c r="AI126" s="128">
        <f>SUMIF('900-958'!$1:$1,AI$3,'900-958'!8:8)</f>
        <v>568367.11</v>
      </c>
      <c r="AJ126" s="128">
        <f>SUMIF('900-958'!$1:$1,AJ$3,'900-958'!8:8)</f>
        <v>21396.93</v>
      </c>
      <c r="AK126" s="128">
        <f>SUMIF('900-958'!$1:$1,AK$3,'900-958'!8:8)</f>
        <v>99200.589999999982</v>
      </c>
      <c r="AL126" s="128">
        <f>SUMIF('900-958'!$1:$1,AL$3,'900-958'!8:8)</f>
        <v>0</v>
      </c>
      <c r="AM126" s="128">
        <f>SUMIF('900-958'!$1:$1,AM$3,'900-958'!8:8)</f>
        <v>39791.360000000001</v>
      </c>
      <c r="AN126" s="128">
        <f>SUMIF('900-958'!$1:$1,AN$3,'900-958'!8:8)</f>
        <v>6134</v>
      </c>
      <c r="AO126" s="128">
        <f>SUMIF('900-958'!$1:$1,AO$3,'900-958'!8:8)</f>
        <v>3751.25</v>
      </c>
      <c r="AP126" s="128">
        <f>SUMIF('900-958'!$1:$1,AP$3,'900-958'!8:8)</f>
        <v>8138.51</v>
      </c>
      <c r="AQ126" s="128">
        <f>SUMIF('900-958'!$1:$1,AQ$3,'900-958'!8:8)</f>
        <v>0</v>
      </c>
      <c r="AR126" s="128">
        <f>SUMIF('900-958'!$1:$1,AR$3,'900-958'!8:8)</f>
        <v>21883.06</v>
      </c>
      <c r="AS126" s="128">
        <f>SUMIF('900-958'!$1:$1,AS$3,'900-958'!8:8)</f>
        <v>562</v>
      </c>
      <c r="AT126" s="128">
        <f>SUMIF('900-958'!$1:$1,AT$3,'900-958'!8:8)</f>
        <v>35301.440000000002</v>
      </c>
      <c r="AU126" s="128">
        <f>SUMIF('900-958'!$1:$1,AU$3,'900-958'!8:8)</f>
        <v>10441.34</v>
      </c>
      <c r="AV126" s="128">
        <f>SUMIF('900-958'!$1:$1,AV$3,'900-958'!8:8)</f>
        <v>24271.250000000004</v>
      </c>
      <c r="AW126" s="128">
        <f>SUMIF('900-958'!$1:$1,AW$3,'900-958'!8:8)</f>
        <v>33382</v>
      </c>
      <c r="AX126" s="128">
        <f>SUMIF('900-958'!$1:$1,AX$3,'900-958'!8:8)</f>
        <v>4488.6000000000004</v>
      </c>
      <c r="AY126" s="128">
        <f>SUMIF('900-958'!$1:$1,AY$3,'900-958'!8:8)</f>
        <v>123941.59999999999</v>
      </c>
      <c r="AZ126" s="314">
        <f>SUMIF('900-958'!$1:$1,AZ$3,'900-958'!8:8)</f>
        <v>0</v>
      </c>
      <c r="BA126" s="128">
        <f>SUMIF('900-958'!$1:$1,BA$3,'900-958'!8:8)</f>
        <v>0</v>
      </c>
      <c r="BB126" s="128">
        <f>SUMIF('900-958'!$1:$1,BB$3,'900-958'!8:8)</f>
        <v>2034.43</v>
      </c>
      <c r="BC126" s="128">
        <f>SUMIF('900-958'!$1:$1,BC$3,'900-958'!8:8)</f>
        <v>4773</v>
      </c>
      <c r="BD126" s="128">
        <f>SUMIF('900-958'!$1:$1,BD$3,'900-958'!8:8)</f>
        <v>11507.5</v>
      </c>
      <c r="BE126" s="128">
        <f>SUMIF('900-958'!$1:$1,BE$3,'900-958'!8:8)</f>
        <v>1055.23</v>
      </c>
      <c r="BF126" s="128">
        <f>SUMIF('900-958'!$1:$1,BF$3,'900-958'!8:8)</f>
        <v>600</v>
      </c>
      <c r="BG126" s="128">
        <f>SUMIF('900-958'!$1:$1,BG$3,'900-958'!8:8)</f>
        <v>6259</v>
      </c>
      <c r="BH126" s="128">
        <f>SUMIF('900-958'!$1:$1,BH$3,'900-958'!8:8)</f>
        <v>0</v>
      </c>
      <c r="BI126" s="128">
        <f>SUMIF('900-958'!$1:$1,BI$3,'900-958'!8:8)</f>
        <v>6183.61</v>
      </c>
      <c r="BJ126" s="128">
        <f>SUMIF('900-958'!$1:$1,BJ$3,'900-958'!8:8)</f>
        <v>19324.84</v>
      </c>
      <c r="BK126" s="128">
        <f>SUMIF('900-958'!$1:$1,BK$3,'900-958'!8:8)</f>
        <v>0</v>
      </c>
      <c r="BL126" s="128">
        <f>SUMIF('900-958'!$1:$1,BL$3,'900-958'!8:8)</f>
        <v>22844.27</v>
      </c>
      <c r="BM126" s="128">
        <f>SUMIF('900-958'!$1:$1,BM$3,'900-958'!8:8)</f>
        <v>7724</v>
      </c>
      <c r="BN126" s="128">
        <f>SUMIF('900-958'!$1:$1,BN$3,'900-958'!8:8)</f>
        <v>14335.25</v>
      </c>
      <c r="BO126" s="128">
        <f>SUMIF('900-958'!$1:$1,BO$3,'900-958'!8:8)</f>
        <v>28822.879999999997</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-8027.5</v>
      </c>
      <c r="BV126" s="128">
        <f>SUMIF('900-958'!$1:$1,BV$3,'900-958'!8:8)</f>
        <v>0</v>
      </c>
      <c r="BW126" s="128">
        <f>SUMIF('900-958'!$1:$1,BW$3,'900-958'!8:8)</f>
        <v>0</v>
      </c>
      <c r="BX126" s="128">
        <f>SUMIF('900-958'!$1:$1,BX$3,'900-958'!8:8)</f>
        <v>0</v>
      </c>
      <c r="BY126" s="128">
        <f>SUMIF('900-958'!$1:$1,BY$3,'900-958'!8:8)</f>
        <v>-2340</v>
      </c>
      <c r="BZ126" s="128">
        <f>SUMIF('900-958'!$1:$1,BZ$3,'900-958'!8:8)</f>
        <v>0</v>
      </c>
      <c r="CA126" s="314">
        <f>SUMIF('900-958'!$1:$1,CA$3,'900-958'!8:8)</f>
        <v>0</v>
      </c>
      <c r="CB126" s="128">
        <f>SUMIF('900-958'!$1:$1,CB$3,'900-958'!8:8)</f>
        <v>0</v>
      </c>
      <c r="CC126" s="128">
        <f>SUMIF('900-958'!$1:$1,CC$3,'900-958'!8:8)</f>
        <v>0</v>
      </c>
      <c r="CD126" s="128">
        <f>SUMIF('900-958'!$1:$1,CD$3,'900-958'!8:8)</f>
        <v>0</v>
      </c>
      <c r="CE126" s="128">
        <f>SUMIF('900-958'!$1:$1,CE$3,'900-958'!8:8)</f>
        <v>559.95000000000005</v>
      </c>
      <c r="CF126" s="128">
        <f>SUMIF('900-958'!$1:$1,CF$3,'900-958'!8:8)</f>
        <v>0</v>
      </c>
      <c r="CG126" s="257">
        <f t="shared" si="45"/>
        <v>-78326.660000000193</v>
      </c>
      <c r="CJ126" s="122"/>
      <c r="CK126" s="169">
        <f>INDEX(SAP!C:C,MATCH('Actuals mapped to CFR'!A126,SAP!H:H,FALSE),1)</f>
        <v>-78326.66</v>
      </c>
      <c r="CL126" s="59">
        <f t="shared" si="33"/>
        <v>0</v>
      </c>
      <c r="CN126" s="81">
        <f t="shared" si="47"/>
        <v>2318482.37</v>
      </c>
      <c r="CO126" s="81">
        <f t="shared" si="48"/>
        <v>2292066.38</v>
      </c>
      <c r="CP126" s="166">
        <f>VLOOKUP(B126,'2526 GBP Data input'!$A$4:$CA$230,38,FALSE)</f>
        <v>2163879</v>
      </c>
      <c r="CQ126" s="166">
        <f>VLOOKUP(B126,'2526 GBP Data input'!$A$4:$CA$230,73,FALSE)</f>
        <v>17848</v>
      </c>
      <c r="CR126" s="89">
        <f t="shared" si="39"/>
        <v>154603.37000000011</v>
      </c>
      <c r="CS126" s="83">
        <f t="shared" si="40"/>
        <v>128.42146907216494</v>
      </c>
      <c r="CT126" s="82">
        <f t="shared" si="51"/>
        <v>46719.160000000149</v>
      </c>
      <c r="CU126" s="82">
        <f t="shared" si="52"/>
        <v>19659.57</v>
      </c>
      <c r="CV126" s="86">
        <f t="shared" si="44"/>
        <v>66378.730000000156</v>
      </c>
      <c r="CX126" s="116"/>
    </row>
    <row r="127" spans="1:102">
      <c r="A127" s="238">
        <v>107928</v>
      </c>
      <c r="B127" s="60">
        <v>928</v>
      </c>
      <c r="C127" s="239" t="s">
        <v>414</v>
      </c>
      <c r="D127" s="128">
        <f>SUMIF('900-958'!$1:$1,D$3,'900-958'!9:9)</f>
        <v>0</v>
      </c>
      <c r="E127" s="128">
        <f>SUMIF('900-958'!$1:$1,E$3,'900-958'!9:9)</f>
        <v>-7775.58</v>
      </c>
      <c r="F127" s="128">
        <f>SUMIF('900-958'!$1:$1,F$3,'900-958'!9:9)</f>
        <v>8584.48</v>
      </c>
      <c r="G127" s="128">
        <f>SUMIF('900-958'!$1:$1,G$3,'900-958'!9:9)</f>
        <v>-14547.31</v>
      </c>
      <c r="H127" s="128">
        <f>SUMIF('900-958'!$1:$1,H$3,'900-958'!9:9)</f>
        <v>0</v>
      </c>
      <c r="I127" s="128">
        <f>SUMIF('900-958'!$1:$1,I$3,'900-958'!9:9)</f>
        <v>0</v>
      </c>
      <c r="J127" s="128">
        <f>SUMIF('900-958'!$1:$1,J$3,'900-958'!9:9)</f>
        <v>0</v>
      </c>
      <c r="K127" s="128">
        <f>SUMIF('900-958'!$1:$1,K$3,'900-958'!9:9)</f>
        <v>-3248603</v>
      </c>
      <c r="L127" s="128">
        <f>SUMIF('900-958'!$1:$1,L$3,'900-958'!9:9)</f>
        <v>0</v>
      </c>
      <c r="M127" s="128">
        <f>SUMIF('900-958'!$1:$1,M$3,'900-958'!9:9)</f>
        <v>-204786</v>
      </c>
      <c r="N127" s="128">
        <f>SUMIF('900-958'!$1:$1,N$3,'900-958'!9:9)</f>
        <v>0</v>
      </c>
      <c r="O127" s="128">
        <f>SUMIF('900-958'!$1:$1,O$3,'900-958'!9:9)</f>
        <v>-126448</v>
      </c>
      <c r="P127" s="128">
        <f>SUMIF('900-958'!$1:$1,P$3,'900-958'!9:9)</f>
        <v>-128738</v>
      </c>
      <c r="Q127" s="128">
        <f>SUMIF('900-958'!$1:$1,Q$3,'900-958'!9:9)</f>
        <v>-3250</v>
      </c>
      <c r="R127" s="128">
        <f>SUMIF('900-958'!$1:$1,R$3,'900-958'!9:9)</f>
        <v>-17428</v>
      </c>
      <c r="S127" s="128">
        <f>SUMIF('900-958'!$1:$1,S$3,'900-958'!9:9)</f>
        <v>-13808.539999999995</v>
      </c>
      <c r="T127" s="128">
        <f>SUMIF('900-958'!$1:$1,T$3,'900-958'!9:9)</f>
        <v>-6173.3400000000011</v>
      </c>
      <c r="U127" s="128">
        <f>SUMIF('900-958'!$1:$1,U$3,'900-958'!9:9)</f>
        <v>0</v>
      </c>
      <c r="V127" s="128">
        <f>SUMIF('900-958'!$1:$1,V$3,'900-958'!9:9)</f>
        <v>0</v>
      </c>
      <c r="W127" s="128">
        <f>SUMIF('900-958'!$1:$1,W$3,'900-958'!9:9)</f>
        <v>-60120.360000000182</v>
      </c>
      <c r="X127" s="128">
        <f>SUMIF('900-958'!$1:$1,X$3,'900-958'!9:9)</f>
        <v>-62535.949999999975</v>
      </c>
      <c r="Y127" s="164">
        <f>SUMIF('900-958'!$1:$1,Y$3,'900-958'!9:9)</f>
        <v>0</v>
      </c>
      <c r="Z127" s="128">
        <f>SUMIF('900-958'!$1:$1,Z$3,'900-958'!9:9)</f>
        <v>0</v>
      </c>
      <c r="AA127" s="128">
        <f>SUMIF('900-958'!$1:$1,AA$3,'900-958'!9:9)</f>
        <v>0</v>
      </c>
      <c r="AB127" s="128">
        <f>SUMIF('900-958'!$1:$1,AB$3,'900-958'!9:9)</f>
        <v>0</v>
      </c>
      <c r="AC127" s="314">
        <f>SUMIF('900-958'!$1:$1,AC$3,'900-958'!9:9)</f>
        <v>0</v>
      </c>
      <c r="AD127" s="314">
        <f>SUMIF('900-958'!$1:$1,AD$3,'900-958'!9:9)</f>
        <v>0</v>
      </c>
      <c r="AE127" s="314">
        <f>SUMIF('900-958'!$1:$1,AE$3,'900-958'!9:9)</f>
        <v>0</v>
      </c>
      <c r="AF127" s="314">
        <f>SUMIF('900-958'!$1:$1,AF$3,'900-958'!9:9)</f>
        <v>0</v>
      </c>
      <c r="AG127" s="128">
        <f>SUMIF('900-958'!$1:$1,AG$3,'900-958'!9:9)</f>
        <v>1983287.8299999998</v>
      </c>
      <c r="AH127" s="128">
        <f>SUMIF('900-958'!$1:$1,AH$3,'900-958'!9:9)</f>
        <v>30603.750000000007</v>
      </c>
      <c r="AI127" s="128">
        <f>SUMIF('900-958'!$1:$1,AI$3,'900-958'!9:9)</f>
        <v>712681.2300000001</v>
      </c>
      <c r="AJ127" s="128">
        <f>SUMIF('900-958'!$1:$1,AJ$3,'900-958'!9:9)</f>
        <v>154449.54999999999</v>
      </c>
      <c r="AK127" s="128">
        <f>SUMIF('900-958'!$1:$1,AK$3,'900-958'!9:9)</f>
        <v>146773.78000000003</v>
      </c>
      <c r="AL127" s="128">
        <f>SUMIF('900-958'!$1:$1,AL$3,'900-958'!9:9)</f>
        <v>0</v>
      </c>
      <c r="AM127" s="128">
        <f>SUMIF('900-958'!$1:$1,AM$3,'900-958'!9:9)</f>
        <v>97526.62000000001</v>
      </c>
      <c r="AN127" s="128">
        <f>SUMIF('900-958'!$1:$1,AN$3,'900-958'!9:9)</f>
        <v>11575.95</v>
      </c>
      <c r="AO127" s="128">
        <f>SUMIF('900-958'!$1:$1,AO$3,'900-958'!9:9)</f>
        <v>12384.26</v>
      </c>
      <c r="AP127" s="128">
        <f>SUMIF('900-958'!$1:$1,AP$3,'900-958'!9:9)</f>
        <v>1909.3</v>
      </c>
      <c r="AQ127" s="128">
        <f>SUMIF('900-958'!$1:$1,AQ$3,'900-958'!9:9)</f>
        <v>0</v>
      </c>
      <c r="AR127" s="128">
        <f>SUMIF('900-958'!$1:$1,AR$3,'900-958'!9:9)</f>
        <v>27699.789999999994</v>
      </c>
      <c r="AS127" s="128">
        <f>SUMIF('900-958'!$1:$1,AS$3,'900-958'!9:9)</f>
        <v>10358.91</v>
      </c>
      <c r="AT127" s="128">
        <f>SUMIF('900-958'!$1:$1,AT$3,'900-958'!9:9)</f>
        <v>8154.61</v>
      </c>
      <c r="AU127" s="128">
        <f>SUMIF('900-958'!$1:$1,AU$3,'900-958'!9:9)</f>
        <v>9722.3599999999988</v>
      </c>
      <c r="AV127" s="128">
        <f>SUMIF('900-958'!$1:$1,AV$3,'900-958'!9:9)</f>
        <v>63624.009999999995</v>
      </c>
      <c r="AW127" s="128">
        <f>SUMIF('900-958'!$1:$1,AW$3,'900-958'!9:9)</f>
        <v>62517</v>
      </c>
      <c r="AX127" s="128">
        <f>SUMIF('900-958'!$1:$1,AX$3,'900-958'!9:9)</f>
        <v>7753.76</v>
      </c>
      <c r="AY127" s="128">
        <f>SUMIF('900-958'!$1:$1,AY$3,'900-958'!9:9)</f>
        <v>198742.83000000002</v>
      </c>
      <c r="AZ127" s="314">
        <f>SUMIF('900-958'!$1:$1,AZ$3,'900-958'!9:9)</f>
        <v>0</v>
      </c>
      <c r="BA127" s="128">
        <f>SUMIF('900-958'!$1:$1,BA$3,'900-958'!9:9)</f>
        <v>3268.8</v>
      </c>
      <c r="BB127" s="128">
        <f>SUMIF('900-958'!$1:$1,BB$3,'900-958'!9:9)</f>
        <v>0</v>
      </c>
      <c r="BC127" s="128">
        <f>SUMIF('900-958'!$1:$1,BC$3,'900-958'!9:9)</f>
        <v>17824.75</v>
      </c>
      <c r="BD127" s="128">
        <f>SUMIF('900-958'!$1:$1,BD$3,'900-958'!9:9)</f>
        <v>12685.05</v>
      </c>
      <c r="BE127" s="128">
        <f>SUMIF('900-958'!$1:$1,BE$3,'900-958'!9:9)</f>
        <v>5012.8500000000004</v>
      </c>
      <c r="BF127" s="128">
        <f>SUMIF('900-958'!$1:$1,BF$3,'900-958'!9:9)</f>
        <v>0</v>
      </c>
      <c r="BG127" s="128">
        <f>SUMIF('900-958'!$1:$1,BG$3,'900-958'!9:9)</f>
        <v>11241.3</v>
      </c>
      <c r="BH127" s="128">
        <f>SUMIF('900-958'!$1:$1,BH$3,'900-958'!9:9)</f>
        <v>0</v>
      </c>
      <c r="BI127" s="128">
        <f>SUMIF('900-958'!$1:$1,BI$3,'900-958'!9:9)</f>
        <v>12381.449999999999</v>
      </c>
      <c r="BJ127" s="128">
        <f>SUMIF('900-958'!$1:$1,BJ$3,'900-958'!9:9)</f>
        <v>33791.479999999996</v>
      </c>
      <c r="BK127" s="128">
        <f>SUMIF('900-958'!$1:$1,BK$3,'900-958'!9:9)</f>
        <v>0</v>
      </c>
      <c r="BL127" s="128">
        <f>SUMIF('900-958'!$1:$1,BL$3,'900-958'!9:9)</f>
        <v>150076.34</v>
      </c>
      <c r="BM127" s="128">
        <f>SUMIF('900-958'!$1:$1,BM$3,'900-958'!9:9)</f>
        <v>34993</v>
      </c>
      <c r="BN127" s="128">
        <f>SUMIF('900-958'!$1:$1,BN$3,'900-958'!9:9)</f>
        <v>3291</v>
      </c>
      <c r="BO127" s="128">
        <f>SUMIF('900-958'!$1:$1,BO$3,'900-958'!9:9)</f>
        <v>29213.310000000009</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-11076.25</v>
      </c>
      <c r="BV127" s="128">
        <f>SUMIF('900-958'!$1:$1,BV$3,'900-958'!9:9)</f>
        <v>0</v>
      </c>
      <c r="BW127" s="128">
        <f>SUMIF('900-958'!$1:$1,BW$3,'900-958'!9:9)</f>
        <v>0</v>
      </c>
      <c r="BX127" s="128">
        <f>SUMIF('900-958'!$1:$1,BX$3,'900-958'!9:9)</f>
        <v>0</v>
      </c>
      <c r="BY127" s="128">
        <f>SUMIF('900-958'!$1:$1,BY$3,'900-958'!9:9)</f>
        <v>15303.68</v>
      </c>
      <c r="BZ127" s="128">
        <f>SUMIF('900-958'!$1:$1,BZ$3,'900-958'!9:9)</f>
        <v>0</v>
      </c>
      <c r="CA127" s="314">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7">
        <f t="shared" si="45"/>
        <v>-27857.300000000403</v>
      </c>
      <c r="CJ127" s="122"/>
      <c r="CK127" s="169">
        <f>INDEX(SAP!C:C,MATCH('Actuals mapped to CFR'!A127,SAP!H:H,FALSE),1)</f>
        <v>-27857.3</v>
      </c>
      <c r="CL127" s="59">
        <f t="shared" si="33"/>
        <v>0</v>
      </c>
      <c r="CN127" s="81">
        <f t="shared" si="47"/>
        <v>3871891.1900000004</v>
      </c>
      <c r="CO127" s="81">
        <f t="shared" si="48"/>
        <v>3853544.8699999987</v>
      </c>
      <c r="CP127" s="166">
        <f>VLOOKUP(B127,'2526 GBP Data input'!$A$4:$CA$230,38,FALSE)</f>
        <v>3717193</v>
      </c>
      <c r="CQ127" s="166">
        <f>VLOOKUP(B127,'2526 GBP Data input'!$A$4:$CA$230,73,FALSE)</f>
        <v>26143</v>
      </c>
      <c r="CR127" s="89">
        <f t="shared" si="39"/>
        <v>154698.19000000041</v>
      </c>
      <c r="CS127" s="83">
        <f t="shared" si="40"/>
        <v>147.40255020464363</v>
      </c>
      <c r="CT127" s="82">
        <f t="shared" si="51"/>
        <v>9761.8400000017136</v>
      </c>
      <c r="CU127" s="82">
        <f t="shared" si="52"/>
        <v>10319.879999999997</v>
      </c>
      <c r="CV127" s="86">
        <f t="shared" si="44"/>
        <v>20081.720000001711</v>
      </c>
      <c r="CX127" s="116"/>
    </row>
    <row r="128" spans="1:102">
      <c r="A128" s="238">
        <v>107929</v>
      </c>
      <c r="B128" s="60">
        <v>929</v>
      </c>
      <c r="C128" s="60" t="s">
        <v>415</v>
      </c>
      <c r="D128" s="128">
        <f>SUMIF('900-958'!$1:$1,D$3,'900-958'!10:10)</f>
        <v>-186165.41</v>
      </c>
      <c r="E128" s="128">
        <f>SUMIF('900-958'!$1:$1,E$3,'900-958'!10:10)</f>
        <v>-32534</v>
      </c>
      <c r="F128" s="128">
        <f>SUMIF('900-958'!$1:$1,F$3,'900-958'!10:10)</f>
        <v>0</v>
      </c>
      <c r="G128" s="128">
        <f>SUMIF('900-958'!$1:$1,G$3,'900-958'!10:10)</f>
        <v>-3091.45</v>
      </c>
      <c r="H128" s="128">
        <f>SUMIF('900-958'!$1:$1,H$3,'900-958'!10:10)</f>
        <v>0</v>
      </c>
      <c r="I128" s="128">
        <f>SUMIF('900-958'!$1:$1,I$3,'900-958'!10:10)</f>
        <v>0</v>
      </c>
      <c r="J128" s="128">
        <f>SUMIF('900-958'!$1:$1,J$3,'900-958'!10:10)</f>
        <v>0</v>
      </c>
      <c r="K128" s="128">
        <f>SUMIF('900-958'!$1:$1,K$3,'900-958'!10:10)</f>
        <v>-2390007.81</v>
      </c>
      <c r="L128" s="128">
        <f>SUMIF('900-958'!$1:$1,L$3,'900-958'!10:10)</f>
        <v>0</v>
      </c>
      <c r="M128" s="128">
        <f>SUMIF('900-958'!$1:$1,M$3,'900-958'!10:10)</f>
        <v>-572613</v>
      </c>
      <c r="N128" s="128">
        <f>SUMIF('900-958'!$1:$1,N$3,'900-958'!10:10)</f>
        <v>0</v>
      </c>
      <c r="O128" s="128">
        <f>SUMIF('900-958'!$1:$1,O$3,'900-958'!10:10)</f>
        <v>-286140.59999999998</v>
      </c>
      <c r="P128" s="128">
        <f>SUMIF('900-958'!$1:$1,P$3,'900-958'!10:10)</f>
        <v>-72281.290000000008</v>
      </c>
      <c r="Q128" s="128">
        <f>SUMIF('900-958'!$1:$1,Q$3,'900-958'!10:10)</f>
        <v>-53645</v>
      </c>
      <c r="R128" s="128">
        <f>SUMIF('900-958'!$1:$1,R$3,'900-958'!10:10)</f>
        <v>-1485</v>
      </c>
      <c r="S128" s="128">
        <f>SUMIF('900-958'!$1:$1,S$3,'900-958'!10:10)</f>
        <v>-48110.86</v>
      </c>
      <c r="T128" s="128">
        <f>SUMIF('900-958'!$1:$1,T$3,'900-958'!10:10)</f>
        <v>145.10000000000002</v>
      </c>
      <c r="U128" s="128">
        <f>SUMIF('900-958'!$1:$1,U$3,'900-958'!10:10)</f>
        <v>0</v>
      </c>
      <c r="V128" s="128">
        <f>SUMIF('900-958'!$1:$1,V$3,'900-958'!10:10)</f>
        <v>0</v>
      </c>
      <c r="W128" s="128">
        <f>SUMIF('900-958'!$1:$1,W$3,'900-958'!10:10)</f>
        <v>-26417.900000000023</v>
      </c>
      <c r="X128" s="128">
        <f>SUMIF('900-958'!$1:$1,X$3,'900-958'!10:10)</f>
        <v>-11648.579999999998</v>
      </c>
      <c r="Y128" s="164">
        <f>SUMIF('900-958'!$1:$1,Y$3,'900-958'!10:10)</f>
        <v>0</v>
      </c>
      <c r="Z128" s="128">
        <f>SUMIF('900-958'!$1:$1,Z$3,'900-958'!10:10)</f>
        <v>0</v>
      </c>
      <c r="AA128" s="128">
        <f>SUMIF('900-958'!$1:$1,AA$3,'900-958'!10:10)</f>
        <v>0</v>
      </c>
      <c r="AB128" s="128">
        <f>SUMIF('900-958'!$1:$1,AB$3,'900-958'!10:10)</f>
        <v>-59.279999999999994</v>
      </c>
      <c r="AC128" s="314">
        <f>SUMIF('900-958'!$1:$1,AC$3,'900-958'!10:10)</f>
        <v>0</v>
      </c>
      <c r="AD128" s="314">
        <f>SUMIF('900-958'!$1:$1,AD$3,'900-958'!10:10)</f>
        <v>0</v>
      </c>
      <c r="AE128" s="314">
        <f>SUMIF('900-958'!$1:$1,AE$3,'900-958'!10:10)</f>
        <v>0</v>
      </c>
      <c r="AF128" s="314">
        <f>SUMIF('900-958'!$1:$1,AF$3,'900-958'!10:10)</f>
        <v>0</v>
      </c>
      <c r="AG128" s="128">
        <f>SUMIF('900-958'!$1:$1,AG$3,'900-958'!10:10)</f>
        <v>1481318.46</v>
      </c>
      <c r="AH128" s="128">
        <f>SUMIF('900-958'!$1:$1,AH$3,'900-958'!10:10)</f>
        <v>349.28000000000003</v>
      </c>
      <c r="AI128" s="128">
        <f>SUMIF('900-958'!$1:$1,AI$3,'900-958'!10:10)</f>
        <v>856381.69</v>
      </c>
      <c r="AJ128" s="128">
        <f>SUMIF('900-958'!$1:$1,AJ$3,'900-958'!10:10)</f>
        <v>62454.500000000007</v>
      </c>
      <c r="AK128" s="128">
        <f>SUMIF('900-958'!$1:$1,AK$3,'900-958'!10:10)</f>
        <v>136687.25999999998</v>
      </c>
      <c r="AL128" s="128">
        <f>SUMIF('900-958'!$1:$1,AL$3,'900-958'!10:10)</f>
        <v>0</v>
      </c>
      <c r="AM128" s="128">
        <f>SUMIF('900-958'!$1:$1,AM$3,'900-958'!10:10)</f>
        <v>77957</v>
      </c>
      <c r="AN128" s="128">
        <f>SUMIF('900-958'!$1:$1,AN$3,'900-958'!10:10)</f>
        <v>260.75</v>
      </c>
      <c r="AO128" s="128">
        <f>SUMIF('900-958'!$1:$1,AO$3,'900-958'!10:10)</f>
        <v>8381.0400000000009</v>
      </c>
      <c r="AP128" s="128">
        <f>SUMIF('900-958'!$1:$1,AP$3,'900-958'!10:10)</f>
        <v>1271.8499999999999</v>
      </c>
      <c r="AQ128" s="128">
        <f>SUMIF('900-958'!$1:$1,AQ$3,'900-958'!10:10)</f>
        <v>0</v>
      </c>
      <c r="AR128" s="128">
        <f>SUMIF('900-958'!$1:$1,AR$3,'900-958'!10:10)</f>
        <v>17854.179999999997</v>
      </c>
      <c r="AS128" s="128">
        <f>SUMIF('900-958'!$1:$1,AS$3,'900-958'!10:10)</f>
        <v>4391.0599999999995</v>
      </c>
      <c r="AT128" s="128">
        <f>SUMIF('900-958'!$1:$1,AT$3,'900-958'!10:10)</f>
        <v>42737.55</v>
      </c>
      <c r="AU128" s="128">
        <f>SUMIF('900-958'!$1:$1,AU$3,'900-958'!10:10)</f>
        <v>10542.11</v>
      </c>
      <c r="AV128" s="128">
        <f>SUMIF('900-958'!$1:$1,AV$3,'900-958'!10:10)</f>
        <v>38918.44</v>
      </c>
      <c r="AW128" s="128">
        <f>SUMIF('900-958'!$1:$1,AW$3,'900-958'!10:10)</f>
        <v>7138.15</v>
      </c>
      <c r="AX128" s="128">
        <f>SUMIF('900-958'!$1:$1,AX$3,'900-958'!10:10)</f>
        <v>11102.940000000002</v>
      </c>
      <c r="AY128" s="128">
        <f>SUMIF('900-958'!$1:$1,AY$3,'900-958'!10:10)</f>
        <v>78013.22000000003</v>
      </c>
      <c r="AZ128" s="314">
        <f>SUMIF('900-958'!$1:$1,AZ$3,'900-958'!10:10)</f>
        <v>0</v>
      </c>
      <c r="BA128" s="128">
        <f>SUMIF('900-958'!$1:$1,BA$3,'900-958'!10:10)</f>
        <v>5330.5700000000006</v>
      </c>
      <c r="BB128" s="128">
        <f>SUMIF('900-958'!$1:$1,BB$3,'900-958'!10:10)</f>
        <v>0</v>
      </c>
      <c r="BC128" s="128">
        <f>SUMIF('900-958'!$1:$1,BC$3,'900-958'!10:10)</f>
        <v>7734.42</v>
      </c>
      <c r="BD128" s="128">
        <f>SUMIF('900-958'!$1:$1,BD$3,'900-958'!10:10)</f>
        <v>19604.52</v>
      </c>
      <c r="BE128" s="128">
        <f>SUMIF('900-958'!$1:$1,BE$3,'900-958'!10:10)</f>
        <v>8210.2000000000007</v>
      </c>
      <c r="BF128" s="128">
        <f>SUMIF('900-958'!$1:$1,BF$3,'900-958'!10:10)</f>
        <v>992.62</v>
      </c>
      <c r="BG128" s="128">
        <f>SUMIF('900-958'!$1:$1,BG$3,'900-958'!10:10)</f>
        <v>8728</v>
      </c>
      <c r="BH128" s="128">
        <f>SUMIF('900-958'!$1:$1,BH$3,'900-958'!10:10)</f>
        <v>0</v>
      </c>
      <c r="BI128" s="128">
        <f>SUMIF('900-958'!$1:$1,BI$3,'900-958'!10:10)</f>
        <v>6171.0800000000008</v>
      </c>
      <c r="BJ128" s="128">
        <f>SUMIF('900-958'!$1:$1,BJ$3,'900-958'!10:10)</f>
        <v>24111.120000000003</v>
      </c>
      <c r="BK128" s="128">
        <f>SUMIF('900-958'!$1:$1,BK$3,'900-958'!10:10)</f>
        <v>6013.3300000000008</v>
      </c>
      <c r="BL128" s="128">
        <f>SUMIF('900-958'!$1:$1,BL$3,'900-958'!10:10)</f>
        <v>100369.20000000003</v>
      </c>
      <c r="BM128" s="128">
        <f>SUMIF('900-958'!$1:$1,BM$3,'900-958'!10:10)</f>
        <v>8472</v>
      </c>
      <c r="BN128" s="128">
        <f>SUMIF('900-958'!$1:$1,BN$3,'900-958'!10:10)</f>
        <v>108929.7</v>
      </c>
      <c r="BO128" s="128">
        <f>SUMIF('900-958'!$1:$1,BO$3,'900-958'!10:10)</f>
        <v>42370.85</v>
      </c>
      <c r="BP128" s="128">
        <f>SUMIF('900-958'!$1:$1,BP$3,'900-958'!10:10)</f>
        <v>0</v>
      </c>
      <c r="BQ128" s="128">
        <f>SUMIF('900-958'!$1:$1,BQ$3,'900-958'!10:10)</f>
        <v>0</v>
      </c>
      <c r="BR128" s="128">
        <f>SUMIF('900-958'!$1:$1,BR$3,'900-958'!10:10)</f>
        <v>0</v>
      </c>
      <c r="BS128" s="128">
        <f>SUMIF('900-958'!$1:$1,BS$3,'900-958'!10:10)</f>
        <v>0</v>
      </c>
      <c r="BT128" s="128">
        <f>SUMIF('900-958'!$1:$1,BT$3,'900-958'!10:10)</f>
        <v>78.239999999999995</v>
      </c>
      <c r="BU128" s="128">
        <f>SUMIF('900-958'!$1:$1,BU$3,'900-958'!10:10)</f>
        <v>-8348.1299999999992</v>
      </c>
      <c r="BV128" s="128">
        <f>SUMIF('900-958'!$1:$1,BV$3,'900-958'!10:10)</f>
        <v>0</v>
      </c>
      <c r="BW128" s="128">
        <f>SUMIF('900-958'!$1:$1,BW$3,'900-958'!10:10)</f>
        <v>0</v>
      </c>
      <c r="BX128" s="128">
        <f>SUMIF('900-958'!$1:$1,BX$3,'900-958'!10:10)</f>
        <v>0</v>
      </c>
      <c r="BY128" s="128">
        <f>SUMIF('900-958'!$1:$1,BY$3,'900-958'!10:10)</f>
        <v>7493</v>
      </c>
      <c r="BZ128" s="128">
        <f>SUMIF('900-958'!$1:$1,BZ$3,'900-958'!10:10)</f>
        <v>1925.3700000000001</v>
      </c>
      <c r="CA128" s="314">
        <f>SUMIF('900-958'!$1:$1,CA$3,'900-958'!10:10)</f>
        <v>0</v>
      </c>
      <c r="CB128" s="128">
        <f>SUMIF('900-958'!$1:$1,CB$3,'900-958'!10:10)</f>
        <v>1478.26</v>
      </c>
      <c r="CC128" s="128">
        <f>SUMIF('900-958'!$1:$1,CC$3,'900-958'!10:10)</f>
        <v>0</v>
      </c>
      <c r="CD128" s="128">
        <f>SUMIF('900-958'!$1:$1,CD$3,'900-958'!10:10)</f>
        <v>0</v>
      </c>
      <c r="CE128" s="128">
        <f>SUMIF('900-958'!$1:$1,CE$3,'900-958'!10:10)</f>
        <v>0</v>
      </c>
      <c r="CF128" s="128">
        <f>SUMIF('900-958'!$1:$1,CF$3,'900-958'!10:10)</f>
        <v>1001.78</v>
      </c>
      <c r="CG128" s="257">
        <f t="shared" si="45"/>
        <v>-497629.46999999974</v>
      </c>
      <c r="CJ128" s="122"/>
      <c r="CK128" s="169">
        <f>INDEX(SAP!C:C,MATCH('Actuals mapped to CFR'!A128,SAP!H:H,FALSE),1)</f>
        <v>-497629.47</v>
      </c>
      <c r="CL128" s="59">
        <f t="shared" si="33"/>
        <v>0</v>
      </c>
      <c r="CN128" s="81">
        <f t="shared" si="47"/>
        <v>3462264.2199999997</v>
      </c>
      <c r="CO128" s="81">
        <f t="shared" si="48"/>
        <v>3182875.3300000005</v>
      </c>
      <c r="CP128" s="166">
        <f>VLOOKUP(B128,'2526 GBP Data input'!$A$4:$CA$230,38,FALSE)</f>
        <v>3094484</v>
      </c>
      <c r="CQ128" s="166">
        <f>VLOOKUP(B128,'2526 GBP Data input'!$A$4:$CA$230,73,FALSE)</f>
        <v>32098</v>
      </c>
      <c r="CR128" s="89">
        <f t="shared" si="39"/>
        <v>367780.21999999974</v>
      </c>
      <c r="CS128" s="83">
        <f t="shared" si="40"/>
        <v>99.161172970278542</v>
      </c>
      <c r="CT128" s="82">
        <f t="shared" si="51"/>
        <v>465554.29999999935</v>
      </c>
      <c r="CU128" s="82">
        <f t="shared" si="52"/>
        <v>1019.429999999998</v>
      </c>
      <c r="CV128" s="86">
        <f t="shared" si="44"/>
        <v>466573.72999999934</v>
      </c>
      <c r="CX128" s="116"/>
    </row>
    <row r="129" spans="1:102">
      <c r="A129" s="238">
        <v>107933</v>
      </c>
      <c r="B129" s="60">
        <v>933</v>
      </c>
      <c r="C129" s="60" t="s">
        <v>223</v>
      </c>
      <c r="D129" s="128">
        <f>SUMIF('900-958'!$1:$1,D$3,'900-958'!11:11)</f>
        <v>-185083.48</v>
      </c>
      <c r="E129" s="128">
        <f>SUMIF('900-958'!$1:$1,E$3,'900-958'!11:11)</f>
        <v>-22089.3</v>
      </c>
      <c r="F129" s="128">
        <f>SUMIF('900-958'!$1:$1,F$3,'900-958'!11:11)</f>
        <v>0</v>
      </c>
      <c r="G129" s="128">
        <f>SUMIF('900-958'!$1:$1,G$3,'900-958'!11:11)</f>
        <v>-16946.07</v>
      </c>
      <c r="H129" s="128">
        <f>SUMIF('900-958'!$1:$1,H$3,'900-958'!11:11)</f>
        <v>0</v>
      </c>
      <c r="I129" s="128">
        <f>SUMIF('900-958'!$1:$1,I$3,'900-958'!11:11)</f>
        <v>0</v>
      </c>
      <c r="J129" s="128">
        <f>SUMIF('900-958'!$1:$1,J$3,'900-958'!11:11)</f>
        <v>0</v>
      </c>
      <c r="K129" s="128">
        <f>SUMIF('900-958'!$1:$1,K$3,'900-958'!11:11)</f>
        <v>-1279706.29</v>
      </c>
      <c r="L129" s="128">
        <f>SUMIF('900-958'!$1:$1,L$3,'900-958'!11:11)</f>
        <v>0</v>
      </c>
      <c r="M129" s="128">
        <f>SUMIF('900-958'!$1:$1,M$3,'900-958'!11:11)</f>
        <v>-50165</v>
      </c>
      <c r="N129" s="128">
        <f>SUMIF('900-958'!$1:$1,N$3,'900-958'!11:11)</f>
        <v>0</v>
      </c>
      <c r="O129" s="128">
        <f>SUMIF('900-958'!$1:$1,O$3,'900-958'!11:11)</f>
        <v>-61265</v>
      </c>
      <c r="P129" s="128">
        <f>SUMIF('900-958'!$1:$1,P$3,'900-958'!11:11)</f>
        <v>-108015</v>
      </c>
      <c r="Q129" s="128">
        <f>SUMIF('900-958'!$1:$1,Q$3,'900-958'!11:11)</f>
        <v>0</v>
      </c>
      <c r="R129" s="128">
        <f>SUMIF('900-958'!$1:$1,R$3,'900-958'!11:11)</f>
        <v>0</v>
      </c>
      <c r="S129" s="128">
        <f>SUMIF('900-958'!$1:$1,S$3,'900-958'!11:11)</f>
        <v>-14610.21</v>
      </c>
      <c r="T129" s="128">
        <f>SUMIF('900-958'!$1:$1,T$3,'900-958'!11:11)</f>
        <v>0</v>
      </c>
      <c r="U129" s="128">
        <f>SUMIF('900-958'!$1:$1,U$3,'900-958'!11:11)</f>
        <v>0</v>
      </c>
      <c r="V129" s="128">
        <f>SUMIF('900-958'!$1:$1,V$3,'900-958'!11:11)</f>
        <v>0</v>
      </c>
      <c r="W129" s="128">
        <f>SUMIF('900-958'!$1:$1,W$3,'900-958'!11:11)</f>
        <v>-4900.7</v>
      </c>
      <c r="X129" s="128">
        <f>SUMIF('900-958'!$1:$1,X$3,'900-958'!11:11)</f>
        <v>0</v>
      </c>
      <c r="Y129" s="164">
        <f>SUMIF('900-958'!$1:$1,Y$3,'900-958'!11:11)</f>
        <v>0</v>
      </c>
      <c r="Z129" s="128">
        <f>SUMIF('900-958'!$1:$1,Z$3,'900-958'!11:11)</f>
        <v>0</v>
      </c>
      <c r="AA129" s="128">
        <f>SUMIF('900-958'!$1:$1,AA$3,'900-958'!11:11)</f>
        <v>0</v>
      </c>
      <c r="AB129" s="128">
        <f>SUMIF('900-958'!$1:$1,AB$3,'900-958'!11:11)</f>
        <v>0</v>
      </c>
      <c r="AC129" s="314">
        <f>SUMIF('900-958'!$1:$1,AC$3,'900-958'!11:11)</f>
        <v>0</v>
      </c>
      <c r="AD129" s="314">
        <f>SUMIF('900-958'!$1:$1,AD$3,'900-958'!11:11)</f>
        <v>0</v>
      </c>
      <c r="AE129" s="314">
        <f>SUMIF('900-958'!$1:$1,AE$3,'900-958'!11:11)</f>
        <v>0</v>
      </c>
      <c r="AF129" s="314">
        <f>SUMIF('900-958'!$1:$1,AF$3,'900-958'!11:11)</f>
        <v>0</v>
      </c>
      <c r="AG129" s="128">
        <f>SUMIF('900-958'!$1:$1,AG$3,'900-958'!11:11)</f>
        <v>738352.8600000001</v>
      </c>
      <c r="AH129" s="128">
        <f>SUMIF('900-958'!$1:$1,AH$3,'900-958'!11:11)</f>
        <v>23629.06</v>
      </c>
      <c r="AI129" s="128">
        <f>SUMIF('900-958'!$1:$1,AI$3,'900-958'!11:11)</f>
        <v>340562.64999999997</v>
      </c>
      <c r="AJ129" s="128">
        <f>SUMIF('900-958'!$1:$1,AJ$3,'900-958'!11:11)</f>
        <v>65055.070000000014</v>
      </c>
      <c r="AK129" s="128">
        <f>SUMIF('900-958'!$1:$1,AK$3,'900-958'!11:11)</f>
        <v>60543.55</v>
      </c>
      <c r="AL129" s="128">
        <f>SUMIF('900-958'!$1:$1,AL$3,'900-958'!11:11)</f>
        <v>0</v>
      </c>
      <c r="AM129" s="128">
        <f>SUMIF('900-958'!$1:$1,AM$3,'900-958'!11:11)</f>
        <v>40489.08</v>
      </c>
      <c r="AN129" s="128">
        <f>SUMIF('900-958'!$1:$1,AN$3,'900-958'!11:11)</f>
        <v>4488</v>
      </c>
      <c r="AO129" s="128">
        <f>SUMIF('900-958'!$1:$1,AO$3,'900-958'!11:11)</f>
        <v>7360.5</v>
      </c>
      <c r="AP129" s="128">
        <f>SUMIF('900-958'!$1:$1,AP$3,'900-958'!11:11)</f>
        <v>719.8</v>
      </c>
      <c r="AQ129" s="128">
        <f>SUMIF('900-958'!$1:$1,AQ$3,'900-958'!11:11)</f>
        <v>0</v>
      </c>
      <c r="AR129" s="128">
        <f>SUMIF('900-958'!$1:$1,AR$3,'900-958'!11:11)</f>
        <v>28315.039999999997</v>
      </c>
      <c r="AS129" s="128">
        <f>SUMIF('900-958'!$1:$1,AS$3,'900-958'!11:11)</f>
        <v>2512.6999999999998</v>
      </c>
      <c r="AT129" s="128">
        <f>SUMIF('900-958'!$1:$1,AT$3,'900-958'!11:11)</f>
        <v>2678.3100000000009</v>
      </c>
      <c r="AU129" s="128">
        <f>SUMIF('900-958'!$1:$1,AU$3,'900-958'!11:11)</f>
        <v>1023.2800000000001</v>
      </c>
      <c r="AV129" s="128">
        <f>SUMIF('900-958'!$1:$1,AV$3,'900-958'!11:11)</f>
        <v>16020.189999999999</v>
      </c>
      <c r="AW129" s="128">
        <f>SUMIF('900-958'!$1:$1,AW$3,'900-958'!11:11)</f>
        <v>0</v>
      </c>
      <c r="AX129" s="128">
        <f>SUMIF('900-958'!$1:$1,AX$3,'900-958'!11:11)</f>
        <v>1430.6399999999999</v>
      </c>
      <c r="AY129" s="128">
        <f>SUMIF('900-958'!$1:$1,AY$3,'900-958'!11:11)</f>
        <v>38190.31</v>
      </c>
      <c r="AZ129" s="314">
        <f>SUMIF('900-958'!$1:$1,AZ$3,'900-958'!11:11)</f>
        <v>0</v>
      </c>
      <c r="BA129" s="128">
        <f>SUMIF('900-958'!$1:$1,BA$3,'900-958'!11:11)</f>
        <v>3594.28</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2478</v>
      </c>
      <c r="BH129" s="128">
        <f>SUMIF('900-958'!$1:$1,BH$3,'900-958'!11:11)</f>
        <v>0</v>
      </c>
      <c r="BI129" s="128">
        <f>SUMIF('900-958'!$1:$1,BI$3,'900-958'!11:11)</f>
        <v>6199.6299999999992</v>
      </c>
      <c r="BJ129" s="128">
        <f>SUMIF('900-958'!$1:$1,BJ$3,'900-958'!11:11)</f>
        <v>12739.279999999999</v>
      </c>
      <c r="BK129" s="128">
        <f>SUMIF('900-958'!$1:$1,BK$3,'900-958'!11:11)</f>
        <v>0</v>
      </c>
      <c r="BL129" s="128">
        <f>SUMIF('900-958'!$1:$1,BL$3,'900-958'!11:11)</f>
        <v>83338.38</v>
      </c>
      <c r="BM129" s="128">
        <f>SUMIF('900-958'!$1:$1,BM$3,'900-958'!11:11)</f>
        <v>6621</v>
      </c>
      <c r="BN129" s="128">
        <f>SUMIF('900-958'!$1:$1,BN$3,'900-958'!11:11)</f>
        <v>17260.699999999997</v>
      </c>
      <c r="BO129" s="128">
        <f>SUMIF('900-958'!$1:$1,BO$3,'900-958'!11:11)</f>
        <v>24469.340000000004</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-6829.38</v>
      </c>
      <c r="BV129" s="128">
        <f>SUMIF('900-958'!$1:$1,BV$3,'900-958'!11:11)</f>
        <v>0</v>
      </c>
      <c r="BW129" s="128">
        <f>SUMIF('900-958'!$1:$1,BW$3,'900-958'!11:11)</f>
        <v>0</v>
      </c>
      <c r="BX129" s="128">
        <f>SUMIF('900-958'!$1:$1,BX$3,'900-958'!11:11)</f>
        <v>0</v>
      </c>
      <c r="BY129" s="128">
        <f>SUMIF('900-958'!$1:$1,BY$3,'900-958'!11:11)</f>
        <v>11974.15</v>
      </c>
      <c r="BZ129" s="128">
        <f>SUMIF('900-958'!$1:$1,BZ$3,'900-958'!11:11)</f>
        <v>0</v>
      </c>
      <c r="CA129" s="314">
        <f>SUMIF('900-958'!$1:$1,CA$3,'900-958'!11:11)</f>
        <v>0</v>
      </c>
      <c r="CB129" s="128">
        <f>SUMIF('900-958'!$1:$1,CB$3,'900-958'!11:11)</f>
        <v>1560</v>
      </c>
      <c r="CC129" s="128">
        <f>SUMIF('900-958'!$1:$1,CC$3,'900-958'!11:11)</f>
        <v>0</v>
      </c>
      <c r="CD129" s="128">
        <f>SUMIF('900-958'!$1:$1,CD$3,'900-958'!11:11)</f>
        <v>0</v>
      </c>
      <c r="CE129" s="128">
        <f>SUMIF('900-958'!$1:$1,CE$3,'900-958'!11:11)</f>
        <v>0</v>
      </c>
      <c r="CF129" s="128">
        <f>SUMIF('900-958'!$1:$1,CF$3,'900-958'!11:11)</f>
        <v>0</v>
      </c>
      <c r="CG129" s="257">
        <f t="shared" si="45"/>
        <v>-208004.62999999983</v>
      </c>
      <c r="CJ129" s="122"/>
      <c r="CK129" s="169">
        <f>INDEX(SAP!C:C,MATCH('Actuals mapped to CFR'!A129,SAP!H:H,FALSE),1)</f>
        <v>-208004.63</v>
      </c>
      <c r="CL129" s="59">
        <f t="shared" si="33"/>
        <v>0</v>
      </c>
      <c r="CN129" s="81">
        <f t="shared" si="47"/>
        <v>1518662.2</v>
      </c>
      <c r="CO129" s="81">
        <f t="shared" si="48"/>
        <v>1528071.6500000004</v>
      </c>
      <c r="CP129" s="166">
        <f>VLOOKUP(B129,'2526 GBP Data input'!$A$4:$CA$230,38,FALSE)</f>
        <v>1446659</v>
      </c>
      <c r="CQ129" s="166">
        <f>VLOOKUP(B129,'2526 GBP Data input'!$A$4:$CA$230,73,FALSE)</f>
        <v>24184</v>
      </c>
      <c r="CR129" s="89">
        <f t="shared" si="39"/>
        <v>72003.199999999953</v>
      </c>
      <c r="CS129" s="83">
        <f t="shared" si="40"/>
        <v>63.185231971551453</v>
      </c>
      <c r="CT129" s="82">
        <f t="shared" si="51"/>
        <v>175674.02999999956</v>
      </c>
      <c r="CU129" s="82">
        <f t="shared" si="52"/>
        <v>11801.300000000001</v>
      </c>
      <c r="CV129" s="86">
        <f t="shared" si="44"/>
        <v>187475.32999999955</v>
      </c>
      <c r="CX129" s="116"/>
    </row>
    <row r="130" spans="1:102">
      <c r="A130" s="238">
        <v>107936</v>
      </c>
      <c r="B130" s="60">
        <v>936</v>
      </c>
      <c r="C130" s="60" t="s">
        <v>260</v>
      </c>
      <c r="D130" s="128">
        <f>SUMIF('900-958'!$1:$1,D$3,'900-958'!12:12)</f>
        <v>0</v>
      </c>
      <c r="E130" s="128">
        <f>SUMIF('900-958'!$1:$1,E$3,'900-958'!12:12)</f>
        <v>-7610.5</v>
      </c>
      <c r="F130" s="128">
        <f>SUMIF('900-958'!$1:$1,F$3,'900-958'!12:12)</f>
        <v>43155.13</v>
      </c>
      <c r="G130" s="128">
        <f>SUMIF('900-958'!$1:$1,G$3,'900-958'!12:12)</f>
        <v>-3767.06</v>
      </c>
      <c r="H130" s="128">
        <f>SUMIF('900-958'!$1:$1,H$3,'900-958'!12:12)</f>
        <v>0</v>
      </c>
      <c r="I130" s="128">
        <f>SUMIF('900-958'!$1:$1,I$3,'900-958'!12:12)</f>
        <v>0</v>
      </c>
      <c r="J130" s="128">
        <f>SUMIF('900-958'!$1:$1,J$3,'900-958'!12:12)</f>
        <v>0</v>
      </c>
      <c r="K130" s="128">
        <f>SUMIF('900-958'!$1:$1,K$3,'900-958'!12:12)</f>
        <v>-1224520.6200000001</v>
      </c>
      <c r="L130" s="128">
        <f>SUMIF('900-958'!$1:$1,L$3,'900-958'!12:12)</f>
        <v>0</v>
      </c>
      <c r="M130" s="128">
        <f>SUMIF('900-958'!$1:$1,M$3,'900-958'!12:12)</f>
        <v>-185868</v>
      </c>
      <c r="N130" s="128">
        <f>SUMIF('900-958'!$1:$1,N$3,'900-958'!12:12)</f>
        <v>0</v>
      </c>
      <c r="O130" s="128">
        <f>SUMIF('900-958'!$1:$1,O$3,'900-958'!12:12)</f>
        <v>-69900</v>
      </c>
      <c r="P130" s="128">
        <f>SUMIF('900-958'!$1:$1,P$3,'900-958'!12:12)</f>
        <v>-47573</v>
      </c>
      <c r="Q130" s="128">
        <f>SUMIF('900-958'!$1:$1,Q$3,'900-958'!12:12)</f>
        <v>-7270</v>
      </c>
      <c r="R130" s="128">
        <f>SUMIF('900-958'!$1:$1,R$3,'900-958'!12:12)</f>
        <v>0</v>
      </c>
      <c r="S130" s="128">
        <f>SUMIF('900-958'!$1:$1,S$3,'900-958'!12:12)</f>
        <v>-51245.240000000005</v>
      </c>
      <c r="T130" s="128">
        <f>SUMIF('900-958'!$1:$1,T$3,'900-958'!12:12)</f>
        <v>-17066.050000000003</v>
      </c>
      <c r="U130" s="128">
        <f>SUMIF('900-958'!$1:$1,U$3,'900-958'!12:12)</f>
        <v>-68</v>
      </c>
      <c r="V130" s="128">
        <f>SUMIF('900-958'!$1:$1,V$3,'900-958'!12:12)</f>
        <v>-684</v>
      </c>
      <c r="W130" s="128">
        <f>SUMIF('900-958'!$1:$1,W$3,'900-958'!12:12)</f>
        <v>-32960.449999999997</v>
      </c>
      <c r="X130" s="128">
        <f>SUMIF('900-958'!$1:$1,X$3,'900-958'!12:12)</f>
        <v>-3051.2700000000004</v>
      </c>
      <c r="Y130" s="164">
        <f>SUMIF('900-958'!$1:$1,Y$3,'900-958'!12:12)</f>
        <v>0</v>
      </c>
      <c r="Z130" s="128">
        <f>SUMIF('900-958'!$1:$1,Z$3,'900-958'!12:12)</f>
        <v>0</v>
      </c>
      <c r="AA130" s="128">
        <f>SUMIF('900-958'!$1:$1,AA$3,'900-958'!12:12)</f>
        <v>0</v>
      </c>
      <c r="AB130" s="128">
        <f>SUMIF('900-958'!$1:$1,AB$3,'900-958'!12:12)</f>
        <v>0</v>
      </c>
      <c r="AC130" s="314">
        <f>SUMIF('900-958'!$1:$1,AC$3,'900-958'!12:12)</f>
        <v>0</v>
      </c>
      <c r="AD130" s="314">
        <f>SUMIF('900-958'!$1:$1,AD$3,'900-958'!12:12)</f>
        <v>0</v>
      </c>
      <c r="AE130" s="314">
        <f>SUMIF('900-958'!$1:$1,AE$3,'900-958'!12:12)</f>
        <v>0</v>
      </c>
      <c r="AF130" s="314">
        <f>SUMIF('900-958'!$1:$1,AF$3,'900-958'!12:12)</f>
        <v>0</v>
      </c>
      <c r="AG130" s="128">
        <f>SUMIF('900-958'!$1:$1,AG$3,'900-958'!12:12)</f>
        <v>639191.99</v>
      </c>
      <c r="AH130" s="128">
        <f>SUMIF('900-958'!$1:$1,AH$3,'900-958'!12:12)</f>
        <v>21788.210000000003</v>
      </c>
      <c r="AI130" s="128">
        <f>SUMIF('900-958'!$1:$1,AI$3,'900-958'!12:12)</f>
        <v>437428.22</v>
      </c>
      <c r="AJ130" s="128">
        <f>SUMIF('900-958'!$1:$1,AJ$3,'900-958'!12:12)</f>
        <v>27578.68</v>
      </c>
      <c r="AK130" s="128">
        <f>SUMIF('900-958'!$1:$1,AK$3,'900-958'!12:12)</f>
        <v>82001.919999999998</v>
      </c>
      <c r="AL130" s="128">
        <f>SUMIF('900-958'!$1:$1,AL$3,'900-958'!12:12)</f>
        <v>0</v>
      </c>
      <c r="AM130" s="128">
        <f>SUMIF('900-958'!$1:$1,AM$3,'900-958'!12:12)</f>
        <v>49619.6</v>
      </c>
      <c r="AN130" s="128">
        <f>SUMIF('900-958'!$1:$1,AN$3,'900-958'!12:12)</f>
        <v>4908.78</v>
      </c>
      <c r="AO130" s="128">
        <f>SUMIF('900-958'!$1:$1,AO$3,'900-958'!12:12)</f>
        <v>2583.25</v>
      </c>
      <c r="AP130" s="128">
        <f>SUMIF('900-958'!$1:$1,AP$3,'900-958'!12:12)</f>
        <v>646.6</v>
      </c>
      <c r="AQ130" s="128">
        <f>SUMIF('900-958'!$1:$1,AQ$3,'900-958'!12:12)</f>
        <v>8623.9</v>
      </c>
      <c r="AR130" s="128">
        <f>SUMIF('900-958'!$1:$1,AR$3,'900-958'!12:12)</f>
        <v>7099.1</v>
      </c>
      <c r="AS130" s="128">
        <f>SUMIF('900-958'!$1:$1,AS$3,'900-958'!12:12)</f>
        <v>6236.4</v>
      </c>
      <c r="AT130" s="128">
        <f>SUMIF('900-958'!$1:$1,AT$3,'900-958'!12:12)</f>
        <v>22372.440000000006</v>
      </c>
      <c r="AU130" s="128">
        <f>SUMIF('900-958'!$1:$1,AU$3,'900-958'!12:12)</f>
        <v>4292.4299999999994</v>
      </c>
      <c r="AV130" s="128">
        <f>SUMIF('900-958'!$1:$1,AV$3,'900-958'!12:12)</f>
        <v>13422.68</v>
      </c>
      <c r="AW130" s="128">
        <f>SUMIF('900-958'!$1:$1,AW$3,'900-958'!12:12)</f>
        <v>12556.25</v>
      </c>
      <c r="AX130" s="128">
        <f>SUMIF('900-958'!$1:$1,AX$3,'900-958'!12:12)</f>
        <v>3169.8</v>
      </c>
      <c r="AY130" s="128">
        <f>SUMIF('900-958'!$1:$1,AY$3,'900-958'!12:12)</f>
        <v>77698.689999999973</v>
      </c>
      <c r="AZ130" s="314">
        <f>SUMIF('900-958'!$1:$1,AZ$3,'900-958'!12:12)</f>
        <v>0</v>
      </c>
      <c r="BA130" s="128">
        <f>SUMIF('900-958'!$1:$1,BA$3,'900-958'!12:12)</f>
        <v>4964.68</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5484.9</v>
      </c>
      <c r="BH130" s="128">
        <f>SUMIF('900-958'!$1:$1,BH$3,'900-958'!12:12)</f>
        <v>0</v>
      </c>
      <c r="BI130" s="128">
        <f>SUMIF('900-958'!$1:$1,BI$3,'900-958'!12:12)</f>
        <v>4083.3300000000004</v>
      </c>
      <c r="BJ130" s="128">
        <f>SUMIF('900-958'!$1:$1,BJ$3,'900-958'!12:12)</f>
        <v>11443.76</v>
      </c>
      <c r="BK130" s="128">
        <f>SUMIF('900-958'!$1:$1,BK$3,'900-958'!12:12)</f>
        <v>0</v>
      </c>
      <c r="BL130" s="128">
        <f>SUMIF('900-958'!$1:$1,BL$3,'900-958'!12:12)</f>
        <v>64550.14</v>
      </c>
      <c r="BM130" s="128">
        <f>SUMIF('900-958'!$1:$1,BM$3,'900-958'!12:12)</f>
        <v>62909.72000000003</v>
      </c>
      <c r="BN130" s="128">
        <f>SUMIF('900-958'!$1:$1,BN$3,'900-958'!12:12)</f>
        <v>734</v>
      </c>
      <c r="BO130" s="128">
        <f>SUMIF('900-958'!$1:$1,BO$3,'900-958'!12:12)</f>
        <v>19747.940000000002</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-6396.25</v>
      </c>
      <c r="BV130" s="128">
        <f>SUMIF('900-958'!$1:$1,BV$3,'900-958'!12:12)</f>
        <v>0</v>
      </c>
      <c r="BW130" s="128">
        <f>SUMIF('900-958'!$1:$1,BW$3,'900-958'!12:12)</f>
        <v>0</v>
      </c>
      <c r="BX130" s="128">
        <f>SUMIF('900-958'!$1:$1,BX$3,'900-958'!12:12)</f>
        <v>0</v>
      </c>
      <c r="BY130" s="128">
        <f>SUMIF('900-958'!$1:$1,BY$3,'900-958'!12:12)</f>
        <v>0</v>
      </c>
      <c r="BZ130" s="128">
        <f>SUMIF('900-958'!$1:$1,BZ$3,'900-958'!12:12)</f>
        <v>0</v>
      </c>
      <c r="CA130" s="314">
        <f>SUMIF('900-958'!$1:$1,CA$3,'900-958'!12:12)</f>
        <v>0</v>
      </c>
      <c r="CB130" s="128">
        <f>SUMIF('900-958'!$1:$1,CB$3,'900-958'!12:12)</f>
        <v>0</v>
      </c>
      <c r="CC130" s="128">
        <f>SUMIF('900-958'!$1:$1,CC$3,'900-958'!12:12)</f>
        <v>0</v>
      </c>
      <c r="CD130" s="128">
        <f>SUMIF('900-958'!$1:$1,CD$3,'900-958'!12:12)</f>
        <v>0</v>
      </c>
      <c r="CE130" s="128">
        <f>SUMIF('900-958'!$1:$1,CE$3,'900-958'!12:12)</f>
        <v>1485</v>
      </c>
      <c r="CF130" s="128">
        <f>SUMIF('900-958'!$1:$1,CF$3,'900-958'!12:12)</f>
        <v>0</v>
      </c>
      <c r="CG130" s="257">
        <f t="shared" si="45"/>
        <v>-18202.900000000183</v>
      </c>
      <c r="CJ130" s="122"/>
      <c r="CK130" s="169">
        <f>INDEX(SAP!C:C,MATCH('Actuals mapped to CFR'!A130,SAP!H:H,FALSE),1)</f>
        <v>-18202.900000000001</v>
      </c>
      <c r="CL130" s="59">
        <f t="shared" si="33"/>
        <v>0</v>
      </c>
      <c r="CN130" s="81">
        <f t="shared" si="47"/>
        <v>1640206.6300000001</v>
      </c>
      <c r="CO130" s="81">
        <f t="shared" si="48"/>
        <v>1595137.4099999995</v>
      </c>
      <c r="CP130" s="166">
        <f>VLOOKUP(B130,'2526 GBP Data input'!$A$4:$CA$230,38,FALSE)</f>
        <v>1516384</v>
      </c>
      <c r="CQ130" s="166">
        <f>VLOOKUP(B130,'2526 GBP Data input'!$A$4:$CA$230,73,FALSE)</f>
        <v>16885</v>
      </c>
      <c r="CR130" s="89">
        <f t="shared" si="39"/>
        <v>123822.63000000012</v>
      </c>
      <c r="CS130" s="83">
        <f t="shared" si="40"/>
        <v>94.470678708913198</v>
      </c>
      <c r="CT130" s="82">
        <f t="shared" si="51"/>
        <v>1914.0900000007823</v>
      </c>
      <c r="CU130" s="82">
        <f t="shared" si="52"/>
        <v>10163.31</v>
      </c>
      <c r="CV130" s="86">
        <f t="shared" si="44"/>
        <v>12077.400000000782</v>
      </c>
      <c r="CX130" s="116"/>
    </row>
    <row r="131" spans="1:102">
      <c r="A131" s="238">
        <v>107937</v>
      </c>
      <c r="B131" s="60">
        <v>937</v>
      </c>
      <c r="C131" s="60" t="s">
        <v>224</v>
      </c>
      <c r="D131" s="128">
        <f>SUMIF('900-958'!$1:$1,D$3,'900-958'!13:13)</f>
        <v>-53385.65</v>
      </c>
      <c r="E131" s="128">
        <f>SUMIF('900-958'!$1:$1,E$3,'900-958'!13:13)</f>
        <v>-2834.53</v>
      </c>
      <c r="F131" s="128">
        <f>SUMIF('900-958'!$1:$1,F$3,'900-958'!13:13)</f>
        <v>0</v>
      </c>
      <c r="G131" s="128">
        <f>SUMIF('900-958'!$1:$1,G$3,'900-958'!13:13)</f>
        <v>-2988.77</v>
      </c>
      <c r="H131" s="128">
        <f>SUMIF('900-958'!$1:$1,H$3,'900-958'!13:13)</f>
        <v>0</v>
      </c>
      <c r="I131" s="128">
        <f>SUMIF('900-958'!$1:$1,I$3,'900-958'!13:13)</f>
        <v>0</v>
      </c>
      <c r="J131" s="128">
        <f>SUMIF('900-958'!$1:$1,J$3,'900-958'!13:13)</f>
        <v>-16018.64</v>
      </c>
      <c r="K131" s="128">
        <f>SUMIF('900-958'!$1:$1,K$3,'900-958'!13:13)</f>
        <v>-1147979.3700000001</v>
      </c>
      <c r="L131" s="128">
        <f>SUMIF('900-958'!$1:$1,L$3,'900-958'!13:13)</f>
        <v>0</v>
      </c>
      <c r="M131" s="128">
        <f>SUMIF('900-958'!$1:$1,M$3,'900-958'!13:13)</f>
        <v>-110337</v>
      </c>
      <c r="N131" s="128">
        <f>SUMIF('900-958'!$1:$1,N$3,'900-958'!13:13)</f>
        <v>0</v>
      </c>
      <c r="O131" s="128">
        <f>SUMIF('900-958'!$1:$1,O$3,'900-958'!13:13)</f>
        <v>-55290</v>
      </c>
      <c r="P131" s="128">
        <f>SUMIF('900-958'!$1:$1,P$3,'900-958'!13:13)</f>
        <v>-45290.86</v>
      </c>
      <c r="Q131" s="128">
        <f>SUMIF('900-958'!$1:$1,Q$3,'900-958'!13:13)</f>
        <v>-1060</v>
      </c>
      <c r="R131" s="128">
        <f>SUMIF('900-958'!$1:$1,R$3,'900-958'!13:13)</f>
        <v>0</v>
      </c>
      <c r="S131" s="128">
        <f>SUMIF('900-958'!$1:$1,S$3,'900-958'!13:13)</f>
        <v>-84813.34</v>
      </c>
      <c r="T131" s="128">
        <f>SUMIF('900-958'!$1:$1,T$3,'900-958'!13:13)</f>
        <v>-956.51</v>
      </c>
      <c r="U131" s="128">
        <f>SUMIF('900-958'!$1:$1,U$3,'900-958'!13:13)</f>
        <v>-2556</v>
      </c>
      <c r="V131" s="128">
        <f>SUMIF('900-958'!$1:$1,V$3,'900-958'!13:13)</f>
        <v>-3117</v>
      </c>
      <c r="W131" s="128">
        <f>SUMIF('900-958'!$1:$1,W$3,'900-958'!13:13)</f>
        <v>-22886.1</v>
      </c>
      <c r="X131" s="128">
        <f>SUMIF('900-958'!$1:$1,X$3,'900-958'!13:13)</f>
        <v>-11291.56</v>
      </c>
      <c r="Y131" s="164">
        <f>SUMIF('900-958'!$1:$1,Y$3,'900-958'!13:13)</f>
        <v>0</v>
      </c>
      <c r="Z131" s="128">
        <f>SUMIF('900-958'!$1:$1,Z$3,'900-958'!13:13)</f>
        <v>0</v>
      </c>
      <c r="AA131" s="128">
        <f>SUMIF('900-958'!$1:$1,AA$3,'900-958'!13:13)</f>
        <v>-140959.22</v>
      </c>
      <c r="AB131" s="128">
        <f>SUMIF('900-958'!$1:$1,AB$3,'900-958'!13:13)</f>
        <v>-8710.83</v>
      </c>
      <c r="AC131" s="314">
        <f>SUMIF('900-958'!$1:$1,AC$3,'900-958'!13:13)</f>
        <v>0</v>
      </c>
      <c r="AD131" s="314">
        <f>SUMIF('900-958'!$1:$1,AD$3,'900-958'!13:13)</f>
        <v>0</v>
      </c>
      <c r="AE131" s="314">
        <f>SUMIF('900-958'!$1:$1,AE$3,'900-958'!13:13)</f>
        <v>0</v>
      </c>
      <c r="AF131" s="314">
        <f>SUMIF('900-958'!$1:$1,AF$3,'900-958'!13:13)</f>
        <v>0</v>
      </c>
      <c r="AG131" s="128">
        <f>SUMIF('900-958'!$1:$1,AG$3,'900-958'!13:13)</f>
        <v>704247.93</v>
      </c>
      <c r="AH131" s="128">
        <f>SUMIF('900-958'!$1:$1,AH$3,'900-958'!13:13)</f>
        <v>2000</v>
      </c>
      <c r="AI131" s="128">
        <f>SUMIF('900-958'!$1:$1,AI$3,'900-958'!13:13)</f>
        <v>310683.56</v>
      </c>
      <c r="AJ131" s="128">
        <f>SUMIF('900-958'!$1:$1,AJ$3,'900-958'!13:13)</f>
        <v>45179.44999999999</v>
      </c>
      <c r="AK131" s="128">
        <f>SUMIF('900-958'!$1:$1,AK$3,'900-958'!13:13)</f>
        <v>55223.100000000006</v>
      </c>
      <c r="AL131" s="128">
        <f>SUMIF('900-958'!$1:$1,AL$3,'900-958'!13:13)</f>
        <v>0</v>
      </c>
      <c r="AM131" s="128">
        <f>SUMIF('900-958'!$1:$1,AM$3,'900-958'!13:13)</f>
        <v>69678.830000000016</v>
      </c>
      <c r="AN131" s="128">
        <f>SUMIF('900-958'!$1:$1,AN$3,'900-958'!13:13)</f>
        <v>4845</v>
      </c>
      <c r="AO131" s="128">
        <f>SUMIF('900-958'!$1:$1,AO$3,'900-958'!13:13)</f>
        <v>4416.75</v>
      </c>
      <c r="AP131" s="128">
        <f>SUMIF('900-958'!$1:$1,AP$3,'900-958'!13:13)</f>
        <v>637.45000000000005</v>
      </c>
      <c r="AQ131" s="128">
        <f>SUMIF('900-958'!$1:$1,AQ$3,'900-958'!13:13)</f>
        <v>12272.96</v>
      </c>
      <c r="AR131" s="128">
        <f>SUMIF('900-958'!$1:$1,AR$3,'900-958'!13:13)</f>
        <v>6407.24</v>
      </c>
      <c r="AS131" s="128">
        <f>SUMIF('900-958'!$1:$1,AS$3,'900-958'!13:13)</f>
        <v>2182.6499999999996</v>
      </c>
      <c r="AT131" s="128">
        <f>SUMIF('900-958'!$1:$1,AT$3,'900-958'!13:13)</f>
        <v>1890.28</v>
      </c>
      <c r="AU131" s="128">
        <f>SUMIF('900-958'!$1:$1,AU$3,'900-958'!13:13)</f>
        <v>6650.1</v>
      </c>
      <c r="AV131" s="128">
        <f>SUMIF('900-958'!$1:$1,AV$3,'900-958'!13:13)</f>
        <v>15866.82</v>
      </c>
      <c r="AW131" s="128">
        <f>SUMIF('900-958'!$1:$1,AW$3,'900-958'!13:13)</f>
        <v>20334.25</v>
      </c>
      <c r="AX131" s="128">
        <f>SUMIF('900-958'!$1:$1,AX$3,'900-958'!13:13)</f>
        <v>5388.99</v>
      </c>
      <c r="AY131" s="128">
        <f>SUMIF('900-958'!$1:$1,AY$3,'900-958'!13:13)</f>
        <v>69721.97</v>
      </c>
      <c r="AZ131" s="314">
        <f>SUMIF('900-958'!$1:$1,AZ$3,'900-958'!13:13)</f>
        <v>0</v>
      </c>
      <c r="BA131" s="128">
        <f>SUMIF('900-958'!$1:$1,BA$3,'900-958'!13:13)</f>
        <v>1608.6999999999998</v>
      </c>
      <c r="BB131" s="128">
        <f>SUMIF('900-958'!$1:$1,BB$3,'900-958'!13:13)</f>
        <v>0</v>
      </c>
      <c r="BC131" s="128">
        <f>SUMIF('900-958'!$1:$1,BC$3,'900-958'!13:13)</f>
        <v>750.5</v>
      </c>
      <c r="BD131" s="128">
        <f>SUMIF('900-958'!$1:$1,BD$3,'900-958'!13:13)</f>
        <v>1660.92</v>
      </c>
      <c r="BE131" s="128">
        <f>SUMIF('900-958'!$1:$1,BE$3,'900-958'!13:13)</f>
        <v>1418.3999999999999</v>
      </c>
      <c r="BF131" s="128">
        <f>SUMIF('900-958'!$1:$1,BF$3,'900-958'!13:13)</f>
        <v>0</v>
      </c>
      <c r="BG131" s="128">
        <f>SUMIF('900-958'!$1:$1,BG$3,'900-958'!13:13)</f>
        <v>6022.8</v>
      </c>
      <c r="BH131" s="128">
        <f>SUMIF('900-958'!$1:$1,BH$3,'900-958'!13:13)</f>
        <v>0</v>
      </c>
      <c r="BI131" s="128">
        <f>SUMIF('900-958'!$1:$1,BI$3,'900-958'!13:13)</f>
        <v>2653.8</v>
      </c>
      <c r="BJ131" s="128">
        <f>SUMIF('900-958'!$1:$1,BJ$3,'900-958'!13:13)</f>
        <v>11448.64</v>
      </c>
      <c r="BK131" s="128">
        <f>SUMIF('900-958'!$1:$1,BK$3,'900-958'!13:13)</f>
        <v>0</v>
      </c>
      <c r="BL131" s="128">
        <f>SUMIF('900-958'!$1:$1,BL$3,'900-958'!13:13)</f>
        <v>33416.410000000003</v>
      </c>
      <c r="BM131" s="128">
        <f>SUMIF('900-958'!$1:$1,BM$3,'900-958'!13:13)</f>
        <v>1717</v>
      </c>
      <c r="BN131" s="128">
        <f>SUMIF('900-958'!$1:$1,BN$3,'900-958'!13:13)</f>
        <v>0</v>
      </c>
      <c r="BO131" s="128">
        <f>SUMIF('900-958'!$1:$1,BO$3,'900-958'!13:13)</f>
        <v>20083.110000000004</v>
      </c>
      <c r="BP131" s="128">
        <f>SUMIF('900-958'!$1:$1,BP$3,'900-958'!13:13)</f>
        <v>0</v>
      </c>
      <c r="BQ131" s="128">
        <f>SUMIF('900-958'!$1:$1,BQ$3,'900-958'!13:13)</f>
        <v>0</v>
      </c>
      <c r="BR131" s="128">
        <f>SUMIF('900-958'!$1:$1,BR$3,'900-958'!13:13)</f>
        <v>0</v>
      </c>
      <c r="BS131" s="128">
        <f>SUMIF('900-958'!$1:$1,BS$3,'900-958'!13:13)</f>
        <v>132348.35</v>
      </c>
      <c r="BT131" s="128">
        <f>SUMIF('900-958'!$1:$1,BT$3,'900-958'!13:13)</f>
        <v>6674.76</v>
      </c>
      <c r="BU131" s="128">
        <f>SUMIF('900-958'!$1:$1,BU$3,'900-958'!13:13)</f>
        <v>-6328.75</v>
      </c>
      <c r="BV131" s="128">
        <f>SUMIF('900-958'!$1:$1,BV$3,'900-958'!13:13)</f>
        <v>0</v>
      </c>
      <c r="BW131" s="128">
        <f>SUMIF('900-958'!$1:$1,BW$3,'900-958'!13:13)</f>
        <v>0</v>
      </c>
      <c r="BX131" s="128">
        <f>SUMIF('900-958'!$1:$1,BX$3,'900-958'!13:13)</f>
        <v>0</v>
      </c>
      <c r="BY131" s="128">
        <f>SUMIF('900-958'!$1:$1,BY$3,'900-958'!13:13)</f>
        <v>16973</v>
      </c>
      <c r="BZ131" s="128">
        <f>SUMIF('900-958'!$1:$1,BZ$3,'900-958'!13:13)</f>
        <v>0</v>
      </c>
      <c r="CA131" s="314">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7">
        <f t="shared" si="45"/>
        <v>-142400.41000000059</v>
      </c>
      <c r="CJ131" s="122"/>
      <c r="CK131" s="169">
        <f>INDEX(SAP!C:C,MATCH('Actuals mapped to CFR'!A131,SAP!H:H,FALSE),1)</f>
        <v>-142400.41</v>
      </c>
      <c r="CL131" s="59">
        <f t="shared" si="33"/>
        <v>0</v>
      </c>
      <c r="CN131" s="81">
        <f t="shared" si="47"/>
        <v>1635247.7900000005</v>
      </c>
      <c r="CO131" s="81">
        <f t="shared" si="48"/>
        <v>1557430.72</v>
      </c>
      <c r="CP131" s="166">
        <f>VLOOKUP(B131,'2526 GBP Data input'!$A$4:$CA$230,38,FALSE)</f>
        <v>1518723</v>
      </c>
      <c r="CQ131" s="166">
        <f>VLOOKUP(B131,'2526 GBP Data input'!$A$4:$CA$230,73,FALSE)</f>
        <v>22173</v>
      </c>
      <c r="CR131" s="89">
        <f t="shared" si="39"/>
        <v>116524.7900000005</v>
      </c>
      <c r="CS131" s="83">
        <f t="shared" si="40"/>
        <v>70.239963920082985</v>
      </c>
      <c r="CT131" s="82">
        <f t="shared" si="51"/>
        <v>131202.72000000044</v>
      </c>
      <c r="CU131" s="82">
        <f t="shared" si="52"/>
        <v>-7655.48</v>
      </c>
      <c r="CV131" s="86">
        <f t="shared" si="44"/>
        <v>123547.24000000044</v>
      </c>
      <c r="CX131" s="116"/>
    </row>
    <row r="132" spans="1:102">
      <c r="A132" s="238">
        <v>107940</v>
      </c>
      <c r="B132" s="60">
        <v>940</v>
      </c>
      <c r="C132" s="60" t="s">
        <v>253</v>
      </c>
      <c r="D132" s="128">
        <f>SUMIF('900-958'!$1:$1,D$3,'900-958'!14:14)</f>
        <v>-103453.24</v>
      </c>
      <c r="E132" s="128">
        <f>SUMIF('900-958'!$1:$1,E$3,'900-958'!14:14)</f>
        <v>0</v>
      </c>
      <c r="F132" s="128">
        <f>SUMIF('900-958'!$1:$1,F$3,'900-958'!14:14)</f>
        <v>0</v>
      </c>
      <c r="G132" s="128">
        <f>SUMIF('900-958'!$1:$1,G$3,'900-958'!14:14)</f>
        <v>-2547.4</v>
      </c>
      <c r="H132" s="128">
        <f>SUMIF('900-958'!$1:$1,H$3,'900-958'!14:14)</f>
        <v>0</v>
      </c>
      <c r="I132" s="128">
        <f>SUMIF('900-958'!$1:$1,I$3,'900-958'!14:14)</f>
        <v>0</v>
      </c>
      <c r="J132" s="128">
        <f>SUMIF('900-958'!$1:$1,J$3,'900-958'!14:14)</f>
        <v>0</v>
      </c>
      <c r="K132" s="128">
        <f>SUMIF('900-958'!$1:$1,K$3,'900-958'!14:14)</f>
        <v>-2306042.52</v>
      </c>
      <c r="L132" s="128">
        <f>SUMIF('900-958'!$1:$1,L$3,'900-958'!14:14)</f>
        <v>0</v>
      </c>
      <c r="M132" s="128">
        <f>SUMIF('900-958'!$1:$1,M$3,'900-958'!14:14)</f>
        <v>-91136</v>
      </c>
      <c r="N132" s="128">
        <f>SUMIF('900-958'!$1:$1,N$3,'900-958'!14:14)</f>
        <v>0</v>
      </c>
      <c r="O132" s="128">
        <f>SUMIF('900-958'!$1:$1,O$3,'900-958'!14:14)</f>
        <v>-168240</v>
      </c>
      <c r="P132" s="128">
        <f>SUMIF('900-958'!$1:$1,P$3,'900-958'!14:14)</f>
        <v>-89879</v>
      </c>
      <c r="Q132" s="128">
        <f>SUMIF('900-958'!$1:$1,Q$3,'900-958'!14:14)</f>
        <v>-1620</v>
      </c>
      <c r="R132" s="128">
        <f>SUMIF('900-958'!$1:$1,R$3,'900-958'!14:14)</f>
        <v>-840</v>
      </c>
      <c r="S132" s="128">
        <f>SUMIF('900-958'!$1:$1,S$3,'900-958'!14:14)</f>
        <v>-59470.779999999984</v>
      </c>
      <c r="T132" s="128">
        <f>SUMIF('900-958'!$1:$1,T$3,'900-958'!14:14)</f>
        <v>-19123.59</v>
      </c>
      <c r="U132" s="128">
        <f>SUMIF('900-958'!$1:$1,U$3,'900-958'!14:14)</f>
        <v>0</v>
      </c>
      <c r="V132" s="128">
        <f>SUMIF('900-958'!$1:$1,V$3,'900-958'!14:14)</f>
        <v>0</v>
      </c>
      <c r="W132" s="128">
        <f>SUMIF('900-958'!$1:$1,W$3,'900-958'!14:14)</f>
        <v>-17657</v>
      </c>
      <c r="X132" s="128">
        <f>SUMIF('900-958'!$1:$1,X$3,'900-958'!14:14)</f>
        <v>-4000</v>
      </c>
      <c r="Y132" s="164">
        <f>SUMIF('900-958'!$1:$1,Y$3,'900-958'!14:14)</f>
        <v>0</v>
      </c>
      <c r="Z132" s="128">
        <f>SUMIF('900-958'!$1:$1,Z$3,'900-958'!14:14)</f>
        <v>0</v>
      </c>
      <c r="AA132" s="128">
        <f>SUMIF('900-958'!$1:$1,AA$3,'900-958'!14:14)</f>
        <v>0</v>
      </c>
      <c r="AB132" s="128">
        <f>SUMIF('900-958'!$1:$1,AB$3,'900-958'!14:14)</f>
        <v>0</v>
      </c>
      <c r="AC132" s="314">
        <f>SUMIF('900-958'!$1:$1,AC$3,'900-958'!14:14)</f>
        <v>0</v>
      </c>
      <c r="AD132" s="314">
        <f>SUMIF('900-958'!$1:$1,AD$3,'900-958'!14:14)</f>
        <v>0</v>
      </c>
      <c r="AE132" s="314">
        <f>SUMIF('900-958'!$1:$1,AE$3,'900-958'!14:14)</f>
        <v>0</v>
      </c>
      <c r="AF132" s="314">
        <f>SUMIF('900-958'!$1:$1,AF$3,'900-958'!14:14)</f>
        <v>0</v>
      </c>
      <c r="AG132" s="128">
        <f>SUMIF('900-958'!$1:$1,AG$3,'900-958'!14:14)</f>
        <v>1273145.8999999999</v>
      </c>
      <c r="AH132" s="128">
        <f>SUMIF('900-958'!$1:$1,AH$3,'900-958'!14:14)</f>
        <v>12539.54</v>
      </c>
      <c r="AI132" s="128">
        <f>SUMIF('900-958'!$1:$1,AI$3,'900-958'!14:14)</f>
        <v>693610.03999999992</v>
      </c>
      <c r="AJ132" s="128">
        <f>SUMIF('900-958'!$1:$1,AJ$3,'900-958'!14:14)</f>
        <v>57184.539999999994</v>
      </c>
      <c r="AK132" s="128">
        <f>SUMIF('900-958'!$1:$1,AK$3,'900-958'!14:14)</f>
        <v>141971.87</v>
      </c>
      <c r="AL132" s="128">
        <f>SUMIF('900-958'!$1:$1,AL$3,'900-958'!14:14)</f>
        <v>102614.18000000001</v>
      </c>
      <c r="AM132" s="128">
        <f>SUMIF('900-958'!$1:$1,AM$3,'900-958'!14:14)</f>
        <v>116630.99</v>
      </c>
      <c r="AN132" s="128">
        <f>SUMIF('900-958'!$1:$1,AN$3,'900-958'!14:14)</f>
        <v>9335.94</v>
      </c>
      <c r="AO132" s="128">
        <f>SUMIF('900-958'!$1:$1,AO$3,'900-958'!14:14)</f>
        <v>6317.25</v>
      </c>
      <c r="AP132" s="128">
        <f>SUMIF('900-958'!$1:$1,AP$3,'900-958'!14:14)</f>
        <v>1268.8</v>
      </c>
      <c r="AQ132" s="128">
        <f>SUMIF('900-958'!$1:$1,AQ$3,'900-958'!14:14)</f>
        <v>0</v>
      </c>
      <c r="AR132" s="128">
        <f>SUMIF('900-958'!$1:$1,AR$3,'900-958'!14:14)</f>
        <v>16538.55</v>
      </c>
      <c r="AS132" s="128">
        <f>SUMIF('900-958'!$1:$1,AS$3,'900-958'!14:14)</f>
        <v>4381.6099999999988</v>
      </c>
      <c r="AT132" s="128">
        <f>SUMIF('900-958'!$1:$1,AT$3,'900-958'!14:14)</f>
        <v>35718.89</v>
      </c>
      <c r="AU132" s="128">
        <f>SUMIF('900-958'!$1:$1,AU$3,'900-958'!14:14)</f>
        <v>5937.25</v>
      </c>
      <c r="AV132" s="128">
        <f>SUMIF('900-958'!$1:$1,AV$3,'900-958'!14:14)</f>
        <v>32551.080000000005</v>
      </c>
      <c r="AW132" s="128">
        <f>SUMIF('900-958'!$1:$1,AW$3,'900-958'!14:14)</f>
        <v>42588</v>
      </c>
      <c r="AX132" s="128">
        <f>SUMIF('900-958'!$1:$1,AX$3,'900-958'!14:14)</f>
        <v>4886.1999999999989</v>
      </c>
      <c r="AY132" s="128">
        <f>SUMIF('900-958'!$1:$1,AY$3,'900-958'!14:14)</f>
        <v>78584.039999999994</v>
      </c>
      <c r="AZ132" s="314">
        <f>SUMIF('900-958'!$1:$1,AZ$3,'900-958'!14:14)</f>
        <v>0</v>
      </c>
      <c r="BA132" s="128">
        <f>SUMIF('900-958'!$1:$1,BA$3,'900-958'!14:14)</f>
        <v>5272</v>
      </c>
      <c r="BB132" s="128">
        <f>SUMIF('900-958'!$1:$1,BB$3,'900-958'!14:14)</f>
        <v>0</v>
      </c>
      <c r="BC132" s="128">
        <f>SUMIF('900-958'!$1:$1,BC$3,'900-958'!14:14)</f>
        <v>0</v>
      </c>
      <c r="BD132" s="128">
        <f>SUMIF('900-958'!$1:$1,BD$3,'900-958'!14:14)</f>
        <v>3114</v>
      </c>
      <c r="BE132" s="128">
        <f>SUMIF('900-958'!$1:$1,BE$3,'900-958'!14:14)</f>
        <v>938</v>
      </c>
      <c r="BF132" s="128">
        <f>SUMIF('900-958'!$1:$1,BF$3,'900-958'!14:14)</f>
        <v>480</v>
      </c>
      <c r="BG132" s="128">
        <f>SUMIF('900-958'!$1:$1,BG$3,'900-958'!14:14)</f>
        <v>11327.630000000001</v>
      </c>
      <c r="BH132" s="128">
        <f>SUMIF('900-958'!$1:$1,BH$3,'900-958'!14:14)</f>
        <v>0</v>
      </c>
      <c r="BI132" s="128">
        <f>SUMIF('900-958'!$1:$1,BI$3,'900-958'!14:14)</f>
        <v>11043.789999999999</v>
      </c>
      <c r="BJ132" s="128">
        <f>SUMIF('900-958'!$1:$1,BJ$3,'900-958'!14:14)</f>
        <v>22455.68</v>
      </c>
      <c r="BK132" s="128">
        <f>SUMIF('900-958'!$1:$1,BK$3,'900-958'!14:14)</f>
        <v>0</v>
      </c>
      <c r="BL132" s="128">
        <f>SUMIF('900-958'!$1:$1,BL$3,'900-958'!14:14)</f>
        <v>58978.399999999972</v>
      </c>
      <c r="BM132" s="128">
        <f>SUMIF('900-958'!$1:$1,BM$3,'900-958'!14:14)</f>
        <v>58404.720000000023</v>
      </c>
      <c r="BN132" s="128">
        <f>SUMIF('900-958'!$1:$1,BN$3,'900-958'!14:14)</f>
        <v>36032.200000000004</v>
      </c>
      <c r="BO132" s="128">
        <f>SUMIF('900-958'!$1:$1,BO$3,'900-958'!14:14)</f>
        <v>38089.61</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-8668.75</v>
      </c>
      <c r="BV132" s="128">
        <f>SUMIF('900-958'!$1:$1,BV$3,'900-958'!14:14)</f>
        <v>0</v>
      </c>
      <c r="BW132" s="128">
        <f>SUMIF('900-958'!$1:$1,BW$3,'900-958'!14:14)</f>
        <v>0</v>
      </c>
      <c r="BX132" s="128">
        <f>SUMIF('900-958'!$1:$1,BX$3,'900-958'!14:14)</f>
        <v>0</v>
      </c>
      <c r="BY132" s="128">
        <f>SUMIF('900-958'!$1:$1,BY$3,'900-958'!14:14)</f>
        <v>1000</v>
      </c>
      <c r="BZ132" s="128">
        <f>SUMIF('900-958'!$1:$1,BZ$3,'900-958'!14:14)</f>
        <v>720</v>
      </c>
      <c r="CA132" s="314">
        <f>SUMIF('900-958'!$1:$1,CA$3,'900-958'!14:14)</f>
        <v>0</v>
      </c>
      <c r="CB132" s="128">
        <f>SUMIF('900-958'!$1:$1,CB$3,'900-958'!14:14)</f>
        <v>0</v>
      </c>
      <c r="CC132" s="128">
        <f>SUMIF('900-958'!$1:$1,CC$3,'900-958'!14:14)</f>
        <v>0</v>
      </c>
      <c r="CD132" s="128">
        <f>SUMIF('900-958'!$1:$1,CD$3,'900-958'!14:14)</f>
        <v>2510.5</v>
      </c>
      <c r="CE132" s="128">
        <f>SUMIF('900-958'!$1:$1,CE$3,'900-958'!14:14)</f>
        <v>0</v>
      </c>
      <c r="CF132" s="128">
        <f>SUMIF('900-958'!$1:$1,CF$3,'900-958'!14:14)</f>
        <v>0</v>
      </c>
      <c r="CG132" s="257">
        <f t="shared" si="45"/>
        <v>13492.920000000129</v>
      </c>
      <c r="CJ132" s="122"/>
      <c r="CK132" s="169">
        <f>INDEX(SAP!C:C,MATCH('Actuals mapped to CFR'!A132,SAP!H:H,FALSE),1)</f>
        <v>13492.92</v>
      </c>
      <c r="CL132" s="59">
        <f t="shared" ref="CL132:CL135" si="54">ROUND(CK132-CG132,2)</f>
        <v>0</v>
      </c>
      <c r="CN132" s="81">
        <f t="shared" si="47"/>
        <v>2758008.8899999997</v>
      </c>
      <c r="CO132" s="81">
        <f t="shared" si="48"/>
        <v>2881940.7000000007</v>
      </c>
      <c r="CP132" s="166">
        <f>VLOOKUP(B132,'2526 GBP Data input'!$A$4:$CA$230,38,FALSE)</f>
        <v>2724540</v>
      </c>
      <c r="CQ132" s="166">
        <f>VLOOKUP(B132,'2526 GBP Data input'!$A$4:$CA$230,73,FALSE)</f>
        <v>27373</v>
      </c>
      <c r="CR132" s="89">
        <f t="shared" si="39"/>
        <v>33468.889999999665</v>
      </c>
      <c r="CS132" s="83">
        <f t="shared" si="40"/>
        <v>105.28406458919376</v>
      </c>
      <c r="CT132" s="82">
        <f t="shared" si="51"/>
        <v>-20478.570000000764</v>
      </c>
      <c r="CU132" s="82">
        <f t="shared" si="52"/>
        <v>9496.15</v>
      </c>
      <c r="CV132" s="86">
        <f t="shared" si="44"/>
        <v>-10982.420000000764</v>
      </c>
      <c r="CX132" s="116"/>
    </row>
    <row r="133" spans="1:102">
      <c r="A133" s="238">
        <v>107948</v>
      </c>
      <c r="B133" s="60">
        <v>948</v>
      </c>
      <c r="C133" s="60" t="s">
        <v>417</v>
      </c>
      <c r="D133" s="128">
        <f>SUMIF('900-958'!$1:$1,D$3,'900-958'!15:15)</f>
        <v>-304232.24</v>
      </c>
      <c r="E133" s="128">
        <f>SUMIF('900-958'!$1:$1,E$3,'900-958'!15:15)</f>
        <v>-47821.18</v>
      </c>
      <c r="F133" s="128">
        <f>SUMIF('900-958'!$1:$1,F$3,'900-958'!15:15)</f>
        <v>0</v>
      </c>
      <c r="G133" s="128">
        <f>SUMIF('900-958'!$1:$1,G$3,'900-958'!15:15)</f>
        <v>-5168.33</v>
      </c>
      <c r="H133" s="128">
        <f>SUMIF('900-958'!$1:$1,H$3,'900-958'!15:15)</f>
        <v>0</v>
      </c>
      <c r="I133" s="128">
        <f>SUMIF('900-958'!$1:$1,I$3,'900-958'!15:15)</f>
        <v>0</v>
      </c>
      <c r="J133" s="128">
        <f>SUMIF('900-958'!$1:$1,J$3,'900-958'!15:15)</f>
        <v>-31917.67</v>
      </c>
      <c r="K133" s="128">
        <f>SUMIF('900-958'!$1:$1,K$3,'900-958'!15:15)</f>
        <v>-1403100.88</v>
      </c>
      <c r="L133" s="128">
        <f>SUMIF('900-958'!$1:$1,L$3,'900-958'!15:15)</f>
        <v>0</v>
      </c>
      <c r="M133" s="128">
        <f>SUMIF('900-958'!$1:$1,M$3,'900-958'!15:15)</f>
        <v>-221182</v>
      </c>
      <c r="N133" s="128">
        <f>SUMIF('900-958'!$1:$1,N$3,'900-958'!15:15)</f>
        <v>0</v>
      </c>
      <c r="O133" s="128">
        <f>SUMIF('900-958'!$1:$1,O$3,'900-958'!15:15)</f>
        <v>-135550</v>
      </c>
      <c r="P133" s="128">
        <f>SUMIF('900-958'!$1:$1,P$3,'900-958'!15:15)</f>
        <v>-45037.93</v>
      </c>
      <c r="Q133" s="128">
        <f>SUMIF('900-958'!$1:$1,Q$3,'900-958'!15:15)</f>
        <v>-1700</v>
      </c>
      <c r="R133" s="128">
        <f>SUMIF('900-958'!$1:$1,R$3,'900-958'!15:15)</f>
        <v>0</v>
      </c>
      <c r="S133" s="128">
        <f>SUMIF('900-958'!$1:$1,S$3,'900-958'!15:15)</f>
        <v>-18955.990000000002</v>
      </c>
      <c r="T133" s="128">
        <f>SUMIF('900-958'!$1:$1,T$3,'900-958'!15:15)</f>
        <v>-14099.930000000002</v>
      </c>
      <c r="U133" s="128">
        <f>SUMIF('900-958'!$1:$1,U$3,'900-958'!15:15)</f>
        <v>0</v>
      </c>
      <c r="V133" s="128">
        <f>SUMIF('900-958'!$1:$1,V$3,'900-958'!15:15)</f>
        <v>0</v>
      </c>
      <c r="W133" s="128">
        <f>SUMIF('900-958'!$1:$1,W$3,'900-958'!15:15)</f>
        <v>-4582.9600000000009</v>
      </c>
      <c r="X133" s="128">
        <f>SUMIF('900-958'!$1:$1,X$3,'900-958'!15:15)</f>
        <v>-150</v>
      </c>
      <c r="Y133" s="164">
        <f>SUMIF('900-958'!$1:$1,Y$3,'900-958'!15:15)</f>
        <v>0</v>
      </c>
      <c r="Z133" s="128">
        <f>SUMIF('900-958'!$1:$1,Z$3,'900-958'!15:15)</f>
        <v>0</v>
      </c>
      <c r="AA133" s="128">
        <f>SUMIF('900-958'!$1:$1,AA$3,'900-958'!15:15)</f>
        <v>-112790.74</v>
      </c>
      <c r="AB133" s="128">
        <f>SUMIF('900-958'!$1:$1,AB$3,'900-958'!15:15)</f>
        <v>-2931</v>
      </c>
      <c r="AC133" s="314">
        <f>SUMIF('900-958'!$1:$1,AC$3,'900-958'!15:15)</f>
        <v>0</v>
      </c>
      <c r="AD133" s="314">
        <f>SUMIF('900-958'!$1:$1,AD$3,'900-958'!15:15)</f>
        <v>0</v>
      </c>
      <c r="AE133" s="314">
        <f>SUMIF('900-958'!$1:$1,AE$3,'900-958'!15:15)</f>
        <v>0</v>
      </c>
      <c r="AF133" s="314">
        <f>SUMIF('900-958'!$1:$1,AF$3,'900-958'!15:15)</f>
        <v>0</v>
      </c>
      <c r="AG133" s="128">
        <f>SUMIF('900-958'!$1:$1,AG$3,'900-958'!15:15)</f>
        <v>765279.67999999993</v>
      </c>
      <c r="AH133" s="128">
        <f>SUMIF('900-958'!$1:$1,AH$3,'900-958'!15:15)</f>
        <v>3081.27</v>
      </c>
      <c r="AI133" s="128">
        <f>SUMIF('900-958'!$1:$1,AI$3,'900-958'!15:15)</f>
        <v>367868.76999999996</v>
      </c>
      <c r="AJ133" s="128">
        <f>SUMIF('900-958'!$1:$1,AJ$3,'900-958'!15:15)</f>
        <v>40717.929999999993</v>
      </c>
      <c r="AK133" s="128">
        <f>SUMIF('900-958'!$1:$1,AK$3,'900-958'!15:15)</f>
        <v>73545.36</v>
      </c>
      <c r="AL133" s="128">
        <f>SUMIF('900-958'!$1:$1,AL$3,'900-958'!15:15)</f>
        <v>2074.9399999999996</v>
      </c>
      <c r="AM133" s="128">
        <f>SUMIF('900-958'!$1:$1,AM$3,'900-958'!15:15)</f>
        <v>34009.409999999996</v>
      </c>
      <c r="AN133" s="128">
        <f>SUMIF('900-958'!$1:$1,AN$3,'900-958'!15:15)</f>
        <v>5328.66</v>
      </c>
      <c r="AO133" s="128">
        <f>SUMIF('900-958'!$1:$1,AO$3,'900-958'!15:15)</f>
        <v>6884.75</v>
      </c>
      <c r="AP133" s="128">
        <f>SUMIF('900-958'!$1:$1,AP$3,'900-958'!15:15)</f>
        <v>646.6</v>
      </c>
      <c r="AQ133" s="128">
        <f>SUMIF('900-958'!$1:$1,AQ$3,'900-958'!15:15)</f>
        <v>0</v>
      </c>
      <c r="AR133" s="128">
        <f>SUMIF('900-958'!$1:$1,AR$3,'900-958'!15:15)</f>
        <v>17132.479999999996</v>
      </c>
      <c r="AS133" s="128">
        <f>SUMIF('900-958'!$1:$1,AS$3,'900-958'!15:15)</f>
        <v>15878.7</v>
      </c>
      <c r="AT133" s="128">
        <f>SUMIF('900-958'!$1:$1,AT$3,'900-958'!15:15)</f>
        <v>4200.1200000000008</v>
      </c>
      <c r="AU133" s="128">
        <f>SUMIF('900-958'!$1:$1,AU$3,'900-958'!15:15)</f>
        <v>3042.3900000000003</v>
      </c>
      <c r="AV133" s="128">
        <f>SUMIF('900-958'!$1:$1,AV$3,'900-958'!15:15)</f>
        <v>11053.63</v>
      </c>
      <c r="AW133" s="128">
        <f>SUMIF('900-958'!$1:$1,AW$3,'900-958'!15:15)</f>
        <v>16092.75</v>
      </c>
      <c r="AX133" s="128">
        <f>SUMIF('900-958'!$1:$1,AX$3,'900-958'!15:15)</f>
        <v>18341.18</v>
      </c>
      <c r="AY133" s="128">
        <f>SUMIF('900-958'!$1:$1,AY$3,'900-958'!15:15)</f>
        <v>47964.630000000019</v>
      </c>
      <c r="AZ133" s="314">
        <f>SUMIF('900-958'!$1:$1,AZ$3,'900-958'!15:15)</f>
        <v>0</v>
      </c>
      <c r="BA133" s="128">
        <f>SUMIF('900-958'!$1:$1,BA$3,'900-958'!15:15)</f>
        <v>3377</v>
      </c>
      <c r="BB133" s="128">
        <f>SUMIF('900-958'!$1:$1,BB$3,'900-958'!15:15)</f>
        <v>2805</v>
      </c>
      <c r="BC133" s="128">
        <f>SUMIF('900-958'!$1:$1,BC$3,'900-958'!15:15)</f>
        <v>16886.55</v>
      </c>
      <c r="BD133" s="128">
        <f>SUMIF('900-958'!$1:$1,BD$3,'900-958'!15:15)</f>
        <v>7004.12</v>
      </c>
      <c r="BE133" s="128">
        <f>SUMIF('900-958'!$1:$1,BE$3,'900-958'!15:15)</f>
        <v>5535</v>
      </c>
      <c r="BF133" s="128">
        <f>SUMIF('900-958'!$1:$1,BF$3,'900-958'!15:15)</f>
        <v>6020.92</v>
      </c>
      <c r="BG133" s="128">
        <f>SUMIF('900-958'!$1:$1,BG$3,'900-958'!15:15)</f>
        <v>16114</v>
      </c>
      <c r="BH133" s="128">
        <f>SUMIF('900-958'!$1:$1,BH$3,'900-958'!15:15)</f>
        <v>0</v>
      </c>
      <c r="BI133" s="128">
        <f>SUMIF('900-958'!$1:$1,BI$3,'900-958'!15:15)</f>
        <v>12785.600000000002</v>
      </c>
      <c r="BJ133" s="128">
        <f>SUMIF('900-958'!$1:$1,BJ$3,'900-958'!15:15)</f>
        <v>11443.76</v>
      </c>
      <c r="BK133" s="128">
        <f>SUMIF('900-958'!$1:$1,BK$3,'900-958'!15:15)</f>
        <v>0</v>
      </c>
      <c r="BL133" s="128">
        <f>SUMIF('900-958'!$1:$1,BL$3,'900-958'!15:15)</f>
        <v>71514.060000000012</v>
      </c>
      <c r="BM133" s="128">
        <f>SUMIF('900-958'!$1:$1,BM$3,'900-958'!15:15)</f>
        <v>57579.53</v>
      </c>
      <c r="BN133" s="128">
        <f>SUMIF('900-958'!$1:$1,BN$3,'900-958'!15:15)</f>
        <v>97523.390000000014</v>
      </c>
      <c r="BO133" s="128">
        <f>SUMIF('900-958'!$1:$1,BO$3,'900-958'!15:15)</f>
        <v>72277.259999999995</v>
      </c>
      <c r="BP133" s="128">
        <f>SUMIF('900-958'!$1:$1,BP$3,'900-958'!15:15)</f>
        <v>0</v>
      </c>
      <c r="BQ133" s="128">
        <f>SUMIF('900-958'!$1:$1,BQ$3,'900-958'!15:15)</f>
        <v>0</v>
      </c>
      <c r="BR133" s="128">
        <f>SUMIF('900-958'!$1:$1,BR$3,'900-958'!15:15)</f>
        <v>0</v>
      </c>
      <c r="BS133" s="128">
        <f>SUMIF('900-958'!$1:$1,BS$3,'900-958'!15:15)</f>
        <v>95191.449999999983</v>
      </c>
      <c r="BT133" s="128">
        <f>SUMIF('900-958'!$1:$1,BT$3,'900-958'!15:15)</f>
        <v>12927.769999999995</v>
      </c>
      <c r="BU133" s="128">
        <f>SUMIF('900-958'!$1:$1,BU$3,'900-958'!15:15)</f>
        <v>-6362.5</v>
      </c>
      <c r="BV133" s="128">
        <f>SUMIF('900-958'!$1:$1,BV$3,'900-958'!15:15)</f>
        <v>0</v>
      </c>
      <c r="BW133" s="128">
        <f>SUMIF('900-958'!$1:$1,BW$3,'900-958'!15:15)</f>
        <v>0</v>
      </c>
      <c r="BX133" s="128">
        <f>SUMIF('900-958'!$1:$1,BX$3,'900-958'!15:15)</f>
        <v>0</v>
      </c>
      <c r="BY133" s="128">
        <f>SUMIF('900-958'!$1:$1,BY$3,'900-958'!15:15)</f>
        <v>1384.5</v>
      </c>
      <c r="BZ133" s="128">
        <f>SUMIF('900-958'!$1:$1,BZ$3,'900-958'!15:15)</f>
        <v>0</v>
      </c>
      <c r="CA133" s="314">
        <f>SUMIF('900-958'!$1:$1,CA$3,'900-958'!15:15)</f>
        <v>0</v>
      </c>
      <c r="CB133" s="128">
        <f>SUMIF('900-958'!$1:$1,CB$3,'900-958'!15:15)</f>
        <v>0</v>
      </c>
      <c r="CC133" s="128">
        <f>SUMIF('900-958'!$1:$1,CC$3,'900-958'!15:15)</f>
        <v>5272</v>
      </c>
      <c r="CD133" s="128">
        <f>SUMIF('900-958'!$1:$1,CD$3,'900-958'!15:15)</f>
        <v>0</v>
      </c>
      <c r="CE133" s="128">
        <f>SUMIF('900-958'!$1:$1,CE$3,'900-958'!15:15)</f>
        <v>0</v>
      </c>
      <c r="CF133" s="128">
        <f>SUMIF('900-958'!$1:$1,CF$3,'900-958'!15:15)</f>
        <v>0</v>
      </c>
      <c r="CG133" s="257">
        <f t="shared" si="45"/>
        <v>-426798.19000000053</v>
      </c>
      <c r="CJ133" s="122"/>
      <c r="CK133" s="169">
        <f>INDEX(SAP!C:C,MATCH('Actuals mapped to CFR'!A133,SAP!H:H,FALSE),1)</f>
        <v>-426798.19</v>
      </c>
      <c r="CL133" s="59">
        <f t="shared" si="54"/>
        <v>0</v>
      </c>
      <c r="CN133" s="81">
        <f t="shared" si="47"/>
        <v>1960081.4299999997</v>
      </c>
      <c r="CO133" s="81">
        <f t="shared" si="48"/>
        <v>1922128.6600000001</v>
      </c>
      <c r="CP133" s="166">
        <f>VLOOKUP(B133,'2526 GBP Data input'!$A$4:$CA$230,38,FALSE)</f>
        <v>1784090</v>
      </c>
      <c r="CQ133" s="166">
        <f>VLOOKUP(B133,'2526 GBP Data input'!$A$4:$CA$230,73,FALSE)</f>
        <v>72065</v>
      </c>
      <c r="CR133" s="89">
        <f t="shared" si="39"/>
        <v>175991.4299999997</v>
      </c>
      <c r="CS133" s="83">
        <f t="shared" si="40"/>
        <v>26.672152362450568</v>
      </c>
      <c r="CT133" s="82">
        <f t="shared" si="51"/>
        <v>342185.00999999978</v>
      </c>
      <c r="CU133" s="82">
        <f t="shared" si="52"/>
        <v>10146.33</v>
      </c>
      <c r="CV133" s="86">
        <f t="shared" si="44"/>
        <v>352331.33999999979</v>
      </c>
      <c r="CX133" s="116"/>
    </row>
    <row r="134" spans="1:102">
      <c r="A134" s="238">
        <v>107952</v>
      </c>
      <c r="B134" s="60">
        <v>952</v>
      </c>
      <c r="C134" s="60" t="s">
        <v>269</v>
      </c>
      <c r="D134" s="128">
        <f>SUMIF('900-958'!$1:$1,D$3,'900-958'!16:16)</f>
        <v>-352085.33</v>
      </c>
      <c r="E134" s="128">
        <f>SUMIF('900-958'!$1:$1,E$3,'900-958'!16:16)</f>
        <v>-7945.31</v>
      </c>
      <c r="F134" s="128">
        <f>SUMIF('900-958'!$1:$1,F$3,'900-958'!16:16)</f>
        <v>0</v>
      </c>
      <c r="G134" s="128">
        <f>SUMIF('900-958'!$1:$1,G$3,'900-958'!16:16)</f>
        <v>2575.25</v>
      </c>
      <c r="H134" s="128">
        <f>SUMIF('900-958'!$1:$1,H$3,'900-958'!16:16)</f>
        <v>0</v>
      </c>
      <c r="I134" s="128">
        <f>SUMIF('900-958'!$1:$1,I$3,'900-958'!16:16)</f>
        <v>0</v>
      </c>
      <c r="J134" s="128">
        <f>SUMIF('900-958'!$1:$1,J$3,'900-958'!16:16)</f>
        <v>0</v>
      </c>
      <c r="K134" s="128">
        <f>SUMIF('900-958'!$1:$1,K$3,'900-958'!16:16)</f>
        <v>-2016418.11</v>
      </c>
      <c r="L134" s="128">
        <f>SUMIF('900-958'!$1:$1,L$3,'900-958'!16:16)</f>
        <v>0</v>
      </c>
      <c r="M134" s="128">
        <f>SUMIF('900-958'!$1:$1,M$3,'900-958'!16:16)</f>
        <v>-149833</v>
      </c>
      <c r="N134" s="128">
        <f>SUMIF('900-958'!$1:$1,N$3,'900-958'!16:16)</f>
        <v>0</v>
      </c>
      <c r="O134" s="128">
        <f>SUMIF('900-958'!$1:$1,O$3,'900-958'!16:16)</f>
        <v>-255900.41</v>
      </c>
      <c r="P134" s="128">
        <f>SUMIF('900-958'!$1:$1,P$3,'900-958'!16:16)</f>
        <v>-17555</v>
      </c>
      <c r="Q134" s="128">
        <f>SUMIF('900-958'!$1:$1,Q$3,'900-958'!16:16)</f>
        <v>-1500</v>
      </c>
      <c r="R134" s="128">
        <f>SUMIF('900-958'!$1:$1,R$3,'900-958'!16:16)</f>
        <v>-149.5</v>
      </c>
      <c r="S134" s="128">
        <f>SUMIF('900-958'!$1:$1,S$3,'900-958'!16:16)</f>
        <v>-16041.79</v>
      </c>
      <c r="T134" s="128">
        <f>SUMIF('900-958'!$1:$1,T$3,'900-958'!16:16)</f>
        <v>-5039.82</v>
      </c>
      <c r="U134" s="128">
        <f>SUMIF('900-958'!$1:$1,U$3,'900-958'!16:16)</f>
        <v>0</v>
      </c>
      <c r="V134" s="128">
        <f>SUMIF('900-958'!$1:$1,V$3,'900-958'!16:16)</f>
        <v>0</v>
      </c>
      <c r="W134" s="128">
        <f>SUMIF('900-958'!$1:$1,W$3,'900-958'!16:16)</f>
        <v>-900</v>
      </c>
      <c r="X134" s="128">
        <f>SUMIF('900-958'!$1:$1,X$3,'900-958'!16:16)</f>
        <v>-1600</v>
      </c>
      <c r="Y134" s="164">
        <f>SUMIF('900-958'!$1:$1,Y$3,'900-958'!16:16)</f>
        <v>0</v>
      </c>
      <c r="Z134" s="128">
        <f>SUMIF('900-958'!$1:$1,Z$3,'900-958'!16:16)</f>
        <v>0</v>
      </c>
      <c r="AA134" s="128">
        <f>SUMIF('900-958'!$1:$1,AA$3,'900-958'!16:16)</f>
        <v>0</v>
      </c>
      <c r="AB134" s="128">
        <f>SUMIF('900-958'!$1:$1,AB$3,'900-958'!16:16)</f>
        <v>0</v>
      </c>
      <c r="AC134" s="314">
        <f>SUMIF('900-958'!$1:$1,AC$3,'900-958'!16:16)</f>
        <v>0</v>
      </c>
      <c r="AD134" s="314">
        <f>SUMIF('900-958'!$1:$1,AD$3,'900-958'!16:16)</f>
        <v>0</v>
      </c>
      <c r="AE134" s="314">
        <f>SUMIF('900-958'!$1:$1,AE$3,'900-958'!16:16)</f>
        <v>0</v>
      </c>
      <c r="AF134" s="314">
        <f>SUMIF('900-958'!$1:$1,AF$3,'900-958'!16:16)</f>
        <v>0</v>
      </c>
      <c r="AG134" s="128">
        <f>SUMIF('900-958'!$1:$1,AG$3,'900-958'!16:16)</f>
        <v>1233306.2899999998</v>
      </c>
      <c r="AH134" s="128">
        <f>SUMIF('900-958'!$1:$1,AH$3,'900-958'!16:16)</f>
        <v>10632.53</v>
      </c>
      <c r="AI134" s="128">
        <f>SUMIF('900-958'!$1:$1,AI$3,'900-958'!16:16)</f>
        <v>439482.02</v>
      </c>
      <c r="AJ134" s="128">
        <f>SUMIF('900-958'!$1:$1,AJ$3,'900-958'!16:16)</f>
        <v>45420.590000000011</v>
      </c>
      <c r="AK134" s="128">
        <f>SUMIF('900-958'!$1:$1,AK$3,'900-958'!16:16)</f>
        <v>158180.85</v>
      </c>
      <c r="AL134" s="128">
        <f>SUMIF('900-958'!$1:$1,AL$3,'900-958'!16:16)</f>
        <v>0</v>
      </c>
      <c r="AM134" s="128">
        <f>SUMIF('900-958'!$1:$1,AM$3,'900-958'!16:16)</f>
        <v>25338.829999999998</v>
      </c>
      <c r="AN134" s="128">
        <f>SUMIF('900-958'!$1:$1,AN$3,'900-958'!16:16)</f>
        <v>6939.2</v>
      </c>
      <c r="AO134" s="128">
        <f>SUMIF('900-958'!$1:$1,AO$3,'900-958'!16:16)</f>
        <v>3692</v>
      </c>
      <c r="AP134" s="128">
        <f>SUMIF('900-958'!$1:$1,AP$3,'900-958'!16:16)</f>
        <v>951.6</v>
      </c>
      <c r="AQ134" s="128">
        <f>SUMIF('900-958'!$1:$1,AQ$3,'900-958'!16:16)</f>
        <v>0</v>
      </c>
      <c r="AR134" s="128">
        <f>SUMIF('900-958'!$1:$1,AR$3,'900-958'!16:16)</f>
        <v>24618.980000000003</v>
      </c>
      <c r="AS134" s="128">
        <f>SUMIF('900-958'!$1:$1,AS$3,'900-958'!16:16)</f>
        <v>2019.0399999999995</v>
      </c>
      <c r="AT134" s="128">
        <f>SUMIF('900-958'!$1:$1,AT$3,'900-958'!16:16)</f>
        <v>9729.15</v>
      </c>
      <c r="AU134" s="128">
        <f>SUMIF('900-958'!$1:$1,AU$3,'900-958'!16:16)</f>
        <v>12214.749999999998</v>
      </c>
      <c r="AV134" s="128">
        <f>SUMIF('900-958'!$1:$1,AV$3,'900-958'!16:16)</f>
        <v>23089.980000000003</v>
      </c>
      <c r="AW134" s="128">
        <f>SUMIF('900-958'!$1:$1,AW$3,'900-958'!16:16)</f>
        <v>22704.5</v>
      </c>
      <c r="AX134" s="128">
        <f>SUMIF('900-958'!$1:$1,AX$3,'900-958'!16:16)</f>
        <v>6801.2999999999984</v>
      </c>
      <c r="AY134" s="128">
        <f>SUMIF('900-958'!$1:$1,AY$3,'900-958'!16:16)</f>
        <v>57970.9</v>
      </c>
      <c r="AZ134" s="314">
        <f>SUMIF('900-958'!$1:$1,AZ$3,'900-958'!16:16)</f>
        <v>0</v>
      </c>
      <c r="BA134" s="128">
        <f>SUMIF('900-958'!$1:$1,BA$3,'900-958'!16:16)</f>
        <v>2820.31</v>
      </c>
      <c r="BB134" s="128">
        <f>SUMIF('900-958'!$1:$1,BB$3,'900-958'!16:16)</f>
        <v>0</v>
      </c>
      <c r="BC134" s="128">
        <f>SUMIF('900-958'!$1:$1,BC$3,'900-958'!16:16)</f>
        <v>9874.739999999998</v>
      </c>
      <c r="BD134" s="128">
        <f>SUMIF('900-958'!$1:$1,BD$3,'900-958'!16:16)</f>
        <v>10413.130000000001</v>
      </c>
      <c r="BE134" s="128">
        <f>SUMIF('900-958'!$1:$1,BE$3,'900-958'!16:16)</f>
        <v>24.96</v>
      </c>
      <c r="BF134" s="128">
        <f>SUMIF('900-958'!$1:$1,BF$3,'900-958'!16:16)</f>
        <v>48.32</v>
      </c>
      <c r="BG134" s="128">
        <f>SUMIF('900-958'!$1:$1,BG$3,'900-958'!16:16)</f>
        <v>7904</v>
      </c>
      <c r="BH134" s="128">
        <f>SUMIF('900-958'!$1:$1,BH$3,'900-958'!16:16)</f>
        <v>0</v>
      </c>
      <c r="BI134" s="128">
        <f>SUMIF('900-958'!$1:$1,BI$3,'900-958'!16:16)</f>
        <v>6060.5600000000013</v>
      </c>
      <c r="BJ134" s="128">
        <f>SUMIF('900-958'!$1:$1,BJ$3,'900-958'!16:16)</f>
        <v>16841.760000000002</v>
      </c>
      <c r="BK134" s="128">
        <f>SUMIF('900-958'!$1:$1,BK$3,'900-958'!16:16)</f>
        <v>0</v>
      </c>
      <c r="BL134" s="128">
        <f>SUMIF('900-958'!$1:$1,BL$3,'900-958'!16:16)</f>
        <v>92548.4</v>
      </c>
      <c r="BM134" s="128">
        <f>SUMIF('900-958'!$1:$1,BM$3,'900-958'!16:16)</f>
        <v>28796.390000000003</v>
      </c>
      <c r="BN134" s="128">
        <f>SUMIF('900-958'!$1:$1,BN$3,'900-958'!16:16)</f>
        <v>113925.36</v>
      </c>
      <c r="BO134" s="128">
        <f>SUMIF('900-958'!$1:$1,BO$3,'900-958'!16:16)</f>
        <v>31208.550000000003</v>
      </c>
      <c r="BP134" s="128">
        <f>SUMIF('900-958'!$1:$1,BP$3,'900-958'!16:16)</f>
        <v>0</v>
      </c>
      <c r="BQ134" s="128">
        <f>SUMIF('900-958'!$1:$1,BQ$3,'900-958'!16:16)</f>
        <v>0</v>
      </c>
      <c r="BR134" s="128">
        <f>SUMIF('900-958'!$1:$1,BR$3,'900-958'!16:16)</f>
        <v>29933.489999999998</v>
      </c>
      <c r="BS134" s="128">
        <f>SUMIF('900-958'!$1:$1,BS$3,'900-958'!16:16)</f>
        <v>0</v>
      </c>
      <c r="BT134" s="128">
        <f>SUMIF('900-958'!$1:$1,BT$3,'900-958'!16:16)</f>
        <v>0</v>
      </c>
      <c r="BU134" s="128">
        <f>SUMIF('900-958'!$1:$1,BU$3,'900-958'!16:16)</f>
        <v>-7532.5</v>
      </c>
      <c r="BV134" s="128">
        <f>SUMIF('900-958'!$1:$1,BV$3,'900-958'!16:16)</f>
        <v>0</v>
      </c>
      <c r="BW134" s="128">
        <f>SUMIF('900-958'!$1:$1,BW$3,'900-958'!16:16)</f>
        <v>-29933.489999999998</v>
      </c>
      <c r="BX134" s="128">
        <f>SUMIF('900-958'!$1:$1,BX$3,'900-958'!16:16)</f>
        <v>0</v>
      </c>
      <c r="BY134" s="128">
        <f>SUMIF('900-958'!$1:$1,BY$3,'900-958'!16:16)</f>
        <v>16548.760000000002</v>
      </c>
      <c r="BZ134" s="128">
        <f>SUMIF('900-958'!$1:$1,BZ$3,'900-958'!16:16)</f>
        <v>0</v>
      </c>
      <c r="CA134" s="314">
        <f>SUMIF('900-958'!$1:$1,CA$3,'900-958'!16:16)</f>
        <v>0</v>
      </c>
      <c r="CB134" s="128">
        <f>SUMIF('900-958'!$1:$1,CB$3,'900-958'!16:16)</f>
        <v>0</v>
      </c>
      <c r="CC134" s="128">
        <f>SUMIF('900-958'!$1:$1,CC$3,'900-958'!16:16)</f>
        <v>9534</v>
      </c>
      <c r="CD134" s="128">
        <f>SUMIF('900-958'!$1:$1,CD$3,'900-958'!16:16)</f>
        <v>0</v>
      </c>
      <c r="CE134" s="128">
        <f>SUMIF('900-958'!$1:$1,CE$3,'900-958'!16:16)</f>
        <v>3807.9799999999996</v>
      </c>
      <c r="CF134" s="128">
        <f>SUMIF('900-958'!$1:$1,CF$3,'900-958'!16:16)</f>
        <v>0</v>
      </c>
      <c r="CG134" s="257">
        <f t="shared" si="45"/>
        <v>-396475.7900000001</v>
      </c>
      <c r="CJ134" s="122"/>
      <c r="CK134" s="169">
        <f>INDEX(SAP!C:C,MATCH('Actuals mapped to CFR'!A134,SAP!H:H,FALSE),1)</f>
        <v>-396475.79</v>
      </c>
      <c r="CL134" s="59">
        <f t="shared" si="54"/>
        <v>0</v>
      </c>
      <c r="CN134" s="81">
        <f t="shared" si="47"/>
        <v>2464937.6300000004</v>
      </c>
      <c r="CO134" s="81">
        <f t="shared" si="48"/>
        <v>2433492.4799999995</v>
      </c>
      <c r="CP134" s="166">
        <f>VLOOKUP(B134,'2526 GBP Data input'!$A$4:$CA$230,38,FALSE)</f>
        <v>2395532</v>
      </c>
      <c r="CQ134" s="166">
        <f>VLOOKUP(B134,'2526 GBP Data input'!$A$4:$CA$230,73,FALSE)</f>
        <v>18565</v>
      </c>
      <c r="CR134" s="89">
        <f t="shared" si="39"/>
        <v>69405.630000000354</v>
      </c>
      <c r="CS134" s="83">
        <f t="shared" si="40"/>
        <v>131.07958416374896</v>
      </c>
      <c r="CT134" s="82">
        <f t="shared" si="51"/>
        <v>383530.48000000091</v>
      </c>
      <c r="CU134" s="82">
        <f t="shared" si="52"/>
        <v>18341.979999999996</v>
      </c>
      <c r="CV134" s="86">
        <f t="shared" si="44"/>
        <v>401872.46000000089</v>
      </c>
      <c r="CX134" s="116"/>
    </row>
    <row r="135" spans="1:102" ht="13.5" thickBot="1">
      <c r="A135" s="258">
        <v>107958</v>
      </c>
      <c r="B135" s="230">
        <v>958</v>
      </c>
      <c r="C135" s="230" t="s">
        <v>418</v>
      </c>
      <c r="D135" s="128">
        <f>SUMIF('900-958'!$1:$1,D$3,'900-958'!17:17)</f>
        <v>-248211.18</v>
      </c>
      <c r="E135" s="128">
        <f>SUMIF('900-958'!$1:$1,E$3,'900-958'!17:17)</f>
        <v>-23886.65</v>
      </c>
      <c r="F135" s="128">
        <f>SUMIF('900-958'!$1:$1,F$3,'900-958'!17:17)</f>
        <v>0</v>
      </c>
      <c r="G135" s="128">
        <f>SUMIF('900-958'!$1:$1,G$3,'900-958'!17:17)</f>
        <v>-13300.09</v>
      </c>
      <c r="H135" s="128">
        <f>SUMIF('900-958'!$1:$1,H$3,'900-958'!17:17)</f>
        <v>0</v>
      </c>
      <c r="I135" s="128">
        <f>SUMIF('900-958'!$1:$1,I$3,'900-958'!17:17)</f>
        <v>0</v>
      </c>
      <c r="J135" s="128">
        <f>SUMIF('900-958'!$1:$1,J$3,'900-958'!17:17)</f>
        <v>-9548.4699999999993</v>
      </c>
      <c r="K135" s="128">
        <f>SUMIF('900-958'!$1:$1,K$3,'900-958'!17:17)</f>
        <v>-2277327.83</v>
      </c>
      <c r="L135" s="128">
        <f>SUMIF('900-958'!$1:$1,L$3,'900-958'!17:17)</f>
        <v>0</v>
      </c>
      <c r="M135" s="128">
        <f>SUMIF('900-958'!$1:$1,M$3,'900-958'!17:17)</f>
        <v>-362075</v>
      </c>
      <c r="N135" s="128">
        <f>SUMIF('900-958'!$1:$1,N$3,'900-958'!17:17)</f>
        <v>0</v>
      </c>
      <c r="O135" s="128">
        <f>SUMIF('900-958'!$1:$1,O$3,'900-958'!17:17)</f>
        <v>-115580</v>
      </c>
      <c r="P135" s="128">
        <f>SUMIF('900-958'!$1:$1,P$3,'900-958'!17:17)</f>
        <v>-85064.93</v>
      </c>
      <c r="Q135" s="128">
        <f>SUMIF('900-958'!$1:$1,Q$3,'900-958'!17:17)</f>
        <v>0</v>
      </c>
      <c r="R135" s="128">
        <f>SUMIF('900-958'!$1:$1,R$3,'900-958'!17:17)</f>
        <v>-13924.36</v>
      </c>
      <c r="S135" s="128">
        <f>SUMIF('900-958'!$1:$1,S$3,'900-958'!17:17)</f>
        <v>-90499.450000000026</v>
      </c>
      <c r="T135" s="128">
        <f>SUMIF('900-958'!$1:$1,T$3,'900-958'!17:17)</f>
        <v>-28434.799999999992</v>
      </c>
      <c r="U135" s="128">
        <f>SUMIF('900-958'!$1:$1,U$3,'900-958'!17:17)</f>
        <v>-3150</v>
      </c>
      <c r="V135" s="128">
        <f>SUMIF('900-958'!$1:$1,V$3,'900-958'!17:17)</f>
        <v>0</v>
      </c>
      <c r="W135" s="128">
        <f>SUMIF('900-958'!$1:$1,W$3,'900-958'!17:17)</f>
        <v>-37087.349999999984</v>
      </c>
      <c r="X135" s="128">
        <f>SUMIF('900-958'!$1:$1,X$3,'900-958'!17:17)</f>
        <v>-61128.430000000008</v>
      </c>
      <c r="Y135" s="164">
        <f>SUMIF('900-958'!$1:$1,Y$3,'900-958'!17:17)</f>
        <v>0</v>
      </c>
      <c r="Z135" s="128">
        <f>SUMIF('900-958'!$1:$1,Z$3,'900-958'!17:17)</f>
        <v>0</v>
      </c>
      <c r="AA135" s="128">
        <f>SUMIF('900-958'!$1:$1,AA$3,'900-958'!17:17)</f>
        <v>-43158.55</v>
      </c>
      <c r="AB135" s="128">
        <f>SUMIF('900-958'!$1:$1,AB$3,'900-958'!17:17)</f>
        <v>-8793.98</v>
      </c>
      <c r="AC135" s="314">
        <f>SUMIF('900-958'!$1:$1,AC$3,'900-958'!17:17)</f>
        <v>0</v>
      </c>
      <c r="AD135" s="314">
        <f>SUMIF('900-958'!$1:$1,AD$3,'900-958'!17:17)</f>
        <v>0</v>
      </c>
      <c r="AE135" s="314">
        <f>SUMIF('900-958'!$1:$1,AE$3,'900-958'!17:17)</f>
        <v>0</v>
      </c>
      <c r="AF135" s="314">
        <f>SUMIF('900-958'!$1:$1,AF$3,'900-958'!17:17)</f>
        <v>0</v>
      </c>
      <c r="AG135" s="128">
        <f>SUMIF('900-958'!$1:$1,AG$3,'900-958'!17:17)</f>
        <v>1353096.5100000002</v>
      </c>
      <c r="AH135" s="128">
        <f>SUMIF('900-958'!$1:$1,AH$3,'900-958'!17:17)</f>
        <v>7859.2900000000009</v>
      </c>
      <c r="AI135" s="128">
        <f>SUMIF('900-958'!$1:$1,AI$3,'900-958'!17:17)</f>
        <v>690620.31</v>
      </c>
      <c r="AJ135" s="128">
        <f>SUMIF('900-958'!$1:$1,AJ$3,'900-958'!17:17)</f>
        <v>45608.559999999983</v>
      </c>
      <c r="AK135" s="128">
        <f>SUMIF('900-958'!$1:$1,AK$3,'900-958'!17:17)</f>
        <v>156438.31000000003</v>
      </c>
      <c r="AL135" s="128">
        <f>SUMIF('900-958'!$1:$1,AL$3,'900-958'!17:17)</f>
        <v>70898.010000000009</v>
      </c>
      <c r="AM135" s="128">
        <f>SUMIF('900-958'!$1:$1,AM$3,'900-958'!17:17)</f>
        <v>134949.35</v>
      </c>
      <c r="AN135" s="128">
        <f>SUMIF('900-958'!$1:$1,AN$3,'900-958'!17:17)</f>
        <v>1245.95</v>
      </c>
      <c r="AO135" s="128">
        <f>SUMIF('900-958'!$1:$1,AO$3,'900-958'!17:17)</f>
        <v>3981</v>
      </c>
      <c r="AP135" s="128">
        <f>SUMIF('900-958'!$1:$1,AP$3,'900-958'!17:17)</f>
        <v>25321.07</v>
      </c>
      <c r="AQ135" s="128">
        <f>SUMIF('900-958'!$1:$1,AQ$3,'900-958'!17:17)</f>
        <v>0</v>
      </c>
      <c r="AR135" s="128">
        <f>SUMIF('900-958'!$1:$1,AR$3,'900-958'!17:17)</f>
        <v>60352.71</v>
      </c>
      <c r="AS135" s="128">
        <f>SUMIF('900-958'!$1:$1,AS$3,'900-958'!17:17)</f>
        <v>2563.0099999999989</v>
      </c>
      <c r="AT135" s="128">
        <f>SUMIF('900-958'!$1:$1,AT$3,'900-958'!17:17)</f>
        <v>51367.31</v>
      </c>
      <c r="AU135" s="128">
        <f>SUMIF('900-958'!$1:$1,AU$3,'900-958'!17:17)</f>
        <v>6593.01</v>
      </c>
      <c r="AV135" s="128">
        <f>SUMIF('900-958'!$1:$1,AV$3,'900-958'!17:17)</f>
        <v>56127.090000000011</v>
      </c>
      <c r="AW135" s="128">
        <f>SUMIF('900-958'!$1:$1,AW$3,'900-958'!17:17)</f>
        <v>15833.14</v>
      </c>
      <c r="AX135" s="128">
        <f>SUMIF('900-958'!$1:$1,AX$3,'900-958'!17:17)</f>
        <v>12393.639999999998</v>
      </c>
      <c r="AY135" s="128">
        <f>SUMIF('900-958'!$1:$1,AY$3,'900-958'!17:17)</f>
        <v>119430.39999999998</v>
      </c>
      <c r="AZ135" s="314">
        <f>SUMIF('900-958'!$1:$1,AZ$3,'900-958'!17:17)</f>
        <v>0</v>
      </c>
      <c r="BA135" s="128">
        <f>SUMIF('900-958'!$1:$1,BA$3,'900-958'!17:17)</f>
        <v>0</v>
      </c>
      <c r="BB135" s="128">
        <f>SUMIF('900-958'!$1:$1,BB$3,'900-958'!17:17)</f>
        <v>0</v>
      </c>
      <c r="BC135" s="128">
        <f>SUMIF('900-958'!$1:$1,BC$3,'900-958'!17:17)</f>
        <v>0</v>
      </c>
      <c r="BD135" s="128">
        <f>SUMIF('900-958'!$1:$1,BD$3,'900-958'!17:17)</f>
        <v>9102.4699999999993</v>
      </c>
      <c r="BE135" s="128">
        <f>SUMIF('900-958'!$1:$1,BE$3,'900-958'!17:17)</f>
        <v>2207</v>
      </c>
      <c r="BF135" s="128">
        <f>SUMIF('900-958'!$1:$1,BF$3,'900-958'!17:17)</f>
        <v>6.99</v>
      </c>
      <c r="BG135" s="128">
        <f>SUMIF('900-958'!$1:$1,BG$3,'900-958'!17:17)</f>
        <v>7688.82</v>
      </c>
      <c r="BH135" s="128">
        <f>SUMIF('900-958'!$1:$1,BH$3,'900-958'!17:17)</f>
        <v>0</v>
      </c>
      <c r="BI135" s="128">
        <f>SUMIF('900-958'!$1:$1,BI$3,'900-958'!17:17)</f>
        <v>12255.84</v>
      </c>
      <c r="BJ135" s="128">
        <f>SUMIF('900-958'!$1:$1,BJ$3,'900-958'!17:17)</f>
        <v>22107.279999999999</v>
      </c>
      <c r="BK135" s="128">
        <f>SUMIF('900-958'!$1:$1,BK$3,'900-958'!17:17)</f>
        <v>0</v>
      </c>
      <c r="BL135" s="128">
        <f>SUMIF('900-958'!$1:$1,BL$3,'900-958'!17:17)</f>
        <v>33558.699999999968</v>
      </c>
      <c r="BM135" s="128">
        <f>SUMIF('900-958'!$1:$1,BM$3,'900-958'!17:17)</f>
        <v>43100.28</v>
      </c>
      <c r="BN135" s="128">
        <f>SUMIF('900-958'!$1:$1,BN$3,'900-958'!17:17)</f>
        <v>35845.440000000002</v>
      </c>
      <c r="BO135" s="128">
        <f>SUMIF('900-958'!$1:$1,BO$3,'900-958'!17:17)</f>
        <v>48137.200000000012</v>
      </c>
      <c r="BP135" s="128">
        <f>SUMIF('900-958'!$1:$1,BP$3,'900-958'!17:17)</f>
        <v>0</v>
      </c>
      <c r="BQ135" s="128">
        <f>SUMIF('900-958'!$1:$1,BQ$3,'900-958'!17:17)</f>
        <v>0</v>
      </c>
      <c r="BR135" s="128">
        <f>SUMIF('900-958'!$1:$1,BR$3,'900-958'!17:17)</f>
        <v>0</v>
      </c>
      <c r="BS135" s="128">
        <f>SUMIF('900-958'!$1:$1,BS$3,'900-958'!17:17)</f>
        <v>47705.600000000006</v>
      </c>
      <c r="BT135" s="128">
        <f>SUMIF('900-958'!$1:$1,BT$3,'900-958'!17:17)</f>
        <v>941.82999999999993</v>
      </c>
      <c r="BU135" s="128">
        <f>SUMIF('900-958'!$1:$1,BU$3,'900-958'!17:17)</f>
        <v>-8747.5</v>
      </c>
      <c r="BV135" s="128">
        <f>SUMIF('900-958'!$1:$1,BV$3,'900-958'!17:17)</f>
        <v>0</v>
      </c>
      <c r="BW135" s="128">
        <f>SUMIF('900-958'!$1:$1,BW$3,'900-958'!17:17)</f>
        <v>0</v>
      </c>
      <c r="BX135" s="128">
        <f>SUMIF('900-958'!$1:$1,BX$3,'900-958'!17:17)</f>
        <v>0</v>
      </c>
      <c r="BY135" s="128">
        <f>SUMIF('900-958'!$1:$1,BY$3,'900-958'!17:17)</f>
        <v>13710.83</v>
      </c>
      <c r="BZ135" s="128">
        <f>SUMIF('900-958'!$1:$1,BZ$3,'900-958'!17:17)</f>
        <v>0</v>
      </c>
      <c r="CA135" s="314">
        <f>SUMIF('900-958'!$1:$1,CA$3,'900-958'!17:17)</f>
        <v>0</v>
      </c>
      <c r="CB135" s="128">
        <f>SUMIF('900-958'!$1:$1,CB$3,'900-958'!17:17)</f>
        <v>0</v>
      </c>
      <c r="CC135" s="128">
        <f>SUMIF('900-958'!$1:$1,CC$3,'900-958'!17:17)</f>
        <v>0</v>
      </c>
      <c r="CD135" s="128">
        <f>SUMIF('900-958'!$1:$1,CD$3,'900-958'!17:17)</f>
        <v>0</v>
      </c>
      <c r="CE135" s="128">
        <f>SUMIF('900-958'!$1:$1,CE$3,'900-958'!17:17)</f>
        <v>2520</v>
      </c>
      <c r="CF135" s="128">
        <f>SUMIF('900-958'!$1:$1,CF$3,'900-958'!17:17)</f>
        <v>0</v>
      </c>
      <c r="CG135" s="259">
        <f t="shared" si="45"/>
        <v>-336351.62</v>
      </c>
      <c r="CJ135" s="122"/>
      <c r="CK135" s="169">
        <f>INDEX(SAP!C:C,MATCH('Actuals mapped to CFR'!A135,SAP!H:H,FALSE),1)</f>
        <v>-336351.62</v>
      </c>
      <c r="CL135" s="59">
        <f t="shared" si="54"/>
        <v>0</v>
      </c>
      <c r="CN135" s="81">
        <f t="shared" si="47"/>
        <v>3126224.68</v>
      </c>
      <c r="CO135" s="81">
        <f t="shared" si="48"/>
        <v>3077336.12</v>
      </c>
      <c r="CP135" s="166">
        <f>VLOOKUP(B135,'2526 GBP Data input'!$A$4:$CA$230,38,FALSE)</f>
        <v>2888045</v>
      </c>
      <c r="CQ135" s="166">
        <f>VLOOKUP(B135,'2526 GBP Data input'!$A$4:$CA$230,73,FALSE)</f>
        <v>62203</v>
      </c>
      <c r="CR135" s="89">
        <f t="shared" si="39"/>
        <v>238179.68000000017</v>
      </c>
      <c r="CS135" s="83">
        <f t="shared" si="40"/>
        <v>49.47247110267994</v>
      </c>
      <c r="CT135" s="82">
        <f t="shared" si="51"/>
        <v>297099.74000000022</v>
      </c>
      <c r="CU135" s="82">
        <f t="shared" si="52"/>
        <v>8336.76</v>
      </c>
      <c r="CV135" s="86">
        <f t="shared" si="44"/>
        <v>305436.50000000023</v>
      </c>
      <c r="CX135" s="116"/>
    </row>
    <row r="136" spans="1:102" s="132" customFormat="1">
      <c r="D136" s="289">
        <f t="shared" ref="D136:AI136" si="55">SUM(D4:D135)</f>
        <v>-15471500.650000002</v>
      </c>
      <c r="E136" s="289">
        <f t="shared" si="55"/>
        <v>-1466073.45</v>
      </c>
      <c r="F136" s="289">
        <f t="shared" si="55"/>
        <v>2545728.5299999998</v>
      </c>
      <c r="G136" s="289">
        <f t="shared" si="55"/>
        <v>-909997.80999999994</v>
      </c>
      <c r="H136" s="289">
        <f t="shared" si="55"/>
        <v>0</v>
      </c>
      <c r="I136" s="289">
        <f t="shared" si="55"/>
        <v>-56783.89</v>
      </c>
      <c r="J136" s="289">
        <f t="shared" si="55"/>
        <v>-349183.56999999995</v>
      </c>
      <c r="K136" s="289">
        <f t="shared" si="55"/>
        <v>-142743837.27000001</v>
      </c>
      <c r="L136" s="289">
        <f t="shared" si="55"/>
        <v>-6834.96</v>
      </c>
      <c r="M136" s="289">
        <f t="shared" si="55"/>
        <v>-27245338.91</v>
      </c>
      <c r="N136" s="289">
        <f t="shared" si="55"/>
        <v>-19260</v>
      </c>
      <c r="O136" s="289">
        <f t="shared" si="55"/>
        <v>-7407129.5300000003</v>
      </c>
      <c r="P136" s="289">
        <f t="shared" si="55"/>
        <v>-6413534.8800000008</v>
      </c>
      <c r="Q136" s="289">
        <f t="shared" si="55"/>
        <v>-539793.27</v>
      </c>
      <c r="R136" s="289">
        <f t="shared" si="55"/>
        <v>-322311.90999999997</v>
      </c>
      <c r="S136" s="289">
        <f t="shared" si="55"/>
        <v>-4716165.7100000018</v>
      </c>
      <c r="T136" s="289">
        <f t="shared" si="55"/>
        <v>-493341.39</v>
      </c>
      <c r="U136" s="289">
        <f t="shared" si="55"/>
        <v>-209927.9</v>
      </c>
      <c r="V136" s="289">
        <f t="shared" si="55"/>
        <v>-86496.950000000012</v>
      </c>
      <c r="W136" s="289">
        <f t="shared" si="55"/>
        <v>-2089946.1700000009</v>
      </c>
      <c r="X136" s="289">
        <f t="shared" si="55"/>
        <v>-989352.04000000015</v>
      </c>
      <c r="Y136" s="289">
        <f t="shared" si="55"/>
        <v>0</v>
      </c>
      <c r="Z136" s="289">
        <f t="shared" si="55"/>
        <v>0</v>
      </c>
      <c r="AA136" s="289">
        <f t="shared" si="55"/>
        <v>-3249662.8600000008</v>
      </c>
      <c r="AB136" s="289">
        <f t="shared" si="55"/>
        <v>-347741.43999999994</v>
      </c>
      <c r="AC136" s="289">
        <f t="shared" si="55"/>
        <v>0</v>
      </c>
      <c r="AD136" s="289">
        <f t="shared" si="55"/>
        <v>0</v>
      </c>
      <c r="AE136" s="289">
        <f t="shared" si="55"/>
        <v>0</v>
      </c>
      <c r="AF136" s="289">
        <f t="shared" si="55"/>
        <v>0</v>
      </c>
      <c r="AG136" s="289">
        <f t="shared" si="55"/>
        <v>88812901.780000031</v>
      </c>
      <c r="AH136" s="289">
        <f t="shared" si="55"/>
        <v>1684858.9900000005</v>
      </c>
      <c r="AI136" s="289">
        <f t="shared" si="55"/>
        <v>41120356.809999987</v>
      </c>
      <c r="AJ136" s="289">
        <f t="shared" ref="AJ136:BO136" si="56">SUM(AJ4:AJ135)</f>
        <v>3736032.7000000007</v>
      </c>
      <c r="AK136" s="289">
        <f t="shared" si="56"/>
        <v>9837210.9999999981</v>
      </c>
      <c r="AL136" s="289">
        <f t="shared" si="56"/>
        <v>730682.95000000007</v>
      </c>
      <c r="AM136" s="289">
        <f t="shared" si="56"/>
        <v>5689093.4600000018</v>
      </c>
      <c r="AN136" s="289">
        <f t="shared" si="56"/>
        <v>757702.48999999976</v>
      </c>
      <c r="AO136" s="289">
        <f t="shared" si="56"/>
        <v>665600.46000000008</v>
      </c>
      <c r="AP136" s="289">
        <f t="shared" si="56"/>
        <v>529260.30999999971</v>
      </c>
      <c r="AQ136" s="289">
        <f t="shared" si="56"/>
        <v>202417.39</v>
      </c>
      <c r="AR136" s="289">
        <f t="shared" si="56"/>
        <v>2284602.3200000003</v>
      </c>
      <c r="AS136" s="289">
        <f t="shared" si="56"/>
        <v>574931.54</v>
      </c>
      <c r="AT136" s="289">
        <f t="shared" si="56"/>
        <v>2126039.5699999998</v>
      </c>
      <c r="AU136" s="289">
        <f t="shared" si="56"/>
        <v>527660.93999999994</v>
      </c>
      <c r="AV136" s="289">
        <f t="shared" si="56"/>
        <v>2626877.0099999993</v>
      </c>
      <c r="AW136" s="289">
        <f t="shared" si="56"/>
        <v>2001986.0100000002</v>
      </c>
      <c r="AX136" s="289">
        <f t="shared" si="56"/>
        <v>737495.03000000014</v>
      </c>
      <c r="AY136" s="289">
        <f t="shared" si="56"/>
        <v>6769381.129999999</v>
      </c>
      <c r="AZ136" s="289">
        <f t="shared" si="56"/>
        <v>16009.720000000007</v>
      </c>
      <c r="BA136" s="289">
        <f t="shared" si="56"/>
        <v>421951.73999999993</v>
      </c>
      <c r="BB136" s="289">
        <f t="shared" si="56"/>
        <v>14066.689999999999</v>
      </c>
      <c r="BC136" s="289">
        <f t="shared" si="56"/>
        <v>477097.17999999988</v>
      </c>
      <c r="BD136" s="289">
        <f t="shared" si="56"/>
        <v>655809.94999999984</v>
      </c>
      <c r="BE136" s="289">
        <f t="shared" si="56"/>
        <v>345396.59999999992</v>
      </c>
      <c r="BF136" s="289">
        <f t="shared" si="56"/>
        <v>189259.31000000006</v>
      </c>
      <c r="BG136" s="289">
        <f t="shared" si="56"/>
        <v>780290.42000000016</v>
      </c>
      <c r="BH136" s="289">
        <f t="shared" si="56"/>
        <v>46168.649999999994</v>
      </c>
      <c r="BI136" s="289">
        <f t="shared" si="56"/>
        <v>749897.2699999999</v>
      </c>
      <c r="BJ136" s="289">
        <f t="shared" si="56"/>
        <v>1323955.3799999999</v>
      </c>
      <c r="BK136" s="289">
        <f t="shared" si="56"/>
        <v>80181.989999999991</v>
      </c>
      <c r="BL136" s="289">
        <f t="shared" si="56"/>
        <v>5530148.3599999994</v>
      </c>
      <c r="BM136" s="289">
        <f t="shared" si="56"/>
        <v>2151408.5899999994</v>
      </c>
      <c r="BN136" s="289">
        <f t="shared" si="56"/>
        <v>5208632.6800000006</v>
      </c>
      <c r="BO136" s="289">
        <f t="shared" si="56"/>
        <v>3277017.5099999979</v>
      </c>
      <c r="BP136" s="289">
        <f t="shared" ref="BP136:CF136" si="57">SUM(BP4:BP135)</f>
        <v>0</v>
      </c>
      <c r="BQ136" s="289">
        <f t="shared" si="57"/>
        <v>0</v>
      </c>
      <c r="BR136" s="289">
        <f t="shared" si="57"/>
        <v>142013.53</v>
      </c>
      <c r="BS136" s="289">
        <f t="shared" si="57"/>
        <v>2736192.79</v>
      </c>
      <c r="BT136" s="289">
        <f t="shared" si="57"/>
        <v>366591.23000000004</v>
      </c>
      <c r="BU136" s="289">
        <f t="shared" si="57"/>
        <v>-1363396.9099999997</v>
      </c>
      <c r="BV136" s="289">
        <f t="shared" si="57"/>
        <v>-11000</v>
      </c>
      <c r="BW136" s="289">
        <f t="shared" si="57"/>
        <v>-136931.38</v>
      </c>
      <c r="BX136" s="289">
        <f t="shared" si="57"/>
        <v>0</v>
      </c>
      <c r="BY136" s="289">
        <f t="shared" si="57"/>
        <v>1494748.9800000002</v>
      </c>
      <c r="BZ136" s="289">
        <f t="shared" si="57"/>
        <v>69148.909999999989</v>
      </c>
      <c r="CA136" s="289">
        <f t="shared" si="57"/>
        <v>0</v>
      </c>
      <c r="CB136" s="289">
        <f t="shared" si="57"/>
        <v>22512.26</v>
      </c>
      <c r="CC136" s="289">
        <f t="shared" si="57"/>
        <v>43949.33</v>
      </c>
      <c r="CD136" s="289">
        <f t="shared" si="57"/>
        <v>17133.96</v>
      </c>
      <c r="CE136" s="289">
        <f t="shared" si="57"/>
        <v>199408.13000000003</v>
      </c>
      <c r="CF136" s="289">
        <f t="shared" si="57"/>
        <v>33278.939999999995</v>
      </c>
      <c r="CJ136" s="132">
        <f>SUM(CJ4:CJ135)</f>
        <v>0</v>
      </c>
      <c r="CK136" s="232"/>
      <c r="CL136" s="232">
        <f>SUM(CL4:CL135)</f>
        <v>0</v>
      </c>
      <c r="CN136" s="289">
        <f>SUM(CN4:CN135)</f>
        <v>196880675.19000006</v>
      </c>
      <c r="CR136" s="290"/>
    </row>
    <row r="138" spans="1:102">
      <c r="M138" s="201">
        <f>M136+M137</f>
        <v>-27245338.91</v>
      </c>
      <c r="N138" s="201">
        <f t="shared" ref="N138" si="58">N136+N137</f>
        <v>-19260</v>
      </c>
      <c r="O138" s="201">
        <f t="shared" ref="O138" si="59">O136+O137</f>
        <v>-7407129.5300000003</v>
      </c>
      <c r="P138" s="201">
        <f t="shared" ref="P138" si="60">P136+P137</f>
        <v>-6413534.8800000008</v>
      </c>
      <c r="Q138" s="201">
        <f t="shared" ref="Q138" si="61">Q136+Q137</f>
        <v>-539793.27</v>
      </c>
      <c r="R138" s="201">
        <f t="shared" ref="R138" si="62">R136+R137</f>
        <v>-322311.90999999997</v>
      </c>
      <c r="S138" s="201">
        <f t="shared" ref="S138" si="63">S136+S137</f>
        <v>-4716165.7100000018</v>
      </c>
      <c r="T138" s="201">
        <f t="shared" ref="T138" si="64">T136+T137</f>
        <v>-493341.39</v>
      </c>
      <c r="U138" s="201">
        <f t="shared" ref="U138" si="65">U136+U137</f>
        <v>-209927.9</v>
      </c>
      <c r="V138" s="201">
        <f t="shared" ref="V138" si="66">V136+V137</f>
        <v>-86496.950000000012</v>
      </c>
      <c r="W138" s="201">
        <f t="shared" ref="W138" si="67">W136+W137</f>
        <v>-2089946.1700000009</v>
      </c>
      <c r="X138" s="201">
        <f t="shared" ref="X138" si="68">X136+X137</f>
        <v>-989352.04000000015</v>
      </c>
      <c r="Y138" s="201">
        <f t="shared" ref="Y138" si="69">Y136+Y137</f>
        <v>0</v>
      </c>
      <c r="Z138" s="201">
        <f t="shared" ref="Z138" si="70">Z136+Z137</f>
        <v>0</v>
      </c>
      <c r="AA138" s="201">
        <f t="shared" ref="AA138" si="71">AA136+AA137</f>
        <v>-3249662.8600000008</v>
      </c>
      <c r="AB138" s="201">
        <f t="shared" ref="AB138" si="72">AB136+AB137</f>
        <v>-347741.43999999994</v>
      </c>
      <c r="AC138" s="201">
        <f t="shared" ref="AC138" si="73">AC136+AC137</f>
        <v>0</v>
      </c>
      <c r="AD138" s="201">
        <f t="shared" ref="AD138" si="74">AD136+AD137</f>
        <v>0</v>
      </c>
      <c r="AE138" s="201">
        <f t="shared" ref="AE138" si="75">AE136+AE137</f>
        <v>0</v>
      </c>
      <c r="AF138" s="201">
        <f t="shared" ref="AF138" si="76">AF136+AF137</f>
        <v>0</v>
      </c>
      <c r="AG138" s="201">
        <f>AG136-AG137</f>
        <v>88812901.780000031</v>
      </c>
      <c r="AH138" s="201">
        <f>AH136-AH137</f>
        <v>1684858.9900000005</v>
      </c>
      <c r="AI138" s="201">
        <f t="shared" ref="AI138:AW138" si="77">AI136-AI137</f>
        <v>41120356.809999987</v>
      </c>
      <c r="AJ138" s="201">
        <f t="shared" si="77"/>
        <v>3736032.7000000007</v>
      </c>
      <c r="AK138" s="201">
        <f t="shared" si="77"/>
        <v>9837210.9999999981</v>
      </c>
      <c r="AL138" s="201">
        <f t="shared" si="77"/>
        <v>730682.95000000007</v>
      </c>
      <c r="AM138" s="201">
        <f t="shared" si="77"/>
        <v>5689093.4600000018</v>
      </c>
      <c r="AN138" s="201">
        <f t="shared" si="77"/>
        <v>757702.48999999976</v>
      </c>
      <c r="AO138" s="201">
        <f t="shared" si="77"/>
        <v>665600.46000000008</v>
      </c>
      <c r="AP138" s="201">
        <f t="shared" si="77"/>
        <v>529260.30999999971</v>
      </c>
      <c r="AQ138" s="201">
        <f t="shared" si="77"/>
        <v>202417.39</v>
      </c>
      <c r="AR138" s="201">
        <f t="shared" si="77"/>
        <v>2284602.3200000003</v>
      </c>
      <c r="AS138" s="201">
        <f t="shared" si="77"/>
        <v>574931.54</v>
      </c>
      <c r="AT138" s="201">
        <f t="shared" si="77"/>
        <v>2126039.5699999998</v>
      </c>
      <c r="AU138" s="201">
        <f t="shared" si="77"/>
        <v>527660.93999999994</v>
      </c>
      <c r="AV138" s="201">
        <f t="shared" si="77"/>
        <v>2626877.0099999993</v>
      </c>
      <c r="AW138" s="201">
        <f t="shared" si="77"/>
        <v>2001986.0100000002</v>
      </c>
      <c r="AX138" s="201">
        <f>AX136-AX137</f>
        <v>737495.03000000014</v>
      </c>
      <c r="AY138" s="201">
        <f t="shared" ref="AY138" si="78">AY136-AY137</f>
        <v>6769381.129999999</v>
      </c>
      <c r="AZ138" s="201">
        <f t="shared" ref="AZ138" si="79">AZ136-AZ137</f>
        <v>16009.720000000007</v>
      </c>
      <c r="BA138" s="201">
        <f t="shared" ref="BA138" si="80">BA136-BA137</f>
        <v>421951.73999999993</v>
      </c>
      <c r="BB138" s="201">
        <f t="shared" ref="BB138" si="81">BB136-BB137</f>
        <v>14066.689999999999</v>
      </c>
      <c r="BC138" s="201">
        <f t="shared" ref="BC138" si="82">BC136-BC137</f>
        <v>477097.17999999988</v>
      </c>
      <c r="BD138" s="201">
        <f>BD136-BD137</f>
        <v>655809.94999999984</v>
      </c>
      <c r="BE138" s="201">
        <f t="shared" ref="BE138" si="83">BE136-BE137</f>
        <v>345396.59999999992</v>
      </c>
      <c r="BF138" s="201">
        <f t="shared" ref="BF138" si="84">BF136-BF137</f>
        <v>189259.31000000006</v>
      </c>
      <c r="BG138" s="201">
        <f t="shared" ref="BG138" si="85">BG136-BG137</f>
        <v>780290.42000000016</v>
      </c>
      <c r="BH138" s="201">
        <f t="shared" ref="BH138" si="86">BH136-BH137</f>
        <v>46168.649999999994</v>
      </c>
      <c r="BI138" s="201">
        <f>BI136-BI137</f>
        <v>749897.2699999999</v>
      </c>
      <c r="BJ138" s="201">
        <f t="shared" ref="BJ138" si="87">BJ136-BJ137</f>
        <v>1323955.3799999999</v>
      </c>
      <c r="BK138" s="201">
        <f t="shared" ref="BK138" si="88">BK136-BK137</f>
        <v>80181.989999999991</v>
      </c>
      <c r="BL138" s="201">
        <f t="shared" ref="BL138" si="89">BL136-BL137</f>
        <v>5530148.3599999994</v>
      </c>
      <c r="BM138" s="201">
        <f t="shared" ref="BM138" si="90">BM136-BM137</f>
        <v>2151408.5899999994</v>
      </c>
      <c r="BN138" s="201">
        <f t="shared" ref="BN138" si="91">BN136-BN137</f>
        <v>5208632.6800000006</v>
      </c>
      <c r="BO138" s="201">
        <f t="shared" ref="BO138" si="92">BO136-BO137</f>
        <v>3277017.5099999979</v>
      </c>
      <c r="BP138" s="201">
        <f t="shared" ref="BP138" si="93">BP136-BP137</f>
        <v>0</v>
      </c>
      <c r="BQ138" s="201">
        <f t="shared" ref="BQ138" si="94">BQ136-BQ137</f>
        <v>0</v>
      </c>
      <c r="BR138" s="201">
        <f t="shared" ref="BR138" si="95">BR136-BR137</f>
        <v>142013.53</v>
      </c>
      <c r="BS138" s="201">
        <f t="shared" ref="BS138" si="96">BS136-BS137</f>
        <v>2736192.79</v>
      </c>
      <c r="BT138" s="201">
        <f t="shared" ref="BT138" si="97">BT136-BT137</f>
        <v>366591.23000000004</v>
      </c>
      <c r="BU138" s="201">
        <f>BU136+BU137</f>
        <v>-1363396.9099999997</v>
      </c>
      <c r="BV138" s="201">
        <f t="shared" ref="BV138:BX138" si="98">BV136+BV137</f>
        <v>-11000</v>
      </c>
      <c r="BW138" s="201">
        <f t="shared" si="98"/>
        <v>-136931.38</v>
      </c>
      <c r="BX138" s="201">
        <f t="shared" si="98"/>
        <v>0</v>
      </c>
      <c r="BY138" s="201">
        <f>BY136-BY137</f>
        <v>1494748.9800000002</v>
      </c>
      <c r="BZ138" s="201">
        <f t="shared" ref="BZ138:CF138" si="99">BZ136-BZ137</f>
        <v>69148.909999999989</v>
      </c>
      <c r="CA138" s="201">
        <f t="shared" si="99"/>
        <v>0</v>
      </c>
      <c r="CB138" s="201">
        <f t="shared" si="99"/>
        <v>22512.26</v>
      </c>
      <c r="CC138" s="201">
        <f t="shared" si="99"/>
        <v>43949.33</v>
      </c>
      <c r="CD138" s="201">
        <f t="shared" si="99"/>
        <v>17133.96</v>
      </c>
      <c r="CE138" s="201">
        <f t="shared" si="99"/>
        <v>199408.13000000003</v>
      </c>
      <c r="CF138" s="201">
        <f t="shared" si="99"/>
        <v>33278.939999999995</v>
      </c>
      <c r="CK138" s="170">
        <f>SUM(CK4:CK135)</f>
        <v>-16292452.329999996</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B3" activePane="bottomRight" state="frozen"/>
      <selection activeCell="Z1" sqref="Z1:AC1048576"/>
      <selection pane="topRight" activeCell="Z1" sqref="Z1:AC1048576"/>
      <selection pane="bottomLeft" activeCell="Z1" sqref="Z1:AC1048576"/>
      <selection pane="bottomRight" activeCell="L32" sqref="L32"/>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B1" s="139" t="str">
        <f>VLOOKUP(B2,'Sch Nums for Downloads'!$P$5:$Q$487,2,FALSE)</f>
        <v>E03</v>
      </c>
      <c r="C1" s="139" t="str">
        <f>VLOOKUP(C2,'Sch Nums for Downloads'!$P$5:$Q$487,2,FALSE)</f>
        <v>E01</v>
      </c>
      <c r="D1" s="139" t="str">
        <f>VLOOKUP(D2,'Sch Nums for Downloads'!$P$5:$Q$487,2,FALSE)</f>
        <v>E01</v>
      </c>
      <c r="E1" s="139" t="str">
        <f>VLOOKUP(E2,'Sch Nums for Downloads'!$P$5:$Q$487,2,FALSE)</f>
        <v>E26</v>
      </c>
      <c r="F1" s="139" t="str">
        <f>VLOOKUP(F2,'Sch Nums for Downloads'!$P$5:$Q$487,2,FALSE)</f>
        <v>E01</v>
      </c>
      <c r="G1" s="139" t="str">
        <f>VLOOKUP(G2,'Sch Nums for Downloads'!$P$5:$Q$487,2,FALSE)</f>
        <v>E01</v>
      </c>
      <c r="H1" s="139" t="str">
        <f>VLOOKUP(H2,'Sch Nums for Downloads'!$P$5:$Q$487,2,FALSE)</f>
        <v>E02</v>
      </c>
      <c r="I1" s="139" t="str">
        <f>VLOOKUP(I2,'Sch Nums for Downloads'!$P$5:$Q$487,2,FALSE)</f>
        <v>E02</v>
      </c>
      <c r="J1" s="139" t="str">
        <f>VLOOKUP(J2,'Sch Nums for Downloads'!$P$5:$Q$487,2,FALSE)</f>
        <v>E02</v>
      </c>
      <c r="K1" s="139" t="str">
        <f>VLOOKUP(K2,'Sch Nums for Downloads'!$P$5:$Q$487,2,FALSE)</f>
        <v>E02</v>
      </c>
      <c r="L1" s="139" t="str">
        <f>VLOOKUP(L2,'Sch Nums for Downloads'!$P$5:$Q$487,2,FALSE)</f>
        <v>E03</v>
      </c>
      <c r="M1" s="139" t="str">
        <f>VLOOKUP(M2,'Sch Nums for Downloads'!$P$5:$Q$487,2,FALSE)</f>
        <v>E03</v>
      </c>
      <c r="N1" s="139" t="str">
        <f>VLOOKUP(N2,'Sch Nums for Downloads'!$P$5:$Q$487,2,FALSE)</f>
        <v>E03</v>
      </c>
      <c r="O1" s="139" t="str">
        <f>VLOOKUP(O2,'Sch Nums for Downloads'!$P$5:$Q$487,2,FALSE)</f>
        <v>E03</v>
      </c>
      <c r="P1" s="139" t="str">
        <f>VLOOKUP(P2,'Sch Nums for Downloads'!$P$5:$Q$487,2,FALSE)</f>
        <v>E03</v>
      </c>
      <c r="Q1" s="139" t="str">
        <f>VLOOKUP(Q2,'Sch Nums for Downloads'!$P$5:$Q$487,2,FALSE)</f>
        <v>E03</v>
      </c>
      <c r="R1" s="139" t="str">
        <f>VLOOKUP(R2,'Sch Nums for Downloads'!$P$5:$Q$487,2,FALSE)</f>
        <v>E03</v>
      </c>
      <c r="S1" s="139" t="str">
        <f>VLOOKUP(S2,'Sch Nums for Downloads'!$P$5:$Q$487,2,FALSE)</f>
        <v>E03</v>
      </c>
      <c r="T1" s="139" t="str">
        <f>VLOOKUP(T2,'Sch Nums for Downloads'!$P$5:$Q$487,2,FALSE)</f>
        <v>E03</v>
      </c>
      <c r="U1" s="139" t="str">
        <f>VLOOKUP(U2,'Sch Nums for Downloads'!$P$5:$Q$487,2,FALSE)</f>
        <v>E03</v>
      </c>
      <c r="V1" s="139" t="str">
        <f>VLOOKUP(V2,'Sch Nums for Downloads'!$P$5:$Q$487,2,FALSE)</f>
        <v>E03</v>
      </c>
      <c r="W1" s="139" t="str">
        <f>VLOOKUP(W2,'Sch Nums for Downloads'!$P$5:$Q$487,2,FALSE)</f>
        <v>E03</v>
      </c>
      <c r="X1" s="139" t="str">
        <f>VLOOKUP(X2,'Sch Nums for Downloads'!$P$5:$Q$487,2,FALSE)</f>
        <v>E03</v>
      </c>
      <c r="Y1" s="139" t="str">
        <f>VLOOKUP(Y2,'Sch Nums for Downloads'!$P$5:$Q$487,2,FALSE)</f>
        <v>E03</v>
      </c>
      <c r="Z1" s="139" t="str">
        <f>VLOOKUP(Z2,'Sch Nums for Downloads'!$P$5:$Q$487,2,FALSE)</f>
        <v>E03</v>
      </c>
      <c r="AA1" s="139" t="str">
        <f>VLOOKUP(AA2,'Sch Nums for Downloads'!$P$5:$Q$487,2,FALSE)</f>
        <v>E07</v>
      </c>
      <c r="AB1" s="139" t="str">
        <f>VLOOKUP(AB2,'Sch Nums for Downloads'!$P$5:$Q$487,2,FALSE)</f>
        <v>E07</v>
      </c>
      <c r="AC1" s="139" t="str">
        <f>VLOOKUP(AC2,'Sch Nums for Downloads'!$P$5:$Q$487,2,FALSE)</f>
        <v>E07</v>
      </c>
      <c r="AD1" s="139" t="str">
        <f>VLOOKUP(AD2,'Sch Nums for Downloads'!$P$5:$Q$487,2,FALSE)</f>
        <v>E07</v>
      </c>
      <c r="AE1" s="139" t="str">
        <f>VLOOKUP(AE2,'Sch Nums for Downloads'!$P$5:$Q$487,2,FALSE)</f>
        <v>E07</v>
      </c>
      <c r="AF1" s="139" t="str">
        <f>VLOOKUP(AF2,'Sch Nums for Downloads'!$P$5:$Q$487,2,FALSE)</f>
        <v>E07</v>
      </c>
      <c r="AG1" s="139" t="str">
        <f>VLOOKUP(AG2,'Sch Nums for Downloads'!$P$5:$Q$487,2,FALSE)</f>
        <v>E07</v>
      </c>
      <c r="AH1" s="139" t="str">
        <f>VLOOKUP(AH2,'Sch Nums for Downloads'!$P$5:$Q$487,2,FALSE)</f>
        <v>E07</v>
      </c>
      <c r="AI1" s="139" t="str">
        <f>VLOOKUP(AI2,'Sch Nums for Downloads'!$P$5:$Q$487,2,FALSE)</f>
        <v>E07</v>
      </c>
      <c r="AJ1" s="139" t="str">
        <f>VLOOKUP(AJ2,'Sch Nums for Downloads'!$P$5:$Q$487,2,FALSE)</f>
        <v>E07</v>
      </c>
      <c r="AK1" s="139" t="str">
        <f>VLOOKUP(AK2,'Sch Nums for Downloads'!$P$5:$Q$487,2,FALSE)</f>
        <v>E03</v>
      </c>
      <c r="AL1" s="139" t="str">
        <f>VLOOKUP(AL2,'Sch Nums for Downloads'!$P$5:$Q$487,2,FALSE)</f>
        <v>E03</v>
      </c>
      <c r="AM1" s="139" t="str">
        <f>VLOOKUP(AM2,'Sch Nums for Downloads'!$P$5:$Q$487,2,FALSE)</f>
        <v>E03</v>
      </c>
      <c r="AN1" s="139" t="str">
        <f>VLOOKUP(AN2,'Sch Nums for Downloads'!$P$5:$Q$487,2,FALSE)</f>
        <v>E03</v>
      </c>
      <c r="AO1" s="139" t="str">
        <f>VLOOKUP(AO2,'Sch Nums for Downloads'!$P$5:$Q$487,2,FALSE)</f>
        <v>E03</v>
      </c>
      <c r="AP1" s="139" t="str">
        <f>VLOOKUP(AP2,'Sch Nums for Downloads'!$P$5:$Q$487,2,FALSE)</f>
        <v>E03</v>
      </c>
      <c r="AQ1" s="139" t="str">
        <f>VLOOKUP(AQ2,'Sch Nums for Downloads'!$P$5:$Q$487,2,FALSE)</f>
        <v>E03</v>
      </c>
      <c r="AR1" s="139" t="str">
        <f>VLOOKUP(AR2,'Sch Nums for Downloads'!$P$5:$Q$487,2,FALSE)</f>
        <v>E03</v>
      </c>
      <c r="AS1" s="139" t="str">
        <f>VLOOKUP(AS2,'Sch Nums for Downloads'!$P$5:$Q$487,2,FALSE)</f>
        <v>E31</v>
      </c>
      <c r="AT1" s="139" t="str">
        <f>VLOOKUP(AT2,'Sch Nums for Downloads'!$P$5:$Q$487,2,FALSE)</f>
        <v>E31</v>
      </c>
      <c r="AU1" s="139" t="str">
        <f>VLOOKUP(AU2,'Sch Nums for Downloads'!$P$5:$Q$487,2,FALSE)</f>
        <v>E31</v>
      </c>
      <c r="AV1" s="139" t="str">
        <f>VLOOKUP(AV2,'Sch Nums for Downloads'!$P$5:$Q$487,2,FALSE)</f>
        <v>E31</v>
      </c>
      <c r="AW1" s="139" t="str">
        <f>VLOOKUP(AW2,'Sch Nums for Downloads'!$P$5:$Q$487,2,FALSE)</f>
        <v>E31</v>
      </c>
      <c r="AX1" s="139" t="str">
        <f>VLOOKUP(AX2,'Sch Nums for Downloads'!$P$5:$Q$487,2,FALSE)</f>
        <v>E05</v>
      </c>
      <c r="AY1" s="139" t="str">
        <f>VLOOKUP(AY2,'Sch Nums for Downloads'!$P$5:$Q$487,2,FALSE)</f>
        <v>E05</v>
      </c>
      <c r="AZ1" s="139" t="str">
        <f>VLOOKUP(AZ2,'Sch Nums for Downloads'!$P$5:$Q$487,2,FALSE)</f>
        <v>E05</v>
      </c>
      <c r="BA1" s="139" t="str">
        <f>VLOOKUP(BA2,'Sch Nums for Downloads'!$P$5:$Q$487,2,FALSE)</f>
        <v>E28A</v>
      </c>
      <c r="BB1" s="139" t="str">
        <f>VLOOKUP(BB2,'Sch Nums for Downloads'!$P$5:$Q$487,2,FALSE)</f>
        <v>E05</v>
      </c>
      <c r="BC1" s="139" t="str">
        <f>VLOOKUP(BC2,'Sch Nums for Downloads'!$P$5:$Q$487,2,FALSE)</f>
        <v>E05</v>
      </c>
      <c r="BD1" s="139" t="str">
        <f>VLOOKUP(BD2,'Sch Nums for Downloads'!$P$5:$Q$487,2,FALSE)</f>
        <v>E04</v>
      </c>
      <c r="BE1" s="139" t="str">
        <f>VLOOKUP(BE2,'Sch Nums for Downloads'!$P$5:$Q$487,2,FALSE)</f>
        <v>E04</v>
      </c>
      <c r="BF1" s="139" t="str">
        <f>VLOOKUP(BF2,'Sch Nums for Downloads'!$P$5:$Q$487,2,FALSE)</f>
        <v>E04</v>
      </c>
      <c r="BG1" s="139" t="str">
        <f>VLOOKUP(BG2,'Sch Nums for Downloads'!$P$5:$Q$487,2,FALSE)</f>
        <v>E04</v>
      </c>
      <c r="BH1" s="139" t="str">
        <f>VLOOKUP(BH2,'Sch Nums for Downloads'!$P$5:$Q$487,2,FALSE)</f>
        <v>E04</v>
      </c>
      <c r="BI1" s="139" t="str">
        <f>VLOOKUP(BI2,'Sch Nums for Downloads'!$P$5:$Q$487,2,FALSE)</f>
        <v>E06</v>
      </c>
      <c r="BJ1" s="139" t="str">
        <f>VLOOKUP(BJ2,'Sch Nums for Downloads'!$P$5:$Q$487,2,FALSE)</f>
        <v>E06</v>
      </c>
      <c r="BK1" s="139" t="str">
        <f>VLOOKUP(BK2,'Sch Nums for Downloads'!$P$5:$Q$487,2,FALSE)</f>
        <v>E06</v>
      </c>
      <c r="BL1" s="139" t="str">
        <f>VLOOKUP(BL2,'Sch Nums for Downloads'!$P$5:$Q$487,2,FALSE)</f>
        <v>E06</v>
      </c>
      <c r="BM1" s="139" t="str">
        <f>VLOOKUP(BM2,'Sch Nums for Downloads'!$P$5:$Q$487,2,FALSE)</f>
        <v>E06</v>
      </c>
      <c r="BN1" s="139" t="str">
        <f>VLOOKUP(BN2,'Sch Nums for Downloads'!$P$5:$Q$487,2,FALSE)</f>
        <v>E04</v>
      </c>
      <c r="BO1" s="139" t="str">
        <f>VLOOKUP(BO2,'Sch Nums for Downloads'!$P$5:$Q$487,2,FALSE)</f>
        <v>E04</v>
      </c>
      <c r="BP1" s="139" t="str">
        <f>VLOOKUP(BP2,'Sch Nums for Downloads'!$P$5:$Q$487,2,FALSE)</f>
        <v>E04</v>
      </c>
      <c r="BQ1" s="139" t="str">
        <f>VLOOKUP(BQ2,'Sch Nums for Downloads'!$P$5:$Q$487,2,FALSE)</f>
        <v>E04</v>
      </c>
      <c r="BR1" s="139" t="str">
        <f>VLOOKUP(BR2,'Sch Nums for Downloads'!$P$5:$Q$487,2,FALSE)</f>
        <v>E04</v>
      </c>
      <c r="BS1" s="139" t="str">
        <f>VLOOKUP(BS2,'Sch Nums for Downloads'!$P$5:$Q$487,2,FALSE)</f>
        <v>E07</v>
      </c>
      <c r="BT1" s="139" t="str">
        <f>VLOOKUP(BT2,'Sch Nums for Downloads'!$P$5:$Q$487,2,FALSE)</f>
        <v>E07</v>
      </c>
      <c r="BU1" s="139" t="str">
        <f>VLOOKUP(BU2,'Sch Nums for Downloads'!$P$5:$Q$487,2,FALSE)</f>
        <v>E07</v>
      </c>
      <c r="BV1" s="139" t="str">
        <f>VLOOKUP(BV2,'Sch Nums for Downloads'!$P$5:$Q$487,2,FALSE)</f>
        <v>E07</v>
      </c>
      <c r="BW1" s="139" t="str">
        <f>VLOOKUP(BW2,'Sch Nums for Downloads'!$P$5:$Q$487,2,FALSE)</f>
        <v>E07</v>
      </c>
      <c r="BX1" s="139" t="str">
        <f>VLOOKUP(BX2,'Sch Nums for Downloads'!$P$5:$Q$487,2,FALSE)</f>
        <v>E08</v>
      </c>
      <c r="BY1" s="139" t="str">
        <f>VLOOKUP(BY2,'Sch Nums for Downloads'!$P$5:$Q$487,2,FALSE)</f>
        <v>E08</v>
      </c>
      <c r="BZ1" s="139" t="str">
        <f>VLOOKUP(BZ2,'Sch Nums for Downloads'!$P$5:$Q$487,2,FALSE)</f>
        <v>E08</v>
      </c>
      <c r="CA1" s="139" t="str">
        <f>VLOOKUP(CA2,'Sch Nums for Downloads'!$P$5:$Q$487,2,FALSE)</f>
        <v>E08</v>
      </c>
      <c r="CB1" s="139" t="str">
        <f>VLOOKUP(CB2,'Sch Nums for Downloads'!$P$5:$Q$487,2,FALSE)</f>
        <v>E08</v>
      </c>
      <c r="CC1" s="139" t="str">
        <f>VLOOKUP(CC2,'Sch Nums for Downloads'!$P$5:$Q$487,2,FALSE)</f>
        <v>E08</v>
      </c>
      <c r="CD1" s="139" t="str">
        <f>VLOOKUP(CD2,'Sch Nums for Downloads'!$P$5:$Q$487,2,FALSE)</f>
        <v>E08</v>
      </c>
      <c r="CE1" s="139" t="str">
        <f>VLOOKUP(CE2,'Sch Nums for Downloads'!$P$5:$Q$487,2,FALSE)</f>
        <v>E09</v>
      </c>
      <c r="CF1" s="139" t="str">
        <f>VLOOKUP(CF2,'Sch Nums for Downloads'!$P$5:$Q$487,2,FALSE)</f>
        <v>E11</v>
      </c>
      <c r="CG1" s="139" t="str">
        <f>VLOOKUP(CG2,'Sch Nums for Downloads'!$P$5:$Q$487,2,FALSE)</f>
        <v>E08</v>
      </c>
      <c r="CH1" s="139" t="str">
        <f>VLOOKUP(CH2,'Sch Nums for Downloads'!$P$5:$Q$487,2,FALSE)</f>
        <v>E08</v>
      </c>
      <c r="CI1" s="139" t="str">
        <f>VLOOKUP(CI2,'Sch Nums for Downloads'!$P$5:$Q$487,2,FALSE)</f>
        <v>E27</v>
      </c>
      <c r="CJ1" s="139" t="str">
        <f>VLOOKUP(CJ2,'Sch Nums for Downloads'!$P$5:$Q$487,2,FALSE)</f>
        <v>E07</v>
      </c>
      <c r="CK1" s="139" t="str">
        <f>VLOOKUP(CK2,'Sch Nums for Downloads'!$P$5:$Q$487,2,FALSE)</f>
        <v>E12</v>
      </c>
      <c r="CL1" s="139" t="str">
        <f>VLOOKUP(CL2,'Sch Nums for Downloads'!$P$5:$Q$487,2,FALSE)</f>
        <v>E13</v>
      </c>
      <c r="CM1" s="139" t="str">
        <f>VLOOKUP(CM2,'Sch Nums for Downloads'!$P$5:$Q$487,2,FALSE)</f>
        <v>CE02</v>
      </c>
      <c r="CN1" s="139" t="str">
        <f>VLOOKUP(CN2,'Sch Nums for Downloads'!$P$5:$Q$487,2,FALSE)</f>
        <v>CE04B</v>
      </c>
      <c r="CO1" s="139" t="str">
        <f>VLOOKUP(CO2,'Sch Nums for Downloads'!$P$5:$Q$487,2,FALSE)</f>
        <v>CE04D</v>
      </c>
      <c r="CP1" s="139" t="str">
        <f>VLOOKUP(CP2,'Sch Nums for Downloads'!$P$5:$Q$487,2,FALSE)</f>
        <v>CE04E</v>
      </c>
      <c r="CQ1" s="139" t="str">
        <f>VLOOKUP(CQ2,'Sch Nums for Downloads'!$P$5:$Q$487,2,FALSE)</f>
        <v>CE02</v>
      </c>
      <c r="CR1" s="139" t="str">
        <f>VLOOKUP(CR2,'Sch Nums for Downloads'!$P$5:$Q$487,2,FALSE)</f>
        <v>E18</v>
      </c>
      <c r="CS1" s="139" t="str">
        <f>VLOOKUP(CS2,'Sch Nums for Downloads'!$P$5:$Q$487,2,FALSE)</f>
        <v>E16</v>
      </c>
      <c r="CT1" s="139" t="str">
        <f>VLOOKUP(CT2,'Sch Nums for Downloads'!$P$5:$Q$487,2,FALSE)</f>
        <v>E16</v>
      </c>
      <c r="CU1" s="139" t="str">
        <f>VLOOKUP(CU2,'Sch Nums for Downloads'!$P$5:$Q$487,2,FALSE)</f>
        <v>E16</v>
      </c>
      <c r="CV1" s="139" t="str">
        <f>VLOOKUP(CV2,'Sch Nums for Downloads'!$P$5:$Q$487,2,FALSE)</f>
        <v>E18</v>
      </c>
      <c r="CW1" s="139" t="str">
        <f>VLOOKUP(CW2,'Sch Nums for Downloads'!$P$5:$Q$487,2,FALSE)</f>
        <v>E18</v>
      </c>
      <c r="CX1" s="139" t="str">
        <f>VLOOKUP(CX2,'Sch Nums for Downloads'!$P$5:$Q$487,2,FALSE)</f>
        <v>E18</v>
      </c>
      <c r="CY1" s="139" t="str">
        <f>VLOOKUP(CY2,'Sch Nums for Downloads'!$P$5:$Q$487,2,FALSE)</f>
        <v>E17</v>
      </c>
      <c r="CZ1" s="139" t="str">
        <f>VLOOKUP(CZ2,'Sch Nums for Downloads'!$P$5:$Q$487,2,FALSE)</f>
        <v>E15</v>
      </c>
      <c r="DA1" s="139" t="str">
        <f>VLOOKUP(DA2,'Sch Nums for Downloads'!$P$5:$Q$487,2,FALSE)</f>
        <v>E18</v>
      </c>
      <c r="DB1" s="139" t="str">
        <f>VLOOKUP(DB2,'Sch Nums for Downloads'!$P$5:$Q$487,2,FALSE)</f>
        <v>E14</v>
      </c>
      <c r="DC1" s="139" t="str">
        <f>VLOOKUP(DC2,'Sch Nums for Downloads'!$P$5:$Q$487,2,FALSE)</f>
        <v>E18</v>
      </c>
      <c r="DD1" s="139" t="str">
        <f>VLOOKUP(DD2,'Sch Nums for Downloads'!$P$5:$Q$487,2,FALSE)</f>
        <v>CE03</v>
      </c>
      <c r="DE1" s="139" t="str">
        <f>VLOOKUP(DE2,'Sch Nums for Downloads'!$P$5:$Q$487,2,FALSE)</f>
        <v>E19</v>
      </c>
      <c r="DF1" s="139" t="str">
        <f>VLOOKUP(DF2,'Sch Nums for Downloads'!$P$5:$Q$487,2,FALSE)</f>
        <v>E19</v>
      </c>
      <c r="DG1" s="139" t="str">
        <f>VLOOKUP(DG2,'Sch Nums for Downloads'!$P$5:$Q$487,2,FALSE)</f>
        <v>E19</v>
      </c>
      <c r="DH1" s="139" t="str">
        <f>VLOOKUP(DH2,'Sch Nums for Downloads'!$P$5:$Q$487,2,FALSE)</f>
        <v>E19</v>
      </c>
      <c r="DI1" s="139" t="str">
        <f>VLOOKUP(DI2,'Sch Nums for Downloads'!$P$5:$Q$487,2,FALSE)</f>
        <v>E12</v>
      </c>
      <c r="DJ1" s="139" t="str">
        <f>VLOOKUP(DJ2,'Sch Nums for Downloads'!$P$5:$Q$487,2,FALSE)</f>
        <v>E08</v>
      </c>
      <c r="DK1" s="139" t="str">
        <f>VLOOKUP(DK2,'Sch Nums for Downloads'!$P$5:$Q$487,2,FALSE)</f>
        <v>E08</v>
      </c>
      <c r="DL1" s="139" t="str">
        <f>VLOOKUP(DL2,'Sch Nums for Downloads'!$P$5:$Q$487,2,FALSE)</f>
        <v>E08</v>
      </c>
      <c r="DM1" s="139" t="str">
        <f>VLOOKUP(DM2,'Sch Nums for Downloads'!$P$5:$Q$487,2,FALSE)</f>
        <v>E23</v>
      </c>
      <c r="DN1" s="139" t="str">
        <f>VLOOKUP(DN2,'Sch Nums for Downloads'!$P$5:$Q$487,2,FALSE)</f>
        <v>E22</v>
      </c>
      <c r="DO1" s="139" t="str">
        <f>VLOOKUP(DO2,'Sch Nums for Downloads'!$P$5:$Q$487,2,FALSE)</f>
        <v>CE04B</v>
      </c>
      <c r="DP1" s="139" t="str">
        <f>VLOOKUP(DP2,'Sch Nums for Downloads'!$P$5:$Q$487,2,FALSE)</f>
        <v>CE04C</v>
      </c>
      <c r="DQ1" s="139" t="str">
        <f>VLOOKUP(DQ2,'Sch Nums for Downloads'!$P$5:$Q$487,2,FALSE)</f>
        <v>CE04D</v>
      </c>
      <c r="DR1" s="139" t="str">
        <f>VLOOKUP(DR2,'Sch Nums for Downloads'!$P$5:$Q$487,2,FALSE)</f>
        <v>CE04E</v>
      </c>
      <c r="DS1" s="139" t="str">
        <f>VLOOKUP(DS2,'Sch Nums for Downloads'!$P$5:$Q$487,2,FALSE)</f>
        <v>E19</v>
      </c>
      <c r="DT1" s="139" t="str">
        <f>VLOOKUP(DT2,'Sch Nums for Downloads'!$P$5:$Q$487,2,FALSE)</f>
        <v>E08</v>
      </c>
      <c r="DU1" s="139" t="str">
        <f>VLOOKUP(DU2,'Sch Nums for Downloads'!$P$5:$Q$487,2,FALSE)</f>
        <v>E19</v>
      </c>
      <c r="DV1" s="139" t="str">
        <f>VLOOKUP(DV2,'Sch Nums for Downloads'!$P$5:$Q$487,2,FALSE)</f>
        <v>E22</v>
      </c>
      <c r="DW1" s="139" t="str">
        <f>VLOOKUP(DW2,'Sch Nums for Downloads'!$P$5:$Q$487,2,FALSE)</f>
        <v>E22</v>
      </c>
      <c r="DX1" s="139" t="str">
        <f>VLOOKUP(DX2,'Sch Nums for Downloads'!$P$5:$Q$487,2,FALSE)</f>
        <v>E22</v>
      </c>
      <c r="DY1" s="139" t="str">
        <f>VLOOKUP(DY2,'Sch Nums for Downloads'!$P$5:$Q$487,2,FALSE)</f>
        <v>E19</v>
      </c>
      <c r="DZ1" s="139" t="str">
        <f>VLOOKUP(DZ2,'Sch Nums for Downloads'!$P$5:$Q$487,2,FALSE)</f>
        <v>E28A</v>
      </c>
      <c r="EA1" s="139" t="str">
        <f>VLOOKUP(EA2,'Sch Nums for Downloads'!$P$5:$Q$487,2,FALSE)</f>
        <v>E22</v>
      </c>
      <c r="EB1" s="139" t="str">
        <f>VLOOKUP(EB2,'Sch Nums for Downloads'!$P$5:$Q$487,2,FALSE)</f>
        <v>E27</v>
      </c>
      <c r="EC1" s="139" t="str">
        <f>VLOOKUP(EC2,'Sch Nums for Downloads'!$P$5:$Q$487,2,FALSE)</f>
        <v>E21</v>
      </c>
      <c r="ED1" s="139" t="str">
        <f>VLOOKUP(ED2,'Sch Nums for Downloads'!$P$5:$Q$487,2,FALSE)</f>
        <v>E22</v>
      </c>
      <c r="EE1" s="139" t="str">
        <f>VLOOKUP(EE2,'Sch Nums for Downloads'!$P$5:$Q$487,2,FALSE)</f>
        <v>E22</v>
      </c>
      <c r="EF1" s="437" t="str">
        <f>VLOOKUP(EF2,'Sch Nums for Downloads'!$P$5:$Q$487,2,FALSE)</f>
        <v>E22</v>
      </c>
      <c r="EG1" s="139" t="str">
        <f>VLOOKUP(EG2,'Sch Nums for Downloads'!$P$5:$Q$487,2,FALSE)</f>
        <v>E20</v>
      </c>
      <c r="EH1" s="139" t="str">
        <f>VLOOKUP(EH2,'Sch Nums for Downloads'!$P$5:$Q$487,2,FALSE)</f>
        <v>E20A</v>
      </c>
      <c r="EI1" s="437" t="str">
        <f>VLOOKUP(EI2,'Sch Nums for Downloads'!$P$5:$Q$487,2,FALSE)</f>
        <v>E20B</v>
      </c>
      <c r="EJ1" s="139" t="str">
        <f>VLOOKUP(EJ2,'Sch Nums for Downloads'!$P$5:$Q$487,2,FALSE)</f>
        <v>E20</v>
      </c>
      <c r="EK1" s="139" t="str">
        <f>VLOOKUP(EK2,'Sch Nums for Downloads'!$P$5:$Q$487,2,FALSE)</f>
        <v>E20C</v>
      </c>
      <c r="EL1" s="139" t="str">
        <f>VLOOKUP(EL2,'Sch Nums for Downloads'!$P$5:$Q$487,2,FALSE)</f>
        <v>E20D</v>
      </c>
      <c r="EM1" s="139" t="str">
        <f>VLOOKUP(EM2,'Sch Nums for Downloads'!$P$5:$Q$487,2,FALSE)</f>
        <v>E20E</v>
      </c>
      <c r="EN1" s="139" t="str">
        <f>VLOOKUP(EN2,'Sch Nums for Downloads'!$P$5:$Q$487,2,FALSE)</f>
        <v>E20F</v>
      </c>
      <c r="EO1" s="139" t="str">
        <f>VLOOKUP(EO2,'Sch Nums for Downloads'!$P$5:$Q$487,2,FALSE)</f>
        <v>E20G</v>
      </c>
      <c r="EP1" s="139" t="str">
        <f>VLOOKUP(EP2,'Sch Nums for Downloads'!$P$5:$Q$487,2,FALSE)</f>
        <v>E08</v>
      </c>
      <c r="EQ1" s="139" t="str">
        <f>VLOOKUP(EQ2,'Sch Nums for Downloads'!$P$5:$Q$487,2,FALSE)</f>
        <v>E08</v>
      </c>
      <c r="ER1" s="139" t="str">
        <f>VLOOKUP(ER2,'Sch Nums for Downloads'!$P$5:$Q$487,2,FALSE)</f>
        <v>E18</v>
      </c>
      <c r="ES1" s="139" t="str">
        <f>VLOOKUP(ES2,'Sch Nums for Downloads'!$P$5:$Q$487,2,FALSE)</f>
        <v>E19</v>
      </c>
      <c r="ET1" s="139" t="str">
        <f>VLOOKUP(ET2,'Sch Nums for Downloads'!$P$5:$Q$487,2,FALSE)</f>
        <v>E22</v>
      </c>
      <c r="EU1" s="139" t="str">
        <f>VLOOKUP(EU2,'Sch Nums for Downloads'!$P$5:$Q$487,2,FALSE)</f>
        <v>E23</v>
      </c>
      <c r="EV1" s="139" t="str">
        <f>VLOOKUP(EV2,'Sch Nums for Downloads'!$P$5:$Q$487,2,FALSE)</f>
        <v>E10</v>
      </c>
      <c r="EW1" s="139" t="str">
        <f>VLOOKUP(EW2,'Sch Nums for Downloads'!$P$5:$Q$487,2,FALSE)</f>
        <v>E23</v>
      </c>
      <c r="EX1" s="139" t="str">
        <f>VLOOKUP(EX2,'Sch Nums for Downloads'!$P$5:$Q$487,2,FALSE)</f>
        <v>E19</v>
      </c>
      <c r="EY1" s="139" t="str">
        <f>VLOOKUP(EY2,'Sch Nums for Downloads'!$P$5:$Q$487,2,FALSE)</f>
        <v>E25</v>
      </c>
      <c r="EZ1" s="139" t="str">
        <f>VLOOKUP(EZ2,'Sch Nums for Downloads'!$P$5:$Q$487,2,FALSE)</f>
        <v>E19</v>
      </c>
      <c r="FA1" s="139" t="str">
        <f>VLOOKUP(FA2,'Sch Nums for Downloads'!$P$5:$Q$487,2,FALSE)</f>
        <v>E24</v>
      </c>
      <c r="FB1" s="139" t="str">
        <f>VLOOKUP(FB2,'Sch Nums for Downloads'!$P$5:$Q$487,2,FALSE)</f>
        <v>E32</v>
      </c>
      <c r="FC1" s="139" t="str">
        <f>VLOOKUP(FC2,'Sch Nums for Downloads'!$P$5:$Q$487,2,FALSE)</f>
        <v>I 08b</v>
      </c>
      <c r="FD1" s="139" t="str">
        <f>VLOOKUP(FD2,'Sch Nums for Downloads'!$P$5:$Q$487,2,FALSE)</f>
        <v>E25</v>
      </c>
      <c r="FE1" s="139" t="str">
        <f>VLOOKUP(FE2,'Sch Nums for Downloads'!$P$5:$Q$487,2,FALSE)</f>
        <v>E22</v>
      </c>
      <c r="FF1" s="139" t="str">
        <f>VLOOKUP(FF2,'Sch Nums for Downloads'!$P$5:$Q$487,2,FALSE)</f>
        <v>I01</v>
      </c>
      <c r="FG1" s="139" t="str">
        <f>VLOOKUP(FG2,'Sch Nums for Downloads'!$P$5:$Q$487,2,FALSE)</f>
        <v>I01</v>
      </c>
      <c r="FH1" s="139" t="str">
        <f>VLOOKUP(FH2,'Sch Nums for Downloads'!$P$5:$Q$487,2,FALSE)</f>
        <v>I 08b</v>
      </c>
      <c r="FI1" s="139" t="str">
        <f>VLOOKUP(FI2,'Sch Nums for Downloads'!$P$5:$Q$487,2,FALSE)</f>
        <v>I07</v>
      </c>
      <c r="FJ1" s="139" t="str">
        <f>VLOOKUP(FJ2,'Sch Nums for Downloads'!$P$5:$Q$487,2,FALSE)</f>
        <v>I05</v>
      </c>
      <c r="FK1" s="139" t="str">
        <f>VLOOKUP(FK2,'Sch Nums for Downloads'!$P$5:$Q$487,2,FALSE)</f>
        <v>I02</v>
      </c>
      <c r="FL1" s="139" t="str">
        <f>VLOOKUP(FL2,'Sch Nums for Downloads'!$P$5:$Q$487,2,FALSE)</f>
        <v>I01</v>
      </c>
      <c r="FM1" s="139" t="str">
        <f>VLOOKUP(FM2,'Sch Nums for Downloads'!$P$5:$Q$487,2,FALSE)</f>
        <v>I06</v>
      </c>
      <c r="FN1" s="343" t="str">
        <f>VLOOKUP(FN2,'Sch Nums for Downloads'!$P$5:$Q$487,2,FALSE)</f>
        <v>I16</v>
      </c>
      <c r="FO1" s="139" t="str">
        <f>VLOOKUP(FO2,'Sch Nums for Downloads'!$P$5:$Q$487,2,FALSE)</f>
        <v>CI01</v>
      </c>
      <c r="FP1" s="139" t="str">
        <f>VLOOKUP(FP2,'Sch Nums for Downloads'!$P$5:$Q$487,2,FALSE)</f>
        <v>I06</v>
      </c>
      <c r="FQ1" s="139" t="str">
        <f>VLOOKUP(FQ2,'Sch Nums for Downloads'!$P$5:$Q$487,2,FALSE)</f>
        <v>I06</v>
      </c>
      <c r="FR1" s="139" t="str">
        <f>VLOOKUP(FR2,'Sch Nums for Downloads'!$P$5:$Q$487,2,FALSE)</f>
        <v>CI01</v>
      </c>
      <c r="FS1" s="139" t="str">
        <f>VLOOKUP(FS2,'Sch Nums for Downloads'!$P$5:$Q$487,2,FALSE)</f>
        <v>B01</v>
      </c>
      <c r="FT1" s="139" t="str">
        <f>VLOOKUP(FT2,'Sch Nums for Downloads'!$P$5:$Q$487,2,FALSE)</f>
        <v>B02</v>
      </c>
      <c r="FU1" s="139" t="str">
        <f>VLOOKUP(FU2,'Sch Nums for Downloads'!$P$5:$Q$487,2,FALSE)</f>
        <v>B03</v>
      </c>
      <c r="FV1" s="139" t="str">
        <f>VLOOKUP(FV2,'Sch Nums for Downloads'!$P$5:$Q$487,2,FALSE)</f>
        <v>B06</v>
      </c>
      <c r="FW1" s="139" t="str">
        <f>VLOOKUP(FW2,'Sch Nums for Downloads'!$P$5:$Q$487,2,FALSE)</f>
        <v>I03</v>
      </c>
      <c r="FX1" s="139" t="str">
        <f>VLOOKUP(FX2,'Sch Nums for Downloads'!$P$5:$Q$487,2,FALSE)</f>
        <v>E23</v>
      </c>
      <c r="FY1" s="139" t="str">
        <f>VLOOKUP(FY2,'Sch Nums for Downloads'!$P$5:$Q$487,2,FALSE)</f>
        <v>E10</v>
      </c>
      <c r="FZ1" s="139" t="str">
        <f>VLOOKUP(FZ2,'Sch Nums for Downloads'!$P$5:$Q$487,2,FALSE)</f>
        <v>B 01_01</v>
      </c>
      <c r="GA1" s="139" t="str">
        <f>VLOOKUP(GA2,'Sch Nums for Downloads'!$P$5:$Q$487,2,FALSE)</f>
        <v>I01</v>
      </c>
      <c r="GB1" s="139" t="str">
        <f>VLOOKUP(GB2,'Sch Nums for Downloads'!$P$5:$Q$487,2,FALSE)</f>
        <v>I01</v>
      </c>
      <c r="GC1" s="139" t="str">
        <f>VLOOKUP(GC2,'Sch Nums for Downloads'!$P$5:$Q$487,2,FALSE)</f>
        <v>I03</v>
      </c>
      <c r="GD1" s="139" t="str">
        <f>VLOOKUP(GD2,'Sch Nums for Downloads'!$P$5:$Q$487,2,FALSE)</f>
        <v>I01</v>
      </c>
      <c r="GE1" s="139" t="str">
        <f>VLOOKUP(GE2,'Sch Nums for Downloads'!$P$5:$Q$487,2,FALSE)</f>
        <v>E09</v>
      </c>
      <c r="GF1" s="139" t="str">
        <f>VLOOKUP(GF2,'Sch Nums for Downloads'!$P$5:$Q$487,2,FALSE)</f>
        <v>E10</v>
      </c>
      <c r="GG1" s="139" t="str">
        <f>VLOOKUP(GG2,'Sch Nums for Downloads'!$P$5:$Q$487,2,FALSE)</f>
        <v>E11</v>
      </c>
      <c r="GH1" s="139" t="str">
        <f>VLOOKUP(GH2,'Sch Nums for Downloads'!$P$5:$Q$487,2,FALSE)</f>
        <v>E12</v>
      </c>
      <c r="GI1" s="139" t="str">
        <f>VLOOKUP(GI2,'Sch Nums for Downloads'!$P$5:$Q$487,2,FALSE)</f>
        <v>E13</v>
      </c>
      <c r="GJ1" s="139" t="str">
        <f>VLOOKUP(GJ2,'Sch Nums for Downloads'!$P$5:$Q$487,2,FALSE)</f>
        <v>E14</v>
      </c>
      <c r="GK1" s="139" t="str">
        <f>VLOOKUP(GK2,'Sch Nums for Downloads'!$P$5:$Q$487,2,FALSE)</f>
        <v>E25</v>
      </c>
      <c r="GL1" s="139" t="str">
        <f>VLOOKUP(GL2,'Sch Nums for Downloads'!$P$5:$Q$487,2,FALSE)</f>
        <v>E27</v>
      </c>
      <c r="GM1" s="139" t="str">
        <f>VLOOKUP(GM2,'Sch Nums for Downloads'!$P$5:$Q$487,2,FALSE)</f>
        <v>E28A</v>
      </c>
      <c r="GN1" s="139" t="str">
        <f>VLOOKUP(GN2,'Sch Nums for Downloads'!$P$5:$Q$487,2,FALSE)</f>
        <v>E28A</v>
      </c>
      <c r="GO1" s="139" t="str">
        <f>VLOOKUP(GO2,'Sch Nums for Downloads'!$P$5:$Q$487,2,FALSE)</f>
        <v>E28A</v>
      </c>
      <c r="GP1" s="139" t="str">
        <f>VLOOKUP(GP2,'Sch Nums for Downloads'!$P$5:$Q$487,2,FALSE)</f>
        <v>E28A</v>
      </c>
      <c r="GQ1" s="139" t="str">
        <f>VLOOKUP(GQ2,'Sch Nums for Downloads'!$P$5:$Q$487,2,FALSE)</f>
        <v>E20G</v>
      </c>
      <c r="GR1" s="139" t="str">
        <f>VLOOKUP(GR2,'Sch Nums for Downloads'!$P$5:$Q$487,2,FALSE)</f>
        <v>E28A</v>
      </c>
      <c r="GS1" s="139" t="str">
        <f>VLOOKUP(GS2,'Sch Nums for Downloads'!$P$5:$Q$487,2,FALSE)</f>
        <v>E28A</v>
      </c>
      <c r="GT1" s="139" t="str">
        <f>VLOOKUP(GT2,'Sch Nums for Downloads'!$P$5:$Q$487,2,FALSE)</f>
        <v>E18</v>
      </c>
      <c r="GU1" s="139" t="str">
        <f>VLOOKUP(GU2,'Sch Nums for Downloads'!$P$5:$Q$487,2,FALSE)</f>
        <v>E19</v>
      </c>
      <c r="GV1" s="139" t="str">
        <f>VLOOKUP(GV2,'Sch Nums for Downloads'!$P$5:$Q$487,2,FALSE)</f>
        <v>E19</v>
      </c>
      <c r="GW1" s="139" t="str">
        <f>VLOOKUP(GW2,'Sch Nums for Downloads'!$P$5:$Q$487,2,FALSE)</f>
        <v>E30</v>
      </c>
      <c r="GX1" s="139" t="str">
        <f>VLOOKUP(GX2,'Sch Nums for Downloads'!$P$5:$Q$487,2,FALSE)</f>
        <v>CI04</v>
      </c>
      <c r="GY1" s="139" t="str">
        <f>VLOOKUP(GY2,'Sch Nums for Downloads'!$P$5:$Q$487,2,FALSE)</f>
        <v>I05</v>
      </c>
      <c r="GZ1" s="139" t="str">
        <f>VLOOKUP(GZ2,'Sch Nums for Downloads'!$P$5:$Q$487,2,FALSE)</f>
        <v>I06</v>
      </c>
      <c r="HA1" s="139" t="str">
        <f>VLOOKUP(HA2,'Sch Nums for Downloads'!$P$5:$Q$487,2,FALSE)</f>
        <v>I06</v>
      </c>
      <c r="HB1" s="139" t="str">
        <f>VLOOKUP(HB2,'Sch Nums for Downloads'!$P$5:$Q$487,2,FALSE)</f>
        <v>I07</v>
      </c>
      <c r="HC1" s="139" t="str">
        <f>VLOOKUP(HC2,'Sch Nums for Downloads'!$P$5:$Q$487,2,FALSE)</f>
        <v>I10</v>
      </c>
      <c r="HD1" s="139" t="str">
        <f>VLOOKUP(HD2,'Sch Nums for Downloads'!$P$5:$Q$487,2,FALSE)</f>
        <v>I03</v>
      </c>
      <c r="HE1" s="139" t="str">
        <f>VLOOKUP(HE2,'Sch Nums for Downloads'!$P$5:$Q$487,2,FALSE)</f>
        <v>I13</v>
      </c>
      <c r="HF1" s="139" t="str">
        <f>VLOOKUP(HF2,'Sch Nums for Downloads'!$P$5:$Q$487,2,FALSE)</f>
        <v>I12</v>
      </c>
      <c r="HG1" s="139" t="str">
        <f>VLOOKUP(HG2,'Sch Nums for Downloads'!$P$5:$Q$487,2,FALSE)</f>
        <v>CI01</v>
      </c>
      <c r="HH1" s="139" t="str">
        <f>VLOOKUP(HH2,'Sch Nums for Downloads'!$P$5:$Q$487,2,FALSE)</f>
        <v>I12</v>
      </c>
      <c r="HI1" s="139" t="str">
        <f>VLOOKUP(HI2,'Sch Nums for Downloads'!$P$5:$Q$487,2,FALSE)</f>
        <v>I11</v>
      </c>
      <c r="HJ1" s="139" t="str">
        <f>VLOOKUP(HJ2,'Sch Nums for Downloads'!$P$5:$Q$487,2,FALSE)</f>
        <v>I11</v>
      </c>
      <c r="HK1" s="139" t="str">
        <f>VLOOKUP(HK2,'Sch Nums for Downloads'!$P$5:$Q$487,2,FALSE)</f>
        <v>I09</v>
      </c>
      <c r="HL1" s="139" t="str">
        <f>VLOOKUP(HL2,'Sch Nums for Downloads'!$P$5:$Q$487,2,FALSE)</f>
        <v>I 08b</v>
      </c>
      <c r="HM1" s="139" t="str">
        <f>VLOOKUP(HM2,'Sch Nums for Downloads'!$P$5:$Q$487,2,FALSE)</f>
        <v>I 08a</v>
      </c>
      <c r="HN1" s="139" t="str">
        <f>VLOOKUP(HN2,'Sch Nums for Downloads'!$P$5:$Q$487,2,FALSE)</f>
        <v>I 08b</v>
      </c>
      <c r="HO1" s="139" t="str">
        <f>VLOOKUP(HO2,'Sch Nums for Downloads'!$P$5:$Q$487,2,FALSE)</f>
        <v>I 08b</v>
      </c>
      <c r="HP1" s="139" t="str">
        <f>VLOOKUP(HP2,'Sch Nums for Downloads'!$P$5:$Q$487,2,FALSE)</f>
        <v>I 08b</v>
      </c>
      <c r="HQ1" s="139" t="str">
        <f>VLOOKUP(HQ2,'Sch Nums for Downloads'!$P$5:$Q$487,2,FALSE)</f>
        <v>I17</v>
      </c>
      <c r="HR1" s="139" t="str">
        <f>VLOOKUP(HR2,'Sch Nums for Downloads'!$P$5:$Q$487,2,FALSE)</f>
        <v>I 08b</v>
      </c>
      <c r="HS1" s="139" t="e">
        <f>VLOOKUP(HS2,'Sch Nums for Downloads'!$P$5:$Q$487,2,FALSE)</f>
        <v>#N/A</v>
      </c>
      <c r="HT1" s="139" t="e">
        <f>VLOOKUP(HT2,'Sch Nums for Downloads'!$P$5:$Q$487,2,FALSE)</f>
        <v>#N/A</v>
      </c>
      <c r="HU1" s="139" t="e">
        <f>VLOOKUP(HU2,'Sch Nums for Downloads'!$P$5:$Q$487,2,FALSE)</f>
        <v>#N/A</v>
      </c>
    </row>
    <row r="2" spans="1:229" s="288" customFormat="1">
      <c r="A2" s="309" t="s">
        <v>440</v>
      </c>
      <c r="B2" s="310">
        <v>10011</v>
      </c>
      <c r="C2" s="310">
        <v>10101</v>
      </c>
      <c r="D2" s="310">
        <v>10102</v>
      </c>
      <c r="E2" s="310">
        <v>10105</v>
      </c>
      <c r="F2" s="310">
        <v>10108</v>
      </c>
      <c r="G2" s="310">
        <v>10109</v>
      </c>
      <c r="H2" s="310">
        <v>10111</v>
      </c>
      <c r="I2" s="310">
        <v>10112</v>
      </c>
      <c r="J2" s="310">
        <v>10118</v>
      </c>
      <c r="K2" s="310">
        <v>10119</v>
      </c>
      <c r="L2" s="310">
        <v>10121</v>
      </c>
      <c r="M2" s="310">
        <v>10122</v>
      </c>
      <c r="N2" s="310">
        <v>10124</v>
      </c>
      <c r="O2" s="310">
        <v>10128</v>
      </c>
      <c r="P2" s="310">
        <v>10129</v>
      </c>
      <c r="Q2" s="310">
        <v>10138</v>
      </c>
      <c r="R2" s="310">
        <v>10151</v>
      </c>
      <c r="S2" s="310">
        <v>10152</v>
      </c>
      <c r="T2" s="310">
        <v>10154</v>
      </c>
      <c r="U2" s="310">
        <v>10158</v>
      </c>
      <c r="V2" s="310">
        <v>10159</v>
      </c>
      <c r="W2" s="310">
        <v>10161</v>
      </c>
      <c r="X2" s="310">
        <v>10162</v>
      </c>
      <c r="Y2" s="310">
        <v>10168</v>
      </c>
      <c r="Z2" s="310">
        <v>10169</v>
      </c>
      <c r="AA2" s="310">
        <v>10181</v>
      </c>
      <c r="AB2" s="310">
        <v>10182</v>
      </c>
      <c r="AC2" s="310">
        <v>10184</v>
      </c>
      <c r="AD2" s="310">
        <v>10188</v>
      </c>
      <c r="AE2" s="310">
        <v>10189</v>
      </c>
      <c r="AF2" s="310">
        <v>10191</v>
      </c>
      <c r="AG2" s="310">
        <v>10192</v>
      </c>
      <c r="AH2" s="310">
        <v>10194</v>
      </c>
      <c r="AI2" s="310">
        <v>10198</v>
      </c>
      <c r="AJ2" s="310">
        <v>10199</v>
      </c>
      <c r="AK2" s="310">
        <v>10201</v>
      </c>
      <c r="AL2" s="310">
        <v>10208</v>
      </c>
      <c r="AM2" s="310">
        <v>10209</v>
      </c>
      <c r="AN2" s="310">
        <v>10231</v>
      </c>
      <c r="AO2" s="310">
        <v>10232</v>
      </c>
      <c r="AP2" s="310">
        <v>10234</v>
      </c>
      <c r="AQ2" s="310">
        <v>10238</v>
      </c>
      <c r="AR2" s="310">
        <v>10239</v>
      </c>
      <c r="AS2" s="310">
        <v>10241</v>
      </c>
      <c r="AT2" s="310">
        <v>10242</v>
      </c>
      <c r="AU2" s="310">
        <v>10244</v>
      </c>
      <c r="AV2" s="310">
        <v>10248</v>
      </c>
      <c r="AW2" s="310">
        <v>10249</v>
      </c>
      <c r="AX2" s="310">
        <v>10831</v>
      </c>
      <c r="AY2" s="310">
        <v>10832</v>
      </c>
      <c r="AZ2" s="310">
        <v>10834</v>
      </c>
      <c r="BA2" s="310">
        <v>10835</v>
      </c>
      <c r="BB2" s="310">
        <v>10838</v>
      </c>
      <c r="BC2" s="310">
        <v>10839</v>
      </c>
      <c r="BD2" s="310">
        <v>10841</v>
      </c>
      <c r="BE2" s="310">
        <v>10842</v>
      </c>
      <c r="BF2" s="310">
        <v>10844</v>
      </c>
      <c r="BG2" s="310">
        <v>10848</v>
      </c>
      <c r="BH2" s="310">
        <v>10849</v>
      </c>
      <c r="BI2" s="310">
        <v>10851</v>
      </c>
      <c r="BJ2" s="310">
        <v>10852</v>
      </c>
      <c r="BK2" s="310">
        <v>10854</v>
      </c>
      <c r="BL2" s="310">
        <v>10858</v>
      </c>
      <c r="BM2" s="310">
        <v>10859</v>
      </c>
      <c r="BN2" s="310">
        <v>10861</v>
      </c>
      <c r="BO2" s="310">
        <v>10862</v>
      </c>
      <c r="BP2" s="310">
        <v>10864</v>
      </c>
      <c r="BQ2" s="310">
        <v>10868</v>
      </c>
      <c r="BR2" s="310">
        <v>10869</v>
      </c>
      <c r="BS2" s="310">
        <v>10901</v>
      </c>
      <c r="BT2" s="310">
        <v>10902</v>
      </c>
      <c r="BU2" s="310">
        <v>10908</v>
      </c>
      <c r="BV2" s="310">
        <v>10909</v>
      </c>
      <c r="BW2" s="310">
        <v>11010</v>
      </c>
      <c r="BX2" s="310">
        <v>11020</v>
      </c>
      <c r="BY2" s="310">
        <v>11050</v>
      </c>
      <c r="BZ2" s="310">
        <v>11070</v>
      </c>
      <c r="CA2" s="310">
        <v>11080</v>
      </c>
      <c r="CB2" s="310">
        <v>11100</v>
      </c>
      <c r="CC2" s="310">
        <v>11110</v>
      </c>
      <c r="CD2" s="310">
        <v>11120</v>
      </c>
      <c r="CE2" s="310">
        <v>11150</v>
      </c>
      <c r="CF2" s="310">
        <v>11170</v>
      </c>
      <c r="CG2" s="310">
        <v>11770</v>
      </c>
      <c r="CH2" s="310">
        <v>11775</v>
      </c>
      <c r="CI2" s="310">
        <v>13035</v>
      </c>
      <c r="CJ2" s="310">
        <v>19999</v>
      </c>
      <c r="CK2" s="310">
        <v>20060</v>
      </c>
      <c r="CL2" s="310">
        <v>20110</v>
      </c>
      <c r="CM2" s="310">
        <v>20130</v>
      </c>
      <c r="CN2" s="310">
        <v>20142</v>
      </c>
      <c r="CO2" s="310">
        <v>20144</v>
      </c>
      <c r="CP2" s="310">
        <v>20145</v>
      </c>
      <c r="CQ2" s="310">
        <v>20190</v>
      </c>
      <c r="CR2" s="310">
        <v>20200</v>
      </c>
      <c r="CS2" s="310">
        <v>21010</v>
      </c>
      <c r="CT2" s="310">
        <v>21020</v>
      </c>
      <c r="CU2" s="310">
        <v>21030</v>
      </c>
      <c r="CV2" s="310">
        <v>22000</v>
      </c>
      <c r="CW2" s="310">
        <v>22030</v>
      </c>
      <c r="CX2" s="310">
        <v>22050</v>
      </c>
      <c r="CY2" s="310">
        <v>22400</v>
      </c>
      <c r="CZ2" s="310">
        <v>22700</v>
      </c>
      <c r="DA2" s="310">
        <v>23020</v>
      </c>
      <c r="DB2" s="310">
        <v>25020</v>
      </c>
      <c r="DC2" s="310">
        <v>25030</v>
      </c>
      <c r="DD2" s="310">
        <v>30010</v>
      </c>
      <c r="DE2" s="310">
        <v>30030</v>
      </c>
      <c r="DF2" s="310">
        <v>30070</v>
      </c>
      <c r="DG2" s="310">
        <v>30120</v>
      </c>
      <c r="DH2" s="310">
        <v>30160</v>
      </c>
      <c r="DI2" s="310">
        <v>30190</v>
      </c>
      <c r="DJ2" s="310">
        <v>32010</v>
      </c>
      <c r="DK2" s="310">
        <v>33000</v>
      </c>
      <c r="DL2" s="310">
        <v>33020</v>
      </c>
      <c r="DM2" s="310">
        <v>34010</v>
      </c>
      <c r="DN2" s="310">
        <v>40000</v>
      </c>
      <c r="DO2" s="310">
        <v>40003</v>
      </c>
      <c r="DP2" s="310">
        <v>40004</v>
      </c>
      <c r="DQ2" s="310">
        <v>40005</v>
      </c>
      <c r="DR2" s="310">
        <v>40006</v>
      </c>
      <c r="DS2" s="310">
        <v>40280</v>
      </c>
      <c r="DT2" s="310">
        <v>40450</v>
      </c>
      <c r="DU2" s="310">
        <v>40510</v>
      </c>
      <c r="DV2" s="310">
        <v>40540</v>
      </c>
      <c r="DW2" s="310">
        <v>41500</v>
      </c>
      <c r="DX2" s="310">
        <v>42000</v>
      </c>
      <c r="DY2" s="310">
        <v>42040</v>
      </c>
      <c r="DZ2" s="310">
        <v>43010</v>
      </c>
      <c r="EA2" s="310">
        <v>43020</v>
      </c>
      <c r="EB2" s="310">
        <v>43040</v>
      </c>
      <c r="EC2" s="310">
        <v>43120</v>
      </c>
      <c r="ED2" s="310">
        <v>44000</v>
      </c>
      <c r="EE2" s="438">
        <v>44100</v>
      </c>
      <c r="EF2" s="436">
        <v>44200</v>
      </c>
      <c r="EG2" s="310">
        <v>44280</v>
      </c>
      <c r="EH2" s="310">
        <v>44281</v>
      </c>
      <c r="EI2" s="436">
        <v>44282</v>
      </c>
      <c r="EJ2" s="310">
        <v>44600</v>
      </c>
      <c r="EK2" s="310">
        <v>44601</v>
      </c>
      <c r="EL2" s="310">
        <v>44602</v>
      </c>
      <c r="EM2" s="310">
        <v>44603</v>
      </c>
      <c r="EN2" s="310">
        <v>44604</v>
      </c>
      <c r="EO2" s="310">
        <v>44605</v>
      </c>
      <c r="EP2" s="310">
        <v>45010</v>
      </c>
      <c r="EQ2" s="310">
        <v>45011</v>
      </c>
      <c r="ER2" s="310">
        <v>46000</v>
      </c>
      <c r="ES2" s="310">
        <v>46010</v>
      </c>
      <c r="ET2" s="310">
        <v>47710</v>
      </c>
      <c r="EU2" s="310">
        <v>47730</v>
      </c>
      <c r="EV2" s="310">
        <v>47733</v>
      </c>
      <c r="EW2" s="310">
        <v>47735</v>
      </c>
      <c r="EX2" s="310">
        <v>47740</v>
      </c>
      <c r="EY2" s="310">
        <v>47780</v>
      </c>
      <c r="EZ2" s="310">
        <v>47820</v>
      </c>
      <c r="FA2" s="310">
        <v>47840</v>
      </c>
      <c r="FB2" s="310">
        <v>47850</v>
      </c>
      <c r="FC2" s="310">
        <v>49999</v>
      </c>
      <c r="FD2" s="310">
        <v>57040</v>
      </c>
      <c r="FE2" s="310">
        <v>61840</v>
      </c>
      <c r="FF2" s="310">
        <v>73000</v>
      </c>
      <c r="FG2" s="310">
        <v>73002</v>
      </c>
      <c r="FH2" s="310">
        <v>73003</v>
      </c>
      <c r="FI2" s="310">
        <v>73004</v>
      </c>
      <c r="FJ2" s="310">
        <v>73007</v>
      </c>
      <c r="FK2" s="310">
        <v>73008</v>
      </c>
      <c r="FL2" s="310">
        <v>73011</v>
      </c>
      <c r="FM2" s="310">
        <v>73023</v>
      </c>
      <c r="FN2" s="420">
        <v>73030</v>
      </c>
      <c r="FO2" s="310">
        <v>73031</v>
      </c>
      <c r="FP2" s="310">
        <v>73032</v>
      </c>
      <c r="FQ2" s="310">
        <v>73033</v>
      </c>
      <c r="FR2" s="310">
        <v>73036</v>
      </c>
      <c r="FS2" s="310">
        <v>73037</v>
      </c>
      <c r="FT2" s="310">
        <v>73038</v>
      </c>
      <c r="FU2" s="310">
        <v>73039</v>
      </c>
      <c r="FV2" s="310">
        <v>73042</v>
      </c>
      <c r="FW2" s="310">
        <v>73050</v>
      </c>
      <c r="FX2" s="310">
        <v>73051</v>
      </c>
      <c r="FY2" s="310">
        <v>73052</v>
      </c>
      <c r="FZ2" s="310">
        <v>73056</v>
      </c>
      <c r="GA2" s="310">
        <v>73057</v>
      </c>
      <c r="GB2" s="310">
        <v>73066</v>
      </c>
      <c r="GC2" s="310">
        <v>73067</v>
      </c>
      <c r="GD2" s="310">
        <v>73068</v>
      </c>
      <c r="GE2" s="310">
        <v>73621</v>
      </c>
      <c r="GF2" s="310">
        <v>73622</v>
      </c>
      <c r="GG2" s="310">
        <v>73623</v>
      </c>
      <c r="GH2" s="310">
        <v>73624</v>
      </c>
      <c r="GI2" s="310">
        <v>73625</v>
      </c>
      <c r="GJ2" s="310">
        <v>73626</v>
      </c>
      <c r="GK2" s="310">
        <v>73627</v>
      </c>
      <c r="GL2" s="310">
        <v>73628</v>
      </c>
      <c r="GM2" s="310">
        <v>73629</v>
      </c>
      <c r="GN2" s="310">
        <v>73630</v>
      </c>
      <c r="GO2" s="310">
        <v>73631</v>
      </c>
      <c r="GP2" s="310">
        <v>73632</v>
      </c>
      <c r="GQ2" s="310">
        <v>73633</v>
      </c>
      <c r="GR2" s="310">
        <v>73634</v>
      </c>
      <c r="GS2" s="310">
        <v>73635</v>
      </c>
      <c r="GT2" s="310">
        <v>73636</v>
      </c>
      <c r="GU2" s="310">
        <v>73639</v>
      </c>
      <c r="GV2" s="310">
        <v>73650</v>
      </c>
      <c r="GW2" s="310">
        <v>75500</v>
      </c>
      <c r="GX2" s="310">
        <v>79101</v>
      </c>
      <c r="GY2" s="310">
        <v>80001</v>
      </c>
      <c r="GZ2" s="310">
        <v>80003</v>
      </c>
      <c r="HA2" s="310">
        <v>80006</v>
      </c>
      <c r="HB2" s="310">
        <v>80907</v>
      </c>
      <c r="HC2" s="310">
        <v>81101</v>
      </c>
      <c r="HD2" s="310">
        <v>81200</v>
      </c>
      <c r="HE2" s="310">
        <v>81304</v>
      </c>
      <c r="HF2" s="310">
        <v>81305</v>
      </c>
      <c r="HG2" s="310">
        <v>81306</v>
      </c>
      <c r="HH2" s="310">
        <v>81315</v>
      </c>
      <c r="HI2" s="310">
        <v>81402</v>
      </c>
      <c r="HJ2" s="310">
        <v>81409</v>
      </c>
      <c r="HK2" s="310">
        <v>82000</v>
      </c>
      <c r="HL2" s="310">
        <v>82300</v>
      </c>
      <c r="HM2" s="310">
        <v>82306</v>
      </c>
      <c r="HN2" s="310">
        <v>82312</v>
      </c>
      <c r="HO2" s="310">
        <v>82538</v>
      </c>
      <c r="HP2" s="310">
        <v>82700</v>
      </c>
      <c r="HQ2" s="310">
        <v>82716</v>
      </c>
      <c r="HR2" s="310">
        <v>83003</v>
      </c>
      <c r="HT2" s="288" t="s">
        <v>1004</v>
      </c>
    </row>
    <row r="3" spans="1:229">
      <c r="A3" s="116">
        <v>101520</v>
      </c>
      <c r="B3" s="304"/>
      <c r="C3" s="304">
        <v>1911475.7899999998</v>
      </c>
      <c r="D3" s="304">
        <v>88939.11</v>
      </c>
      <c r="E3" s="304">
        <v>58920.749999999993</v>
      </c>
      <c r="F3" s="304">
        <v>546219.64</v>
      </c>
      <c r="G3" s="304">
        <v>268479.37000000005</v>
      </c>
      <c r="H3" s="304">
        <v>4428.3500000000004</v>
      </c>
      <c r="I3" s="304"/>
      <c r="J3" s="304">
        <v>1270.06</v>
      </c>
      <c r="K3" s="304">
        <v>539.15</v>
      </c>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v>1233227.94</v>
      </c>
      <c r="AO3" s="304">
        <v>40624.33</v>
      </c>
      <c r="AP3" s="304">
        <v>6034.66</v>
      </c>
      <c r="AQ3" s="304">
        <v>320915.24000000005</v>
      </c>
      <c r="AR3" s="304">
        <v>157547.47</v>
      </c>
      <c r="AS3" s="304"/>
      <c r="AT3" s="304"/>
      <c r="AU3" s="304"/>
      <c r="AV3" s="304"/>
      <c r="AW3" s="304"/>
      <c r="AX3" s="304">
        <v>309843.62</v>
      </c>
      <c r="AY3" s="304">
        <v>6461.34</v>
      </c>
      <c r="AZ3" s="304">
        <v>1942.8</v>
      </c>
      <c r="BA3" s="304">
        <v>24024.549999999996</v>
      </c>
      <c r="BB3" s="304">
        <v>74059.109999999986</v>
      </c>
      <c r="BC3" s="304">
        <v>38199.990000000005</v>
      </c>
      <c r="BD3" s="304">
        <v>15083.710000000003</v>
      </c>
      <c r="BE3" s="304">
        <v>236.81</v>
      </c>
      <c r="BF3" s="304">
        <v>115.67</v>
      </c>
      <c r="BG3" s="304">
        <v>4075.0299999999993</v>
      </c>
      <c r="BH3" s="304">
        <v>1230.81</v>
      </c>
      <c r="BI3" s="304">
        <v>53152.07</v>
      </c>
      <c r="BJ3" s="304">
        <v>115.23</v>
      </c>
      <c r="BK3" s="304">
        <v>42.94</v>
      </c>
      <c r="BL3" s="304">
        <v>14073.75</v>
      </c>
      <c r="BM3" s="304">
        <v>4799.4800000000005</v>
      </c>
      <c r="BN3" s="304">
        <v>24504.120000000003</v>
      </c>
      <c r="BO3" s="304">
        <v>174.92</v>
      </c>
      <c r="BP3" s="304"/>
      <c r="BQ3" s="304">
        <v>6480.16</v>
      </c>
      <c r="BR3" s="304">
        <v>2879.76</v>
      </c>
      <c r="BS3" s="304">
        <v>42318.79</v>
      </c>
      <c r="BT3" s="304">
        <v>199.25</v>
      </c>
      <c r="BU3" s="304">
        <v>11211.019999999999</v>
      </c>
      <c r="BV3" s="304">
        <v>5114.6499999999996</v>
      </c>
      <c r="BW3" s="304"/>
      <c r="BX3" s="304"/>
      <c r="BY3" s="304">
        <v>351.61</v>
      </c>
      <c r="BZ3" s="304"/>
      <c r="CA3" s="304"/>
      <c r="CB3" s="304">
        <v>3490</v>
      </c>
      <c r="CC3" s="304"/>
      <c r="CD3" s="304">
        <v>25</v>
      </c>
      <c r="CE3" s="304">
        <v>35267.619999999995</v>
      </c>
      <c r="CF3" s="304"/>
      <c r="CG3" s="304">
        <v>71.36</v>
      </c>
      <c r="CH3" s="304"/>
      <c r="CI3" s="304">
        <v>290758.09999999974</v>
      </c>
      <c r="CJ3" s="304"/>
      <c r="CK3" s="304">
        <v>137944.42999999996</v>
      </c>
      <c r="CL3" s="304">
        <v>28638.37</v>
      </c>
      <c r="CM3" s="304">
        <v>28381</v>
      </c>
      <c r="CN3" s="304"/>
      <c r="CO3" s="304"/>
      <c r="CP3" s="304"/>
      <c r="CQ3" s="304">
        <v>0</v>
      </c>
      <c r="CR3" s="304">
        <v>13660.92</v>
      </c>
      <c r="CS3" s="304">
        <v>72638.78999999995</v>
      </c>
      <c r="CT3" s="304">
        <v>30193.27</v>
      </c>
      <c r="CU3" s="304"/>
      <c r="CV3" s="304">
        <v>1350</v>
      </c>
      <c r="CW3" s="304"/>
      <c r="CX3" s="304"/>
      <c r="CY3" s="304">
        <v>18054.2</v>
      </c>
      <c r="CZ3" s="304">
        <v>11050.599999999989</v>
      </c>
      <c r="DA3" s="304"/>
      <c r="DB3" s="304">
        <v>70853.540000000008</v>
      </c>
      <c r="DC3" s="304">
        <v>4986.8600000000006</v>
      </c>
      <c r="DD3" s="304">
        <v>271.17</v>
      </c>
      <c r="DE3" s="304">
        <v>0</v>
      </c>
      <c r="DF3" s="304">
        <v>171.28000000000003</v>
      </c>
      <c r="DG3" s="304">
        <v>10704.5</v>
      </c>
      <c r="DH3" s="304">
        <v>63376.439999999973</v>
      </c>
      <c r="DI3" s="304">
        <v>20</v>
      </c>
      <c r="DJ3" s="304">
        <v>90749.95</v>
      </c>
      <c r="DK3" s="304"/>
      <c r="DL3" s="304">
        <v>30297.520000000015</v>
      </c>
      <c r="DM3" s="304">
        <v>12657.11</v>
      </c>
      <c r="DN3" s="304">
        <v>12801.18</v>
      </c>
      <c r="DO3" s="304"/>
      <c r="DP3" s="304"/>
      <c r="DQ3" s="304"/>
      <c r="DR3" s="304"/>
      <c r="DS3" s="304">
        <v>28.92</v>
      </c>
      <c r="DT3" s="304">
        <v>18723</v>
      </c>
      <c r="DU3" s="304">
        <v>139144.95000000001</v>
      </c>
      <c r="DV3" s="304">
        <v>1402.93</v>
      </c>
      <c r="DW3" s="304">
        <v>10144.989999999996</v>
      </c>
      <c r="DX3" s="304">
        <v>13394.569999999998</v>
      </c>
      <c r="DY3" s="304">
        <v>11842.58</v>
      </c>
      <c r="DZ3" s="304">
        <v>19013.61</v>
      </c>
      <c r="EA3" s="304"/>
      <c r="EB3" s="304">
        <v>526723.47</v>
      </c>
      <c r="EC3" s="304">
        <v>18398.829999999994</v>
      </c>
      <c r="ED3" s="304">
        <v>2106.0100000000002</v>
      </c>
      <c r="EE3" s="304">
        <v>6343.130000000001</v>
      </c>
      <c r="EF3" s="426">
        <v>113.74000000000001</v>
      </c>
      <c r="EG3" s="304"/>
      <c r="EH3" s="304">
        <v>34025.47</v>
      </c>
      <c r="EI3" s="426"/>
      <c r="EJ3" s="304"/>
      <c r="EK3" s="304">
        <v>39405.869999999995</v>
      </c>
      <c r="EL3" s="304">
        <v>665.96</v>
      </c>
      <c r="EM3" s="304">
        <v>47336.81</v>
      </c>
      <c r="EN3" s="304">
        <v>22805.500000000004</v>
      </c>
      <c r="EO3" s="304">
        <v>96970.180000000008</v>
      </c>
      <c r="EP3" s="304">
        <v>14.33</v>
      </c>
      <c r="EQ3" s="304"/>
      <c r="ER3" s="304">
        <v>669.55</v>
      </c>
      <c r="ES3" s="304"/>
      <c r="ET3" s="304"/>
      <c r="EU3" s="304"/>
      <c r="EV3" s="304">
        <v>22372.35</v>
      </c>
      <c r="EW3" s="304"/>
      <c r="EX3" s="304">
        <v>1115</v>
      </c>
      <c r="EY3" s="304">
        <v>112229.27999999996</v>
      </c>
      <c r="EZ3" s="304">
        <v>13473.320000000005</v>
      </c>
      <c r="FA3" s="304"/>
      <c r="FB3" s="304">
        <v>0</v>
      </c>
      <c r="FC3" s="304"/>
      <c r="FD3" s="304"/>
      <c r="FE3" s="304"/>
      <c r="FF3" s="304"/>
      <c r="FG3" s="304"/>
      <c r="FH3" s="304">
        <v>-958.2</v>
      </c>
      <c r="FI3" s="304">
        <v>-400</v>
      </c>
      <c r="FJ3" s="304">
        <v>-207914.88</v>
      </c>
      <c r="FK3" s="304"/>
      <c r="FL3" s="304">
        <v>-3161487.54</v>
      </c>
      <c r="FM3" s="304">
        <v>-2971.29</v>
      </c>
      <c r="FN3" s="304"/>
      <c r="FO3" s="304">
        <v>-13441.56</v>
      </c>
      <c r="FP3" s="304">
        <v>-1887</v>
      </c>
      <c r="FQ3" s="304">
        <v>-14972</v>
      </c>
      <c r="FR3" s="304"/>
      <c r="FS3" s="304">
        <v>-770543.81</v>
      </c>
      <c r="FT3" s="304"/>
      <c r="FU3" s="304">
        <v>-14938.73</v>
      </c>
      <c r="FV3" s="304"/>
      <c r="FW3" s="304">
        <v>-3157513.5300000003</v>
      </c>
      <c r="FX3" s="304"/>
      <c r="FY3" s="304"/>
      <c r="FZ3" s="304">
        <v>-9578</v>
      </c>
      <c r="GA3" s="304">
        <v>-187760.97</v>
      </c>
      <c r="GB3" s="304"/>
      <c r="GC3" s="304">
        <v>-795210.73</v>
      </c>
      <c r="GD3" s="304"/>
      <c r="GE3" s="304">
        <v>1395</v>
      </c>
      <c r="GF3" s="304"/>
      <c r="GG3" s="304"/>
      <c r="GH3" s="304">
        <v>17233</v>
      </c>
      <c r="GI3" s="304">
        <v>505.59</v>
      </c>
      <c r="GJ3" s="304">
        <v>36372.839999999997</v>
      </c>
      <c r="GK3" s="304"/>
      <c r="GL3" s="304"/>
      <c r="GM3" s="304">
        <v>20521.049999999941</v>
      </c>
      <c r="GN3" s="304">
        <v>261</v>
      </c>
      <c r="GO3" s="304">
        <v>3325.67</v>
      </c>
      <c r="GP3" s="304">
        <v>8450.89</v>
      </c>
      <c r="GQ3" s="304">
        <v>3105</v>
      </c>
      <c r="GR3" s="304">
        <v>1675</v>
      </c>
      <c r="GS3" s="304">
        <v>4234.8</v>
      </c>
      <c r="GT3" s="304">
        <v>8786.0200000000095</v>
      </c>
      <c r="GU3" s="304">
        <v>2374.2599999999993</v>
      </c>
      <c r="GV3" s="304"/>
      <c r="GW3" s="304"/>
      <c r="GX3" s="304"/>
      <c r="GY3" s="304"/>
      <c r="GZ3" s="304"/>
      <c r="HA3" s="304"/>
      <c r="HB3" s="304">
        <v>-689.7</v>
      </c>
      <c r="HC3" s="304"/>
      <c r="HD3" s="304"/>
      <c r="HE3" s="304"/>
      <c r="HF3" s="304"/>
      <c r="HG3" s="304"/>
      <c r="HH3" s="304"/>
      <c r="HI3" s="304"/>
      <c r="HJ3" s="304"/>
      <c r="HK3" s="304"/>
      <c r="HL3" s="304"/>
      <c r="HM3" s="304"/>
      <c r="HN3" s="304"/>
      <c r="HO3" s="304"/>
      <c r="HP3" s="304">
        <v>-43368.070000000007</v>
      </c>
      <c r="HQ3" s="304"/>
      <c r="HR3" s="304">
        <v>-22365.89</v>
      </c>
      <c r="HS3" s="304"/>
      <c r="HT3" s="304"/>
      <c r="HU3" s="304"/>
    </row>
    <row r="4" spans="1:229">
      <c r="A4" s="116">
        <v>107125</v>
      </c>
      <c r="B4" s="304"/>
      <c r="C4" s="304">
        <v>1769926.08</v>
      </c>
      <c r="D4" s="304">
        <v>67348.009999999995</v>
      </c>
      <c r="E4" s="304">
        <v>14375</v>
      </c>
      <c r="F4" s="304">
        <v>520842.69000000006</v>
      </c>
      <c r="G4" s="304">
        <v>248347.94000000003</v>
      </c>
      <c r="H4" s="304">
        <v>7789.78</v>
      </c>
      <c r="I4" s="304"/>
      <c r="J4" s="304">
        <v>431.72</v>
      </c>
      <c r="K4" s="304">
        <v>808.62</v>
      </c>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v>1196153.8700000001</v>
      </c>
      <c r="AO4" s="304">
        <v>60375.64</v>
      </c>
      <c r="AP4" s="304">
        <v>27786.93</v>
      </c>
      <c r="AQ4" s="304">
        <v>333097.23999999993</v>
      </c>
      <c r="AR4" s="304">
        <v>156059.39000000001</v>
      </c>
      <c r="AS4" s="304"/>
      <c r="AT4" s="304"/>
      <c r="AU4" s="304"/>
      <c r="AV4" s="304"/>
      <c r="AW4" s="304"/>
      <c r="AX4" s="304">
        <v>282297.14</v>
      </c>
      <c r="AY4" s="304">
        <v>8912.880000000001</v>
      </c>
      <c r="AZ4" s="304">
        <v>2520.3799999999997</v>
      </c>
      <c r="BA4" s="304"/>
      <c r="BB4" s="304">
        <v>77830.439999999988</v>
      </c>
      <c r="BC4" s="304">
        <v>36121.33</v>
      </c>
      <c r="BD4" s="304"/>
      <c r="BE4" s="304"/>
      <c r="BF4" s="304"/>
      <c r="BG4" s="304"/>
      <c r="BH4" s="304"/>
      <c r="BI4" s="304"/>
      <c r="BJ4" s="304"/>
      <c r="BK4" s="304"/>
      <c r="BL4" s="304"/>
      <c r="BM4" s="304"/>
      <c r="BN4" s="304">
        <v>67724.679999999993</v>
      </c>
      <c r="BO4" s="304">
        <v>543.78</v>
      </c>
      <c r="BP4" s="304">
        <v>302.54000000000002</v>
      </c>
      <c r="BQ4" s="304">
        <v>10373.790000000001</v>
      </c>
      <c r="BR4" s="304">
        <v>8784.4400000000023</v>
      </c>
      <c r="BS4" s="304"/>
      <c r="BT4" s="304"/>
      <c r="BU4" s="304"/>
      <c r="BV4" s="304"/>
      <c r="BW4" s="304"/>
      <c r="BX4" s="304"/>
      <c r="BY4" s="304"/>
      <c r="BZ4" s="304"/>
      <c r="CA4" s="304"/>
      <c r="CB4" s="304">
        <v>41818.839999999997</v>
      </c>
      <c r="CC4" s="304">
        <v>608.79</v>
      </c>
      <c r="CD4" s="304"/>
      <c r="CE4" s="304">
        <v>20045.5</v>
      </c>
      <c r="CF4" s="304"/>
      <c r="CG4" s="304"/>
      <c r="CH4" s="304"/>
      <c r="CI4" s="304"/>
      <c r="CJ4" s="304"/>
      <c r="CK4" s="304">
        <v>147548.79999999996</v>
      </c>
      <c r="CL4" s="304">
        <v>3981.25</v>
      </c>
      <c r="CM4" s="304"/>
      <c r="CN4" s="304"/>
      <c r="CO4" s="304"/>
      <c r="CP4" s="304"/>
      <c r="CQ4" s="304">
        <v>89146.999999999985</v>
      </c>
      <c r="CR4" s="304"/>
      <c r="CS4" s="304">
        <v>33443.61</v>
      </c>
      <c r="CT4" s="304">
        <v>19409.960000000003</v>
      </c>
      <c r="CU4" s="304"/>
      <c r="CV4" s="304"/>
      <c r="CW4" s="304"/>
      <c r="CX4" s="304"/>
      <c r="CY4" s="304"/>
      <c r="CZ4" s="304">
        <v>5947.29</v>
      </c>
      <c r="DA4" s="304"/>
      <c r="DB4" s="304">
        <v>8639.82</v>
      </c>
      <c r="DC4" s="304">
        <v>4287.4699999999993</v>
      </c>
      <c r="DD4" s="304">
        <v>49832</v>
      </c>
      <c r="DE4" s="304"/>
      <c r="DF4" s="304">
        <v>14.3</v>
      </c>
      <c r="DG4" s="304"/>
      <c r="DH4" s="304">
        <v>7841.159999999998</v>
      </c>
      <c r="DI4" s="304"/>
      <c r="DJ4" s="304"/>
      <c r="DK4" s="304"/>
      <c r="DL4" s="304">
        <v>1891.4500000000003</v>
      </c>
      <c r="DM4" s="304">
        <v>4047.0299999999997</v>
      </c>
      <c r="DN4" s="304">
        <v>15593.209999999997</v>
      </c>
      <c r="DO4" s="304"/>
      <c r="DP4" s="304"/>
      <c r="DQ4" s="304"/>
      <c r="DR4" s="304"/>
      <c r="DS4" s="304"/>
      <c r="DT4" s="304">
        <v>17446</v>
      </c>
      <c r="DU4" s="304">
        <v>56686.890000000007</v>
      </c>
      <c r="DV4" s="304">
        <v>2567.4699999999998</v>
      </c>
      <c r="DW4" s="304"/>
      <c r="DX4" s="304">
        <v>505.26</v>
      </c>
      <c r="DY4" s="304">
        <v>19818.22</v>
      </c>
      <c r="DZ4" s="304">
        <v>8356.85</v>
      </c>
      <c r="EA4" s="304"/>
      <c r="EB4" s="304">
        <v>70081.83</v>
      </c>
      <c r="EC4" s="304">
        <v>22897.61</v>
      </c>
      <c r="ED4" s="304">
        <v>681.75</v>
      </c>
      <c r="EE4" s="304">
        <v>3335.8099999999995</v>
      </c>
      <c r="EF4" s="426"/>
      <c r="EG4" s="304"/>
      <c r="EH4" s="304">
        <v>5843.38</v>
      </c>
      <c r="EI4" s="426"/>
      <c r="EJ4" s="304"/>
      <c r="EK4" s="304">
        <v>9709.73</v>
      </c>
      <c r="EL4" s="304">
        <v>38035.499999999993</v>
      </c>
      <c r="EM4" s="304">
        <v>17443.5</v>
      </c>
      <c r="EN4" s="304">
        <v>999</v>
      </c>
      <c r="EO4" s="304"/>
      <c r="EP4" s="304"/>
      <c r="EQ4" s="304"/>
      <c r="ER4" s="304"/>
      <c r="ES4" s="304"/>
      <c r="ET4" s="304">
        <v>1213</v>
      </c>
      <c r="EU4" s="304"/>
      <c r="EV4" s="304"/>
      <c r="EW4" s="304">
        <v>36796.410000000003</v>
      </c>
      <c r="EX4" s="304"/>
      <c r="EY4" s="304">
        <v>201.14999999999998</v>
      </c>
      <c r="EZ4" s="304">
        <v>38899.06</v>
      </c>
      <c r="FA4" s="304"/>
      <c r="FB4" s="304"/>
      <c r="FC4" s="304"/>
      <c r="FD4" s="304"/>
      <c r="FE4" s="304"/>
      <c r="FF4" s="304"/>
      <c r="FG4" s="304"/>
      <c r="FH4" s="304"/>
      <c r="FI4" s="304"/>
      <c r="FJ4" s="304">
        <v>-83620</v>
      </c>
      <c r="FK4" s="304">
        <v>-2160.92</v>
      </c>
      <c r="FL4" s="304">
        <v>-2478133.3100000005</v>
      </c>
      <c r="FM4" s="304">
        <v>-4590</v>
      </c>
      <c r="FN4" s="304"/>
      <c r="FO4" s="304">
        <v>-15795.63</v>
      </c>
      <c r="FP4" s="304"/>
      <c r="FQ4" s="304">
        <v>-14976</v>
      </c>
      <c r="FR4" s="304"/>
      <c r="FS4" s="304">
        <v>-2753532.56</v>
      </c>
      <c r="FT4" s="304"/>
      <c r="FU4" s="304">
        <v>-9700.84</v>
      </c>
      <c r="FV4" s="304"/>
      <c r="FW4" s="304">
        <v>-1928986.4700000002</v>
      </c>
      <c r="FX4" s="304"/>
      <c r="FY4" s="304"/>
      <c r="FZ4" s="304">
        <v>-22080.51</v>
      </c>
      <c r="GA4" s="304">
        <v>-146917.04999999999</v>
      </c>
      <c r="GB4" s="304"/>
      <c r="GC4" s="304">
        <v>-641842</v>
      </c>
      <c r="GD4" s="304"/>
      <c r="GE4" s="304">
        <v>1655</v>
      </c>
      <c r="GF4" s="304"/>
      <c r="GG4" s="304"/>
      <c r="GH4" s="304">
        <v>2046.73</v>
      </c>
      <c r="GI4" s="304">
        <v>1081.3400000000001</v>
      </c>
      <c r="GJ4" s="304">
        <v>60229.239999999991</v>
      </c>
      <c r="GK4" s="304">
        <v>5324.5</v>
      </c>
      <c r="GL4" s="304">
        <v>623</v>
      </c>
      <c r="GM4" s="304">
        <v>15760.980000000001</v>
      </c>
      <c r="GN4" s="304">
        <v>261</v>
      </c>
      <c r="GO4" s="304">
        <v>10048.16</v>
      </c>
      <c r="GP4" s="304">
        <v>8924.4599999999991</v>
      </c>
      <c r="GQ4" s="304">
        <v>2596</v>
      </c>
      <c r="GR4" s="304">
        <v>707.2</v>
      </c>
      <c r="GS4" s="304">
        <v>3502.16</v>
      </c>
      <c r="GT4" s="304">
        <v>1598.5499999999995</v>
      </c>
      <c r="GU4" s="304">
        <v>10.5</v>
      </c>
      <c r="GV4" s="304"/>
      <c r="GW4" s="304"/>
      <c r="GX4" s="304"/>
      <c r="GY4" s="304">
        <v>0</v>
      </c>
      <c r="GZ4" s="304"/>
      <c r="HA4" s="304"/>
      <c r="HB4" s="304"/>
      <c r="HC4" s="304"/>
      <c r="HD4" s="304">
        <v>-500458.56999999995</v>
      </c>
      <c r="HE4" s="304">
        <v>-8259.380000000001</v>
      </c>
      <c r="HF4" s="304">
        <v>-33564.170000000027</v>
      </c>
      <c r="HG4" s="304">
        <v>-23333.33</v>
      </c>
      <c r="HH4" s="304">
        <v>-1146.8800000000001</v>
      </c>
      <c r="HI4" s="304"/>
      <c r="HJ4" s="304"/>
      <c r="HK4" s="304"/>
      <c r="HL4" s="304"/>
      <c r="HM4" s="304"/>
      <c r="HN4" s="304">
        <v>0</v>
      </c>
      <c r="HO4" s="304"/>
      <c r="HP4" s="304">
        <v>-10335.67</v>
      </c>
      <c r="HQ4" s="304"/>
      <c r="HR4" s="304">
        <v>-127841.69</v>
      </c>
      <c r="HS4" s="304"/>
      <c r="HT4" s="304"/>
      <c r="HU4" s="304"/>
    </row>
    <row r="5" spans="1:229" s="435" customFormat="1">
      <c r="A5" s="425">
        <v>107127</v>
      </c>
      <c r="B5" s="426"/>
      <c r="C5" s="426">
        <v>1315185.53</v>
      </c>
      <c r="D5" s="426">
        <v>64049.7</v>
      </c>
      <c r="E5" s="426">
        <v>55746.160000000018</v>
      </c>
      <c r="F5" s="426">
        <v>395564.63</v>
      </c>
      <c r="G5" s="426">
        <v>183982.92999999996</v>
      </c>
      <c r="H5" s="426">
        <v>73011.490000000005</v>
      </c>
      <c r="I5" s="426"/>
      <c r="J5" s="426">
        <v>20559.96</v>
      </c>
      <c r="K5" s="426">
        <v>9053.5300000000007</v>
      </c>
      <c r="L5" s="426">
        <v>14421.69</v>
      </c>
      <c r="M5" s="426">
        <v>157.61000000000001</v>
      </c>
      <c r="N5" s="426">
        <v>477.05</v>
      </c>
      <c r="O5" s="426">
        <v>3965.6900000000005</v>
      </c>
      <c r="P5" s="426">
        <v>1694.3799999999999</v>
      </c>
      <c r="Q5" s="426"/>
      <c r="R5" s="426"/>
      <c r="S5" s="426"/>
      <c r="T5" s="426"/>
      <c r="U5" s="426"/>
      <c r="V5" s="426"/>
      <c r="W5" s="426">
        <v>35647.279999999999</v>
      </c>
      <c r="X5" s="426">
        <v>404.73</v>
      </c>
      <c r="Y5" s="426">
        <v>9517.6699999999983</v>
      </c>
      <c r="Z5" s="426">
        <v>4657.2299999999987</v>
      </c>
      <c r="AA5" s="426"/>
      <c r="AB5" s="426"/>
      <c r="AC5" s="426"/>
      <c r="AD5" s="426"/>
      <c r="AE5" s="426"/>
      <c r="AF5" s="426">
        <v>12835.55</v>
      </c>
      <c r="AG5" s="426">
        <v>421.15000000000003</v>
      </c>
      <c r="AH5" s="426">
        <v>13.47</v>
      </c>
      <c r="AI5" s="426">
        <v>3503.0699999999997</v>
      </c>
      <c r="AJ5" s="426">
        <v>162.95999999999998</v>
      </c>
      <c r="AK5" s="426"/>
      <c r="AL5" s="426"/>
      <c r="AM5" s="426"/>
      <c r="AN5" s="426">
        <v>1526562.68</v>
      </c>
      <c r="AO5" s="426">
        <v>96909.760000000009</v>
      </c>
      <c r="AP5" s="426">
        <v>9197.26</v>
      </c>
      <c r="AQ5" s="426">
        <v>425777.76</v>
      </c>
      <c r="AR5" s="426">
        <v>166733.38999999998</v>
      </c>
      <c r="AS5" s="426"/>
      <c r="AT5" s="426"/>
      <c r="AU5" s="426"/>
      <c r="AV5" s="426"/>
      <c r="AW5" s="426"/>
      <c r="AX5" s="426">
        <v>156223.40000000002</v>
      </c>
      <c r="AY5" s="426">
        <v>6024.82</v>
      </c>
      <c r="AZ5" s="426">
        <v>1617.92</v>
      </c>
      <c r="BA5" s="426">
        <v>336</v>
      </c>
      <c r="BB5" s="426">
        <v>43260.26</v>
      </c>
      <c r="BC5" s="426">
        <v>20201.199999999997</v>
      </c>
      <c r="BD5" s="426"/>
      <c r="BE5" s="426"/>
      <c r="BF5" s="426"/>
      <c r="BG5" s="426"/>
      <c r="BH5" s="426"/>
      <c r="BI5" s="426"/>
      <c r="BJ5" s="426"/>
      <c r="BK5" s="426"/>
      <c r="BL5" s="426"/>
      <c r="BM5" s="426"/>
      <c r="BN5" s="426">
        <v>160613.35999999999</v>
      </c>
      <c r="BO5" s="426">
        <v>6411</v>
      </c>
      <c r="BP5" s="426">
        <v>6672.3300000000017</v>
      </c>
      <c r="BQ5" s="426">
        <v>43738.469999999994</v>
      </c>
      <c r="BR5" s="426">
        <v>16944.240000000002</v>
      </c>
      <c r="BS5" s="426"/>
      <c r="BT5" s="426"/>
      <c r="BU5" s="426"/>
      <c r="BV5" s="426"/>
      <c r="BW5" s="426"/>
      <c r="BX5" s="426"/>
      <c r="BY5" s="426"/>
      <c r="BZ5" s="426"/>
      <c r="CA5" s="426"/>
      <c r="CB5" s="426"/>
      <c r="CC5" s="426"/>
      <c r="CD5" s="426"/>
      <c r="CE5" s="426">
        <v>20854.629999999997</v>
      </c>
      <c r="CF5" s="426">
        <v>17694.590000000007</v>
      </c>
      <c r="CG5" s="426"/>
      <c r="CH5" s="426"/>
      <c r="CI5" s="426">
        <v>182086.32000000004</v>
      </c>
      <c r="CJ5" s="426"/>
      <c r="CK5" s="426">
        <v>96727.290000000052</v>
      </c>
      <c r="CL5" s="426"/>
      <c r="CM5" s="426">
        <v>27815.79</v>
      </c>
      <c r="CN5" s="426"/>
      <c r="CO5" s="426"/>
      <c r="CP5" s="426"/>
      <c r="CQ5" s="426"/>
      <c r="CR5" s="426"/>
      <c r="CS5" s="426">
        <v>51059.179999999993</v>
      </c>
      <c r="CT5" s="426">
        <v>25965.58</v>
      </c>
      <c r="CU5" s="426"/>
      <c r="CV5" s="426"/>
      <c r="CW5" s="426"/>
      <c r="CX5" s="426"/>
      <c r="CY5" s="426"/>
      <c r="CZ5" s="426">
        <v>4855.66</v>
      </c>
      <c r="DA5" s="426"/>
      <c r="DB5" s="426">
        <v>15655.279999999997</v>
      </c>
      <c r="DC5" s="426"/>
      <c r="DD5" s="426"/>
      <c r="DE5" s="426"/>
      <c r="DF5" s="426">
        <v>339.98</v>
      </c>
      <c r="DG5" s="426"/>
      <c r="DH5" s="426">
        <v>17686.499999999996</v>
      </c>
      <c r="DI5" s="426"/>
      <c r="DJ5" s="426"/>
      <c r="DK5" s="426"/>
      <c r="DL5" s="426">
        <v>616.93999999999994</v>
      </c>
      <c r="DM5" s="426">
        <v>3941.93</v>
      </c>
      <c r="DN5" s="426">
        <v>1745.62</v>
      </c>
      <c r="DO5" s="426"/>
      <c r="DP5" s="426"/>
      <c r="DQ5" s="426"/>
      <c r="DR5" s="426"/>
      <c r="DS5" s="426"/>
      <c r="DT5" s="426">
        <v>17138</v>
      </c>
      <c r="DU5" s="426">
        <v>129895.94000000005</v>
      </c>
      <c r="DV5" s="426">
        <v>3548.4099999999994</v>
      </c>
      <c r="DW5" s="426"/>
      <c r="DX5" s="426">
        <v>17435.049999999992</v>
      </c>
      <c r="DY5" s="426"/>
      <c r="DZ5" s="426">
        <v>2237.38</v>
      </c>
      <c r="EA5" s="426"/>
      <c r="EB5" s="426">
        <v>43863.199999999997</v>
      </c>
      <c r="EC5" s="426"/>
      <c r="ED5" s="426">
        <v>865.49000000000012</v>
      </c>
      <c r="EE5" s="426">
        <v>9470.6200000000008</v>
      </c>
      <c r="EF5" s="426"/>
      <c r="EG5" s="426"/>
      <c r="EH5" s="426"/>
      <c r="EI5" s="426"/>
      <c r="EJ5" s="426">
        <v>1062.720000000008</v>
      </c>
      <c r="EK5" s="426">
        <v>6570</v>
      </c>
      <c r="EL5" s="426">
        <v>23909.14</v>
      </c>
      <c r="EM5" s="426">
        <v>8903.9500000000007</v>
      </c>
      <c r="EN5" s="426">
        <v>26487.109999999997</v>
      </c>
      <c r="EO5" s="426">
        <v>4638.6900000000005</v>
      </c>
      <c r="EP5" s="426"/>
      <c r="EQ5" s="426"/>
      <c r="ER5" s="426"/>
      <c r="ES5" s="426"/>
      <c r="ET5" s="426"/>
      <c r="EU5" s="426"/>
      <c r="EV5" s="426">
        <v>51494</v>
      </c>
      <c r="EW5" s="426">
        <v>21946.1</v>
      </c>
      <c r="EX5" s="426">
        <v>174.5</v>
      </c>
      <c r="EY5" s="426"/>
      <c r="EZ5" s="426"/>
      <c r="FA5" s="426"/>
      <c r="FB5" s="426"/>
      <c r="FC5" s="426"/>
      <c r="FD5" s="426"/>
      <c r="FE5" s="426"/>
      <c r="FF5" s="426"/>
      <c r="FG5" s="426"/>
      <c r="FH5" s="426"/>
      <c r="FI5" s="426"/>
      <c r="FJ5" s="426">
        <v>-75780</v>
      </c>
      <c r="FK5" s="426">
        <v>-2804.42</v>
      </c>
      <c r="FL5" s="426">
        <v>-1530320</v>
      </c>
      <c r="FM5" s="426"/>
      <c r="FN5" s="426"/>
      <c r="FO5" s="426">
        <v>-11543.13</v>
      </c>
      <c r="FP5" s="426">
        <v>-2964</v>
      </c>
      <c r="FQ5" s="426">
        <v>-15216</v>
      </c>
      <c r="FR5" s="426"/>
      <c r="FS5" s="426">
        <v>-33578.76</v>
      </c>
      <c r="FT5" s="426">
        <v>419506.39</v>
      </c>
      <c r="FU5" s="426">
        <v>-26984.19</v>
      </c>
      <c r="FV5" s="426"/>
      <c r="FW5" s="426">
        <v>-2985594.4</v>
      </c>
      <c r="FX5" s="426"/>
      <c r="FY5" s="426"/>
      <c r="FZ5" s="426"/>
      <c r="GA5" s="426">
        <v>-105144.76</v>
      </c>
      <c r="GB5" s="426"/>
      <c r="GC5" s="426">
        <v>-431784</v>
      </c>
      <c r="GD5" s="426"/>
      <c r="GE5" s="426">
        <v>330</v>
      </c>
      <c r="GF5" s="426"/>
      <c r="GG5" s="426"/>
      <c r="GH5" s="426">
        <v>1441.96</v>
      </c>
      <c r="GI5" s="426"/>
      <c r="GJ5" s="426"/>
      <c r="GK5" s="426">
        <v>6634.95</v>
      </c>
      <c r="GL5" s="426"/>
      <c r="GM5" s="426">
        <v>12077.040000000008</v>
      </c>
      <c r="GN5" s="426">
        <v>261</v>
      </c>
      <c r="GO5" s="426">
        <v>5590.2</v>
      </c>
      <c r="GP5" s="426">
        <v>11712.52</v>
      </c>
      <c r="GQ5" s="426">
        <v>1562</v>
      </c>
      <c r="GR5" s="426">
        <v>3670.3700000000008</v>
      </c>
      <c r="GS5" s="426">
        <v>2446.2399999999998</v>
      </c>
      <c r="GT5" s="426">
        <v>3029.9500000000003</v>
      </c>
      <c r="GU5" s="426">
        <v>0</v>
      </c>
      <c r="GV5" s="426"/>
      <c r="GW5" s="426"/>
      <c r="GX5" s="426"/>
      <c r="GY5" s="426"/>
      <c r="GZ5" s="426"/>
      <c r="HA5" s="426"/>
      <c r="HB5" s="426"/>
      <c r="HC5" s="426">
        <v>-60124.749999999993</v>
      </c>
      <c r="HD5" s="426">
        <v>-25001.58</v>
      </c>
      <c r="HE5" s="426">
        <v>-25700.350000000002</v>
      </c>
      <c r="HF5" s="426"/>
      <c r="HG5" s="426"/>
      <c r="HH5" s="426"/>
      <c r="HI5" s="426"/>
      <c r="HJ5" s="426">
        <v>-4530</v>
      </c>
      <c r="HK5" s="426"/>
      <c r="HL5" s="426">
        <v>-825</v>
      </c>
      <c r="HM5" s="426">
        <v>-50333.820000000007</v>
      </c>
      <c r="HN5" s="426"/>
      <c r="HO5" s="426"/>
      <c r="HP5" s="426">
        <v>-14299.21</v>
      </c>
      <c r="HQ5" s="426"/>
      <c r="HR5" s="426"/>
      <c r="HS5" s="426"/>
      <c r="HT5" s="426"/>
      <c r="HU5" s="426"/>
    </row>
    <row r="6" spans="1:229" s="435" customFormat="1">
      <c r="A6" s="425">
        <v>107139</v>
      </c>
      <c r="B6" s="426"/>
      <c r="C6" s="426">
        <v>973843</v>
      </c>
      <c r="D6" s="426">
        <v>25010.840000000004</v>
      </c>
      <c r="E6" s="426"/>
      <c r="F6" s="426">
        <v>289849.27</v>
      </c>
      <c r="G6" s="426">
        <v>135184.53000000003</v>
      </c>
      <c r="H6" s="426">
        <v>1776.96</v>
      </c>
      <c r="I6" s="426"/>
      <c r="J6" s="426">
        <v>474.91</v>
      </c>
      <c r="K6" s="426">
        <v>227.06</v>
      </c>
      <c r="L6" s="426"/>
      <c r="M6" s="426"/>
      <c r="N6" s="426"/>
      <c r="O6" s="426"/>
      <c r="P6" s="426"/>
      <c r="Q6" s="426"/>
      <c r="R6" s="426"/>
      <c r="S6" s="426"/>
      <c r="T6" s="426"/>
      <c r="U6" s="426"/>
      <c r="V6" s="426"/>
      <c r="W6" s="426"/>
      <c r="X6" s="426"/>
      <c r="Y6" s="426"/>
      <c r="Z6" s="426"/>
      <c r="AA6" s="426"/>
      <c r="AB6" s="426"/>
      <c r="AC6" s="426"/>
      <c r="AD6" s="426"/>
      <c r="AE6" s="426"/>
      <c r="AF6" s="426">
        <v>38597.369999999995</v>
      </c>
      <c r="AG6" s="426">
        <v>153.77000000000001</v>
      </c>
      <c r="AH6" s="426">
        <v>84.539999999999992</v>
      </c>
      <c r="AI6" s="426">
        <v>8065.43</v>
      </c>
      <c r="AJ6" s="426">
        <v>987.57000000000016</v>
      </c>
      <c r="AK6" s="426"/>
      <c r="AL6" s="426"/>
      <c r="AM6" s="426"/>
      <c r="AN6" s="426">
        <v>1102090.7300000002</v>
      </c>
      <c r="AO6" s="426">
        <v>51096.08</v>
      </c>
      <c r="AP6" s="426">
        <v>4143.46</v>
      </c>
      <c r="AQ6" s="426">
        <v>303083.58</v>
      </c>
      <c r="AR6" s="426">
        <v>120192.49</v>
      </c>
      <c r="AS6" s="426"/>
      <c r="AT6" s="426"/>
      <c r="AU6" s="426"/>
      <c r="AV6" s="426"/>
      <c r="AW6" s="426"/>
      <c r="AX6" s="426">
        <v>107589.79000000001</v>
      </c>
      <c r="AY6" s="426">
        <v>129.59</v>
      </c>
      <c r="AZ6" s="426">
        <v>344.77</v>
      </c>
      <c r="BA6" s="426"/>
      <c r="BB6" s="426">
        <v>28528.68</v>
      </c>
      <c r="BC6" s="426">
        <v>13360.82</v>
      </c>
      <c r="BD6" s="426"/>
      <c r="BE6" s="426"/>
      <c r="BF6" s="426"/>
      <c r="BG6" s="426"/>
      <c r="BH6" s="426"/>
      <c r="BI6" s="426"/>
      <c r="BJ6" s="426"/>
      <c r="BK6" s="426"/>
      <c r="BL6" s="426"/>
      <c r="BM6" s="426"/>
      <c r="BN6" s="426">
        <v>29555.63</v>
      </c>
      <c r="BO6" s="426"/>
      <c r="BP6" s="426">
        <v>405.49</v>
      </c>
      <c r="BQ6" s="426">
        <v>7568.2400000000007</v>
      </c>
      <c r="BR6" s="426">
        <v>3574.2499999999995</v>
      </c>
      <c r="BS6" s="426"/>
      <c r="BT6" s="426"/>
      <c r="BU6" s="426"/>
      <c r="BV6" s="426"/>
      <c r="BW6" s="426"/>
      <c r="BX6" s="426"/>
      <c r="BY6" s="426"/>
      <c r="BZ6" s="426"/>
      <c r="CA6" s="426"/>
      <c r="CB6" s="426"/>
      <c r="CC6" s="426"/>
      <c r="CD6" s="426"/>
      <c r="CE6" s="426">
        <v>13995.130000000001</v>
      </c>
      <c r="CF6" s="426">
        <v>22001.45</v>
      </c>
      <c r="CG6" s="426">
        <v>0</v>
      </c>
      <c r="CH6" s="426"/>
      <c r="CI6" s="426">
        <v>95579.030000000057</v>
      </c>
      <c r="CJ6" s="426">
        <v>0</v>
      </c>
      <c r="CK6" s="426">
        <v>38385.039999999994</v>
      </c>
      <c r="CL6" s="426">
        <v>595</v>
      </c>
      <c r="CM6" s="426">
        <v>15562</v>
      </c>
      <c r="CN6" s="426"/>
      <c r="CO6" s="426">
        <v>11484</v>
      </c>
      <c r="CP6" s="426"/>
      <c r="CQ6" s="426">
        <v>5970.23</v>
      </c>
      <c r="CR6" s="426">
        <v>7574.37</v>
      </c>
      <c r="CS6" s="426">
        <v>29415.279999999995</v>
      </c>
      <c r="CT6" s="426">
        <v>28148.899999999998</v>
      </c>
      <c r="CU6" s="426"/>
      <c r="CV6" s="426"/>
      <c r="CW6" s="426">
        <v>3083.4100000000003</v>
      </c>
      <c r="CX6" s="426">
        <v>875</v>
      </c>
      <c r="CY6" s="426"/>
      <c r="CZ6" s="426">
        <v>8330.48</v>
      </c>
      <c r="DA6" s="426">
        <v>377.82000000000005</v>
      </c>
      <c r="DB6" s="426">
        <v>7023.7299999999977</v>
      </c>
      <c r="DC6" s="426">
        <v>2965.1699999999996</v>
      </c>
      <c r="DD6" s="426"/>
      <c r="DE6" s="426"/>
      <c r="DF6" s="426"/>
      <c r="DG6" s="426"/>
      <c r="DH6" s="426">
        <v>4672.6500000000005</v>
      </c>
      <c r="DI6" s="426"/>
      <c r="DJ6" s="426"/>
      <c r="DK6" s="426"/>
      <c r="DL6" s="426">
        <v>323.05</v>
      </c>
      <c r="DM6" s="426">
        <v>2402.19</v>
      </c>
      <c r="DN6" s="426"/>
      <c r="DO6" s="426"/>
      <c r="DP6" s="426"/>
      <c r="DQ6" s="426"/>
      <c r="DR6" s="426"/>
      <c r="DS6" s="426"/>
      <c r="DT6" s="426">
        <v>11790</v>
      </c>
      <c r="DU6" s="426">
        <v>27553.08</v>
      </c>
      <c r="DV6" s="426">
        <v>375.53</v>
      </c>
      <c r="DW6" s="426"/>
      <c r="DX6" s="426">
        <v>2868.0499999999984</v>
      </c>
      <c r="DY6" s="426">
        <v>4579.68</v>
      </c>
      <c r="DZ6" s="426"/>
      <c r="EA6" s="426"/>
      <c r="EB6" s="426">
        <v>4300</v>
      </c>
      <c r="EC6" s="426">
        <v>2493.7200000000003</v>
      </c>
      <c r="ED6" s="426"/>
      <c r="EE6" s="426">
        <v>2023.3600000000004</v>
      </c>
      <c r="EF6" s="426"/>
      <c r="EG6" s="426">
        <v>-380.96</v>
      </c>
      <c r="EH6" s="426">
        <v>6416.23</v>
      </c>
      <c r="EI6" s="426"/>
      <c r="EJ6" s="426"/>
      <c r="EK6" s="426">
        <v>13691.91</v>
      </c>
      <c r="EL6" s="426">
        <v>2432.7399999999993</v>
      </c>
      <c r="EM6" s="426">
        <v>15151.230000000001</v>
      </c>
      <c r="EN6" s="426">
        <v>3903.6</v>
      </c>
      <c r="EO6" s="426">
        <v>5158.08</v>
      </c>
      <c r="EP6" s="426"/>
      <c r="EQ6" s="426"/>
      <c r="ER6" s="426"/>
      <c r="ES6" s="426"/>
      <c r="ET6" s="426"/>
      <c r="EU6" s="426"/>
      <c r="EV6" s="426"/>
      <c r="EW6" s="426">
        <v>21327.9</v>
      </c>
      <c r="EX6" s="426"/>
      <c r="EY6" s="426"/>
      <c r="EZ6" s="426">
        <v>5430.76</v>
      </c>
      <c r="FA6" s="426">
        <v>9657.9299999999985</v>
      </c>
      <c r="FB6" s="426"/>
      <c r="FC6" s="426">
        <v>0</v>
      </c>
      <c r="FD6" s="426"/>
      <c r="FE6" s="426"/>
      <c r="FF6" s="426"/>
      <c r="FG6" s="426"/>
      <c r="FH6" s="426"/>
      <c r="FI6" s="426">
        <v>-100</v>
      </c>
      <c r="FJ6" s="426">
        <v>-77095</v>
      </c>
      <c r="FK6" s="426">
        <v>-1402.21</v>
      </c>
      <c r="FL6" s="426">
        <v>-1441920</v>
      </c>
      <c r="FM6" s="426">
        <v>-12857.34</v>
      </c>
      <c r="FN6" s="426"/>
      <c r="FO6" s="426">
        <v>-10783.75</v>
      </c>
      <c r="FP6" s="426">
        <v>-1470</v>
      </c>
      <c r="FQ6" s="426">
        <v>-15188</v>
      </c>
      <c r="FR6" s="426"/>
      <c r="FS6" s="426">
        <v>-45813.04</v>
      </c>
      <c r="FT6" s="426"/>
      <c r="FU6" s="426">
        <v>-0.25</v>
      </c>
      <c r="FV6" s="426"/>
      <c r="FW6" s="426">
        <v>-1830838.7299999997</v>
      </c>
      <c r="FX6" s="426"/>
      <c r="FY6" s="426"/>
      <c r="FZ6" s="426">
        <v>-1174</v>
      </c>
      <c r="GA6" s="426">
        <v>-91071.3</v>
      </c>
      <c r="GB6" s="426"/>
      <c r="GC6" s="426">
        <v>-402235.33</v>
      </c>
      <c r="GD6" s="426"/>
      <c r="GE6" s="426">
        <v>707</v>
      </c>
      <c r="GF6" s="426"/>
      <c r="GG6" s="426">
        <v>34</v>
      </c>
      <c r="GH6" s="426">
        <v>1384.2</v>
      </c>
      <c r="GI6" s="426">
        <v>7274.2299999999987</v>
      </c>
      <c r="GJ6" s="426">
        <v>61403.260000000009</v>
      </c>
      <c r="GK6" s="426">
        <v>22452.37</v>
      </c>
      <c r="GL6" s="426">
        <v>317.93</v>
      </c>
      <c r="GM6" s="426">
        <v>12433.12</v>
      </c>
      <c r="GN6" s="426">
        <v>261</v>
      </c>
      <c r="GO6" s="426">
        <v>2920.84</v>
      </c>
      <c r="GP6" s="426">
        <v>9097.880000000001</v>
      </c>
      <c r="GQ6" s="426">
        <v>3846</v>
      </c>
      <c r="GR6" s="426">
        <v>660</v>
      </c>
      <c r="GS6" s="426">
        <v>2513.7800000000002</v>
      </c>
      <c r="GT6" s="426">
        <v>3268.7800000000007</v>
      </c>
      <c r="GU6" s="426">
        <v>28.32</v>
      </c>
      <c r="GV6" s="426"/>
      <c r="GW6" s="426">
        <v>17454.23</v>
      </c>
      <c r="GX6" s="426">
        <v>-17454.23</v>
      </c>
      <c r="GY6" s="426">
        <v>-1200</v>
      </c>
      <c r="GZ6" s="426"/>
      <c r="HA6" s="426"/>
      <c r="HB6" s="426"/>
      <c r="HC6" s="426">
        <v>-6710</v>
      </c>
      <c r="HD6" s="426"/>
      <c r="HE6" s="426"/>
      <c r="HF6" s="426"/>
      <c r="HG6" s="426"/>
      <c r="HH6" s="426"/>
      <c r="HI6" s="426"/>
      <c r="HJ6" s="426">
        <v>-2160</v>
      </c>
      <c r="HK6" s="426">
        <v>-150.12</v>
      </c>
      <c r="HL6" s="426">
        <v>-42687.5</v>
      </c>
      <c r="HM6" s="426">
        <v>-1875</v>
      </c>
      <c r="HN6" s="426"/>
      <c r="HO6" s="426"/>
      <c r="HP6" s="426">
        <v>-240</v>
      </c>
      <c r="HQ6" s="426"/>
      <c r="HR6" s="426">
        <v>-2047.74</v>
      </c>
      <c r="HS6" s="426"/>
      <c r="HT6" s="426"/>
      <c r="HU6" s="426"/>
    </row>
    <row r="7" spans="1:229">
      <c r="A7" s="116">
        <v>107145</v>
      </c>
      <c r="B7" s="304"/>
      <c r="C7" s="304">
        <v>824146.32</v>
      </c>
      <c r="D7" s="304">
        <v>42072.94</v>
      </c>
      <c r="E7" s="304"/>
      <c r="F7" s="304">
        <v>228014.14000000004</v>
      </c>
      <c r="G7" s="304">
        <v>117296.85</v>
      </c>
      <c r="H7" s="304">
        <v>50577.600000000006</v>
      </c>
      <c r="I7" s="304"/>
      <c r="J7" s="304">
        <v>14376.680000000004</v>
      </c>
      <c r="K7" s="304">
        <v>6525.0700000000006</v>
      </c>
      <c r="L7" s="304"/>
      <c r="M7" s="304"/>
      <c r="N7" s="304"/>
      <c r="O7" s="304"/>
      <c r="P7" s="304"/>
      <c r="Q7" s="304"/>
      <c r="R7" s="304">
        <v>113409.26000000001</v>
      </c>
      <c r="S7" s="304">
        <v>1002.31</v>
      </c>
      <c r="T7" s="304">
        <v>2991.9599999999996</v>
      </c>
      <c r="U7" s="304">
        <v>31128.210000000006</v>
      </c>
      <c r="V7" s="304">
        <v>15459.92</v>
      </c>
      <c r="W7" s="304"/>
      <c r="X7" s="304"/>
      <c r="Y7" s="304"/>
      <c r="Z7" s="304"/>
      <c r="AA7" s="304"/>
      <c r="AB7" s="304"/>
      <c r="AC7" s="304"/>
      <c r="AD7" s="304"/>
      <c r="AE7" s="304"/>
      <c r="AF7" s="304">
        <v>35890.11</v>
      </c>
      <c r="AG7" s="304">
        <v>502.66999999999996</v>
      </c>
      <c r="AH7" s="304">
        <v>974.98</v>
      </c>
      <c r="AI7" s="304">
        <v>7716.1699999999983</v>
      </c>
      <c r="AJ7" s="304">
        <v>1618.1</v>
      </c>
      <c r="AK7" s="304"/>
      <c r="AL7" s="304"/>
      <c r="AM7" s="304"/>
      <c r="AN7" s="304">
        <v>1183076.3499999999</v>
      </c>
      <c r="AO7" s="304">
        <v>116576.4</v>
      </c>
      <c r="AP7" s="304">
        <v>14321.939999999999</v>
      </c>
      <c r="AQ7" s="304">
        <v>340865.58999999997</v>
      </c>
      <c r="AR7" s="304">
        <v>135540.53999999998</v>
      </c>
      <c r="AS7" s="304"/>
      <c r="AT7" s="304"/>
      <c r="AU7" s="304"/>
      <c r="AV7" s="304"/>
      <c r="AW7" s="304"/>
      <c r="AX7" s="304">
        <v>137091.77000000002</v>
      </c>
      <c r="AY7" s="304">
        <v>59.02</v>
      </c>
      <c r="AZ7" s="304">
        <v>356.18</v>
      </c>
      <c r="BA7" s="304"/>
      <c r="BB7" s="304">
        <v>36301.410000000003</v>
      </c>
      <c r="BC7" s="304">
        <v>16506.990000000002</v>
      </c>
      <c r="BD7" s="304"/>
      <c r="BE7" s="304"/>
      <c r="BF7" s="304"/>
      <c r="BG7" s="304"/>
      <c r="BH7" s="304"/>
      <c r="BI7" s="304"/>
      <c r="BJ7" s="304"/>
      <c r="BK7" s="304"/>
      <c r="BL7" s="304"/>
      <c r="BM7" s="304"/>
      <c r="BN7" s="304">
        <v>99211.719999999987</v>
      </c>
      <c r="BO7" s="304">
        <v>2115.7299999999996</v>
      </c>
      <c r="BP7" s="304">
        <v>2182.1400000000003</v>
      </c>
      <c r="BQ7" s="304">
        <v>22725.84</v>
      </c>
      <c r="BR7" s="304">
        <v>10068.98</v>
      </c>
      <c r="BS7" s="304"/>
      <c r="BT7" s="304"/>
      <c r="BU7" s="304"/>
      <c r="BV7" s="304"/>
      <c r="BW7" s="304">
        <v>506.84</v>
      </c>
      <c r="BX7" s="304"/>
      <c r="BY7" s="304"/>
      <c r="BZ7" s="304"/>
      <c r="CA7" s="304"/>
      <c r="CB7" s="304">
        <v>4043.55</v>
      </c>
      <c r="CC7" s="304"/>
      <c r="CD7" s="304"/>
      <c r="CE7" s="304">
        <v>15984.329999999998</v>
      </c>
      <c r="CF7" s="304"/>
      <c r="CG7" s="304">
        <v>163.58999999999992</v>
      </c>
      <c r="CH7" s="304"/>
      <c r="CI7" s="304">
        <v>52417.220000000008</v>
      </c>
      <c r="CJ7" s="304"/>
      <c r="CK7" s="304">
        <v>75873.070000000036</v>
      </c>
      <c r="CL7" s="304">
        <v>19325.66</v>
      </c>
      <c r="CM7" s="304">
        <v>-1258</v>
      </c>
      <c r="CN7" s="304"/>
      <c r="CO7" s="304"/>
      <c r="CP7" s="304"/>
      <c r="CQ7" s="304"/>
      <c r="CR7" s="304">
        <v>6005.71</v>
      </c>
      <c r="CS7" s="304">
        <v>41461.82</v>
      </c>
      <c r="CT7" s="304">
        <v>474.14000000000004</v>
      </c>
      <c r="CU7" s="304">
        <v>12275.100000000002</v>
      </c>
      <c r="CV7" s="304"/>
      <c r="CW7" s="304"/>
      <c r="CX7" s="304">
        <v>99.38</v>
      </c>
      <c r="CY7" s="304"/>
      <c r="CZ7" s="304">
        <v>5979.01</v>
      </c>
      <c r="DA7" s="304">
        <v>546.34</v>
      </c>
      <c r="DB7" s="304">
        <v>16584.810000000001</v>
      </c>
      <c r="DC7" s="304">
        <v>2031.22</v>
      </c>
      <c r="DD7" s="304"/>
      <c r="DE7" s="304"/>
      <c r="DF7" s="304">
        <v>22840.85</v>
      </c>
      <c r="DG7" s="304"/>
      <c r="DH7" s="304">
        <v>4783.9199999999992</v>
      </c>
      <c r="DI7" s="304"/>
      <c r="DJ7" s="304"/>
      <c r="DK7" s="304"/>
      <c r="DL7" s="304">
        <v>1987.8400000000011</v>
      </c>
      <c r="DM7" s="304">
        <v>3141.2</v>
      </c>
      <c r="DN7" s="304">
        <v>3235.88</v>
      </c>
      <c r="DO7" s="304"/>
      <c r="DP7" s="304"/>
      <c r="DQ7" s="304"/>
      <c r="DR7" s="304"/>
      <c r="DS7" s="304">
        <v>1016.17</v>
      </c>
      <c r="DT7" s="304">
        <v>12983</v>
      </c>
      <c r="DU7" s="304">
        <v>29604.57</v>
      </c>
      <c r="DV7" s="304">
        <v>3944.34</v>
      </c>
      <c r="DW7" s="304"/>
      <c r="DX7" s="304">
        <v>3591.1199999999994</v>
      </c>
      <c r="DY7" s="304">
        <v>18964.829999999998</v>
      </c>
      <c r="DZ7" s="304">
        <v>9635.2000000000007</v>
      </c>
      <c r="EA7" s="304"/>
      <c r="EB7" s="304">
        <v>71426.799999999988</v>
      </c>
      <c r="EC7" s="304">
        <v>1988.49</v>
      </c>
      <c r="ED7" s="304">
        <v>162.08000000000001</v>
      </c>
      <c r="EE7" s="304">
        <v>4424.8599999999997</v>
      </c>
      <c r="EF7" s="426"/>
      <c r="EG7" s="304"/>
      <c r="EH7" s="304">
        <v>49</v>
      </c>
      <c r="EI7" s="426"/>
      <c r="EJ7" s="304"/>
      <c r="EK7" s="304">
        <v>1663.92</v>
      </c>
      <c r="EL7" s="304">
        <v>24775.140000000003</v>
      </c>
      <c r="EM7" s="304">
        <v>631.33000000000004</v>
      </c>
      <c r="EN7" s="304">
        <v>707.49</v>
      </c>
      <c r="EO7" s="304"/>
      <c r="EP7" s="304"/>
      <c r="EQ7" s="304"/>
      <c r="ER7" s="304"/>
      <c r="ES7" s="304"/>
      <c r="ET7" s="304"/>
      <c r="EU7" s="304"/>
      <c r="EV7" s="304">
        <v>21564.39</v>
      </c>
      <c r="EW7" s="304">
        <v>22100.65</v>
      </c>
      <c r="EX7" s="304">
        <v>8500.9</v>
      </c>
      <c r="EY7" s="304">
        <v>1475.6100000000001</v>
      </c>
      <c r="EZ7" s="304">
        <v>4324.49</v>
      </c>
      <c r="FA7" s="304"/>
      <c r="FB7" s="304"/>
      <c r="FC7" s="304"/>
      <c r="FD7" s="304"/>
      <c r="FE7" s="304"/>
      <c r="FF7" s="304"/>
      <c r="FG7" s="304"/>
      <c r="FH7" s="304"/>
      <c r="FI7" s="304"/>
      <c r="FJ7" s="304">
        <v>-110115</v>
      </c>
      <c r="FK7" s="304">
        <v>-467.41</v>
      </c>
      <c r="FL7" s="304">
        <v>-1589299.6600000001</v>
      </c>
      <c r="FM7" s="304">
        <v>-5656.93</v>
      </c>
      <c r="FN7" s="304"/>
      <c r="FO7" s="304">
        <v>-10631.88</v>
      </c>
      <c r="FP7" s="304">
        <v>-1935</v>
      </c>
      <c r="FQ7" s="304">
        <v>-15252</v>
      </c>
      <c r="FR7" s="304"/>
      <c r="FS7" s="304">
        <v>-91400.98</v>
      </c>
      <c r="FT7" s="304"/>
      <c r="FU7" s="304">
        <v>-19345.78</v>
      </c>
      <c r="FV7" s="304"/>
      <c r="FW7" s="304">
        <v>-1950032.6300000001</v>
      </c>
      <c r="FX7" s="304"/>
      <c r="FY7" s="304"/>
      <c r="FZ7" s="304">
        <v>-65598.64</v>
      </c>
      <c r="GA7" s="304">
        <v>-95690.62</v>
      </c>
      <c r="GB7" s="304"/>
      <c r="GC7" s="304">
        <v>-441195.94</v>
      </c>
      <c r="GD7" s="304"/>
      <c r="GE7" s="304">
        <v>285</v>
      </c>
      <c r="GF7" s="304"/>
      <c r="GG7" s="304"/>
      <c r="GH7" s="304">
        <v>1387.24</v>
      </c>
      <c r="GI7" s="304">
        <v>6709.2799999999979</v>
      </c>
      <c r="GJ7" s="304"/>
      <c r="GK7" s="304">
        <v>20765.04</v>
      </c>
      <c r="GL7" s="304"/>
      <c r="GM7" s="304">
        <v>15099.710000000001</v>
      </c>
      <c r="GN7" s="304">
        <v>261</v>
      </c>
      <c r="GO7" s="304">
        <v>5189.04</v>
      </c>
      <c r="GP7" s="304">
        <v>8464.23</v>
      </c>
      <c r="GQ7" s="304">
        <v>4073</v>
      </c>
      <c r="GR7" s="304">
        <v>8177.319999999987</v>
      </c>
      <c r="GS7" s="304">
        <v>2949.33</v>
      </c>
      <c r="GT7" s="304">
        <v>6211.7300000000005</v>
      </c>
      <c r="GU7" s="304">
        <v>0</v>
      </c>
      <c r="GV7" s="304"/>
      <c r="GW7" s="304"/>
      <c r="GX7" s="304"/>
      <c r="GY7" s="304">
        <v>-5400</v>
      </c>
      <c r="GZ7" s="304"/>
      <c r="HA7" s="304"/>
      <c r="HB7" s="304"/>
      <c r="HC7" s="304"/>
      <c r="HD7" s="304">
        <v>-48220</v>
      </c>
      <c r="HE7" s="304">
        <v>-1355</v>
      </c>
      <c r="HF7" s="304">
        <v>-1650.1999999999994</v>
      </c>
      <c r="HG7" s="304"/>
      <c r="HH7" s="304"/>
      <c r="HI7" s="304"/>
      <c r="HJ7" s="304"/>
      <c r="HK7" s="304"/>
      <c r="HL7" s="304">
        <v>0</v>
      </c>
      <c r="HM7" s="304"/>
      <c r="HN7" s="304"/>
      <c r="HO7" s="304"/>
      <c r="HP7" s="304">
        <v>-2571.71</v>
      </c>
      <c r="HQ7" s="304"/>
      <c r="HR7" s="304">
        <v>-13132.85</v>
      </c>
      <c r="HS7" s="304"/>
      <c r="HT7" s="304"/>
      <c r="HU7" s="304"/>
    </row>
    <row r="8" spans="1:229">
      <c r="A8" s="116">
        <v>107529</v>
      </c>
      <c r="B8" s="304"/>
      <c r="C8" s="304">
        <v>881904.3</v>
      </c>
      <c r="D8" s="304">
        <v>5799.56</v>
      </c>
      <c r="E8" s="304">
        <v>26484.549999999992</v>
      </c>
      <c r="F8" s="304">
        <v>263705.08</v>
      </c>
      <c r="G8" s="304">
        <v>116779.84</v>
      </c>
      <c r="H8" s="304">
        <v>17590.29</v>
      </c>
      <c r="I8" s="304"/>
      <c r="J8" s="304">
        <v>5044.91</v>
      </c>
      <c r="K8" s="304">
        <v>1906.6100000000001</v>
      </c>
      <c r="L8" s="304"/>
      <c r="M8" s="304"/>
      <c r="N8" s="304"/>
      <c r="O8" s="304"/>
      <c r="P8" s="304"/>
      <c r="Q8" s="304"/>
      <c r="R8" s="304"/>
      <c r="S8" s="304"/>
      <c r="T8" s="304"/>
      <c r="U8" s="304"/>
      <c r="V8" s="304"/>
      <c r="W8" s="304"/>
      <c r="X8" s="304"/>
      <c r="Y8" s="304"/>
      <c r="Z8" s="304"/>
      <c r="AA8" s="304">
        <v>12073.169999999996</v>
      </c>
      <c r="AB8" s="304">
        <v>113.30999999999999</v>
      </c>
      <c r="AC8" s="304">
        <v>201.39999999999998</v>
      </c>
      <c r="AD8" s="304">
        <v>2938.49</v>
      </c>
      <c r="AE8" s="304">
        <v>1012.1400000000001</v>
      </c>
      <c r="AF8" s="304">
        <v>55703.999999999993</v>
      </c>
      <c r="AG8" s="304">
        <v>1501.59</v>
      </c>
      <c r="AH8" s="304">
        <v>1079.4899999999998</v>
      </c>
      <c r="AI8" s="304">
        <v>12767.59</v>
      </c>
      <c r="AJ8" s="304">
        <v>3741.01</v>
      </c>
      <c r="AK8" s="304"/>
      <c r="AL8" s="304"/>
      <c r="AM8" s="304"/>
      <c r="AN8" s="304">
        <v>396819.58999999997</v>
      </c>
      <c r="AO8" s="304">
        <v>8645.81</v>
      </c>
      <c r="AP8" s="304">
        <v>5900.9700000000012</v>
      </c>
      <c r="AQ8" s="304">
        <v>109641.20999999999</v>
      </c>
      <c r="AR8" s="304">
        <v>44132.909999999996</v>
      </c>
      <c r="AS8" s="304"/>
      <c r="AT8" s="304"/>
      <c r="AU8" s="304"/>
      <c r="AV8" s="304"/>
      <c r="AW8" s="304"/>
      <c r="AX8" s="304">
        <v>107268.49999999997</v>
      </c>
      <c r="AY8" s="304">
        <v>337.1</v>
      </c>
      <c r="AZ8" s="304">
        <v>2190.33</v>
      </c>
      <c r="BA8" s="304"/>
      <c r="BB8" s="304">
        <v>28985.679999999997</v>
      </c>
      <c r="BC8" s="304">
        <v>13258.12</v>
      </c>
      <c r="BD8" s="304"/>
      <c r="BE8" s="304"/>
      <c r="BF8" s="304"/>
      <c r="BG8" s="304"/>
      <c r="BH8" s="304"/>
      <c r="BI8" s="304"/>
      <c r="BJ8" s="304"/>
      <c r="BK8" s="304"/>
      <c r="BL8" s="304"/>
      <c r="BM8" s="304"/>
      <c r="BN8" s="304">
        <v>67727.039999999994</v>
      </c>
      <c r="BO8" s="304">
        <v>2129.6</v>
      </c>
      <c r="BP8" s="304">
        <v>60.11</v>
      </c>
      <c r="BQ8" s="304">
        <v>17391.96</v>
      </c>
      <c r="BR8" s="304">
        <v>7454.55</v>
      </c>
      <c r="BS8" s="304"/>
      <c r="BT8" s="304"/>
      <c r="BU8" s="304"/>
      <c r="BV8" s="304"/>
      <c r="BW8" s="304"/>
      <c r="BX8" s="304"/>
      <c r="BY8" s="304"/>
      <c r="BZ8" s="304">
        <v>-113.78</v>
      </c>
      <c r="CA8" s="304"/>
      <c r="CB8" s="304"/>
      <c r="CC8" s="304"/>
      <c r="CD8" s="304"/>
      <c r="CE8" s="304">
        <v>4458.3899999999994</v>
      </c>
      <c r="CF8" s="304"/>
      <c r="CG8" s="304">
        <v>625.79</v>
      </c>
      <c r="CH8" s="304">
        <v>0</v>
      </c>
      <c r="CI8" s="304">
        <v>13517.85</v>
      </c>
      <c r="CJ8" s="304"/>
      <c r="CK8" s="304">
        <v>13585.750000000002</v>
      </c>
      <c r="CL8" s="304">
        <v>3030.06</v>
      </c>
      <c r="CM8" s="304">
        <v>5534.74</v>
      </c>
      <c r="CN8" s="304"/>
      <c r="CO8" s="304"/>
      <c r="CP8" s="304"/>
      <c r="CQ8" s="304">
        <v>5755</v>
      </c>
      <c r="CR8" s="304">
        <v>1908.1799999999998</v>
      </c>
      <c r="CS8" s="304">
        <v>21104.42</v>
      </c>
      <c r="CT8" s="304">
        <v>16836.72</v>
      </c>
      <c r="CU8" s="304"/>
      <c r="CV8" s="304"/>
      <c r="CW8" s="304"/>
      <c r="CX8" s="304"/>
      <c r="CY8" s="304">
        <v>49721</v>
      </c>
      <c r="CZ8" s="304">
        <v>12765.55</v>
      </c>
      <c r="DA8" s="304">
        <v>434</v>
      </c>
      <c r="DB8" s="304">
        <v>7100.6299999999983</v>
      </c>
      <c r="DC8" s="304">
        <v>1475.8300000000002</v>
      </c>
      <c r="DD8" s="304"/>
      <c r="DE8" s="304"/>
      <c r="DF8" s="304"/>
      <c r="DG8" s="304"/>
      <c r="DH8" s="304">
        <v>270.24</v>
      </c>
      <c r="DI8" s="304"/>
      <c r="DJ8" s="304"/>
      <c r="DK8" s="304"/>
      <c r="DL8" s="304">
        <v>115.35</v>
      </c>
      <c r="DM8" s="304"/>
      <c r="DN8" s="304">
        <v>2181.9199999999996</v>
      </c>
      <c r="DO8" s="304"/>
      <c r="DP8" s="304"/>
      <c r="DQ8" s="304">
        <v>6270.49</v>
      </c>
      <c r="DR8" s="304">
        <v>6585</v>
      </c>
      <c r="DS8" s="304"/>
      <c r="DT8" s="304">
        <v>7885</v>
      </c>
      <c r="DU8" s="304">
        <v>45069.620000000017</v>
      </c>
      <c r="DV8" s="304">
        <v>352.28</v>
      </c>
      <c r="DW8" s="304">
        <v>558.85</v>
      </c>
      <c r="DX8" s="304">
        <v>464.25000000000006</v>
      </c>
      <c r="DY8" s="304">
        <v>10619.550000000001</v>
      </c>
      <c r="DZ8" s="304">
        <v>4803.7299999999996</v>
      </c>
      <c r="EA8" s="304"/>
      <c r="EB8" s="304">
        <v>2050</v>
      </c>
      <c r="EC8" s="304"/>
      <c r="ED8" s="304">
        <v>177.54</v>
      </c>
      <c r="EE8" s="304">
        <v>825.67000000000007</v>
      </c>
      <c r="EF8" s="426"/>
      <c r="EG8" s="304"/>
      <c r="EH8" s="304">
        <v>4820.3599999999997</v>
      </c>
      <c r="EI8" s="426"/>
      <c r="EJ8" s="304"/>
      <c r="EK8" s="304">
        <v>3349</v>
      </c>
      <c r="EL8" s="304">
        <v>14154.13</v>
      </c>
      <c r="EM8" s="304">
        <v>3906.45</v>
      </c>
      <c r="EN8" s="304"/>
      <c r="EO8" s="304">
        <v>5549</v>
      </c>
      <c r="EP8" s="304"/>
      <c r="EQ8" s="304"/>
      <c r="ER8" s="304"/>
      <c r="ES8" s="304"/>
      <c r="ET8" s="304"/>
      <c r="EU8" s="304">
        <v>11340</v>
      </c>
      <c r="EV8" s="304">
        <v>3174.3599999999997</v>
      </c>
      <c r="EW8" s="304"/>
      <c r="EX8" s="304">
        <v>572.75</v>
      </c>
      <c r="EY8" s="304">
        <v>77374.87000000001</v>
      </c>
      <c r="EZ8" s="304">
        <v>60486.44</v>
      </c>
      <c r="FA8" s="304"/>
      <c r="FB8" s="304"/>
      <c r="FC8" s="304"/>
      <c r="FD8" s="304"/>
      <c r="FE8" s="304">
        <v>93.5</v>
      </c>
      <c r="FF8" s="304">
        <v>-2130821</v>
      </c>
      <c r="FG8" s="304"/>
      <c r="FH8" s="304"/>
      <c r="FI8" s="304">
        <v>-3800</v>
      </c>
      <c r="FJ8" s="304">
        <v>-91465</v>
      </c>
      <c r="FK8" s="304"/>
      <c r="FL8" s="304"/>
      <c r="FM8" s="304">
        <v>-2628</v>
      </c>
      <c r="FN8" s="304"/>
      <c r="FO8" s="304">
        <v>-8725</v>
      </c>
      <c r="FP8" s="304">
        <v>-87982</v>
      </c>
      <c r="FQ8" s="304">
        <v>-17952</v>
      </c>
      <c r="FR8" s="304"/>
      <c r="FS8" s="304">
        <v>-76255.399999999994</v>
      </c>
      <c r="FT8" s="304"/>
      <c r="FU8" s="304">
        <v>-2402.17</v>
      </c>
      <c r="FV8" s="304"/>
      <c r="FW8" s="304">
        <v>-187531</v>
      </c>
      <c r="FX8" s="304">
        <v>8647.7999999999993</v>
      </c>
      <c r="FY8" s="304">
        <v>1281</v>
      </c>
      <c r="FZ8" s="304">
        <v>-26165</v>
      </c>
      <c r="GA8" s="304"/>
      <c r="GB8" s="304">
        <v>-18917</v>
      </c>
      <c r="GC8" s="304"/>
      <c r="GD8" s="304">
        <v>-39391</v>
      </c>
      <c r="GE8" s="304">
        <v>0</v>
      </c>
      <c r="GF8" s="304"/>
      <c r="GG8" s="304"/>
      <c r="GH8" s="304">
        <v>2259.7199999999998</v>
      </c>
      <c r="GI8" s="304">
        <v>55.39</v>
      </c>
      <c r="GJ8" s="304"/>
      <c r="GK8" s="304"/>
      <c r="GL8" s="304">
        <v>536</v>
      </c>
      <c r="GM8" s="304">
        <v>7784.6000000000058</v>
      </c>
      <c r="GN8" s="304">
        <v>261</v>
      </c>
      <c r="GO8" s="304">
        <v>3024.7200000000003</v>
      </c>
      <c r="GP8" s="304">
        <v>2461.23</v>
      </c>
      <c r="GQ8" s="304">
        <v>3780</v>
      </c>
      <c r="GR8" s="304">
        <v>560</v>
      </c>
      <c r="GS8" s="304">
        <v>1610.2</v>
      </c>
      <c r="GT8" s="304">
        <v>2948.1499999999996</v>
      </c>
      <c r="GU8" s="304"/>
      <c r="GV8" s="304"/>
      <c r="GW8" s="304"/>
      <c r="GX8" s="304"/>
      <c r="GY8" s="304"/>
      <c r="GZ8" s="304">
        <v>0</v>
      </c>
      <c r="HA8" s="304"/>
      <c r="HB8" s="304"/>
      <c r="HC8" s="304">
        <v>-1914</v>
      </c>
      <c r="HD8" s="304"/>
      <c r="HE8" s="304">
        <v>-7995.09</v>
      </c>
      <c r="HF8" s="304">
        <v>-56917.610000000037</v>
      </c>
      <c r="HG8" s="304"/>
      <c r="HH8" s="304">
        <v>-1905.32</v>
      </c>
      <c r="HI8" s="304"/>
      <c r="HJ8" s="304"/>
      <c r="HK8" s="304">
        <v>-1.3766765505351941E-14</v>
      </c>
      <c r="HL8" s="304">
        <v>-1568.38</v>
      </c>
      <c r="HM8" s="304">
        <v>-14233.57</v>
      </c>
      <c r="HN8" s="304">
        <v>-23015.309999999994</v>
      </c>
      <c r="HO8" s="304"/>
      <c r="HP8" s="304">
        <v>-7837</v>
      </c>
      <c r="HQ8" s="304"/>
      <c r="HR8" s="304">
        <v>-5886.81</v>
      </c>
      <c r="HS8" s="304"/>
      <c r="HT8" s="304"/>
      <c r="HU8" s="304"/>
    </row>
    <row r="9" spans="1:229">
      <c r="A9" s="116">
        <v>107531</v>
      </c>
      <c r="B9" s="304"/>
      <c r="C9" s="304">
        <v>257167.65999999992</v>
      </c>
      <c r="D9" s="304">
        <v>455.54</v>
      </c>
      <c r="E9" s="304">
        <v>11769.539999999999</v>
      </c>
      <c r="F9" s="304">
        <v>73886.31</v>
      </c>
      <c r="G9" s="304">
        <v>34264.99</v>
      </c>
      <c r="H9" s="304">
        <v>6100.0500000000011</v>
      </c>
      <c r="I9" s="304"/>
      <c r="J9" s="304">
        <v>1749.4899999999998</v>
      </c>
      <c r="K9" s="304">
        <v>801.37000000000012</v>
      </c>
      <c r="L9" s="304"/>
      <c r="M9" s="304"/>
      <c r="N9" s="304"/>
      <c r="O9" s="304"/>
      <c r="P9" s="304"/>
      <c r="Q9" s="304"/>
      <c r="R9" s="304"/>
      <c r="S9" s="304"/>
      <c r="T9" s="304"/>
      <c r="U9" s="304"/>
      <c r="V9" s="304"/>
      <c r="W9" s="304"/>
      <c r="X9" s="304"/>
      <c r="Y9" s="304"/>
      <c r="Z9" s="304"/>
      <c r="AA9" s="304">
        <v>10732.29</v>
      </c>
      <c r="AB9" s="304">
        <v>366.07</v>
      </c>
      <c r="AC9" s="304">
        <v>53.88</v>
      </c>
      <c r="AD9" s="304">
        <v>2944.12</v>
      </c>
      <c r="AE9" s="304">
        <v>1214.1199999999999</v>
      </c>
      <c r="AF9" s="304">
        <v>5607.0599999999986</v>
      </c>
      <c r="AG9" s="304">
        <v>15.4</v>
      </c>
      <c r="AH9" s="304">
        <v>70.69</v>
      </c>
      <c r="AI9" s="304">
        <v>535.69999999999993</v>
      </c>
      <c r="AJ9" s="304">
        <v>641.58000000000004</v>
      </c>
      <c r="AK9" s="304"/>
      <c r="AL9" s="304"/>
      <c r="AM9" s="304"/>
      <c r="AN9" s="304">
        <v>85126.38</v>
      </c>
      <c r="AO9" s="304">
        <v>6000.41</v>
      </c>
      <c r="AP9" s="304">
        <v>298.8</v>
      </c>
      <c r="AQ9" s="304">
        <v>24324.63</v>
      </c>
      <c r="AR9" s="304">
        <v>9898.08</v>
      </c>
      <c r="AS9" s="304"/>
      <c r="AT9" s="304"/>
      <c r="AU9" s="304"/>
      <c r="AV9" s="304"/>
      <c r="AW9" s="304"/>
      <c r="AX9" s="304">
        <v>29701.510000000006</v>
      </c>
      <c r="AY9" s="304"/>
      <c r="AZ9" s="304">
        <v>67.59</v>
      </c>
      <c r="BA9" s="304">
        <v>0</v>
      </c>
      <c r="BB9" s="304">
        <v>7858.95</v>
      </c>
      <c r="BC9" s="304">
        <v>3425.3199999999993</v>
      </c>
      <c r="BD9" s="304"/>
      <c r="BE9" s="304"/>
      <c r="BF9" s="304"/>
      <c r="BG9" s="304"/>
      <c r="BH9" s="304"/>
      <c r="BI9" s="304"/>
      <c r="BJ9" s="304"/>
      <c r="BK9" s="304"/>
      <c r="BL9" s="304"/>
      <c r="BM9" s="304"/>
      <c r="BN9" s="304">
        <v>5790.3599999999988</v>
      </c>
      <c r="BO9" s="304"/>
      <c r="BP9" s="304"/>
      <c r="BQ9" s="304"/>
      <c r="BR9" s="304">
        <v>641.23</v>
      </c>
      <c r="BS9" s="304"/>
      <c r="BT9" s="304"/>
      <c r="BU9" s="304"/>
      <c r="BV9" s="304"/>
      <c r="BW9" s="304"/>
      <c r="BX9" s="304"/>
      <c r="BY9" s="304"/>
      <c r="BZ9" s="304"/>
      <c r="CA9" s="304"/>
      <c r="CB9" s="304"/>
      <c r="CC9" s="304"/>
      <c r="CD9" s="304"/>
      <c r="CE9" s="304">
        <v>1884</v>
      </c>
      <c r="CF9" s="304">
        <v>630.1</v>
      </c>
      <c r="CG9" s="304"/>
      <c r="CH9" s="304"/>
      <c r="CI9" s="304">
        <v>10641.24</v>
      </c>
      <c r="CJ9" s="304"/>
      <c r="CK9" s="304">
        <v>5940.6999999999989</v>
      </c>
      <c r="CL9" s="304">
        <v>3205</v>
      </c>
      <c r="CM9" s="304"/>
      <c r="CN9" s="304"/>
      <c r="CO9" s="304"/>
      <c r="CP9" s="304"/>
      <c r="CQ9" s="304"/>
      <c r="CR9" s="304">
        <v>389.0499999999999</v>
      </c>
      <c r="CS9" s="304">
        <v>9610.5</v>
      </c>
      <c r="CT9" s="304"/>
      <c r="CU9" s="304"/>
      <c r="CV9" s="304"/>
      <c r="CW9" s="304"/>
      <c r="CX9" s="304"/>
      <c r="CY9" s="304">
        <v>1422.15</v>
      </c>
      <c r="CZ9" s="304">
        <v>1914.02</v>
      </c>
      <c r="DA9" s="304"/>
      <c r="DB9" s="304">
        <v>2802.3700000000003</v>
      </c>
      <c r="DC9" s="304">
        <v>121.51</v>
      </c>
      <c r="DD9" s="304"/>
      <c r="DE9" s="304"/>
      <c r="DF9" s="304"/>
      <c r="DG9" s="304"/>
      <c r="DH9" s="304"/>
      <c r="DI9" s="304"/>
      <c r="DJ9" s="304"/>
      <c r="DK9" s="304">
        <v>0</v>
      </c>
      <c r="DL9" s="304">
        <v>306.71999999999991</v>
      </c>
      <c r="DM9" s="304"/>
      <c r="DN9" s="304">
        <v>558.87000000000012</v>
      </c>
      <c r="DO9" s="304"/>
      <c r="DP9" s="304"/>
      <c r="DQ9" s="304"/>
      <c r="DR9" s="304"/>
      <c r="DS9" s="304">
        <v>190</v>
      </c>
      <c r="DT9" s="304"/>
      <c r="DU9" s="304">
        <v>14624.8</v>
      </c>
      <c r="DV9" s="304">
        <v>122.97999999999999</v>
      </c>
      <c r="DW9" s="304"/>
      <c r="DX9" s="304">
        <v>1381.39</v>
      </c>
      <c r="DY9" s="304">
        <v>2932.66</v>
      </c>
      <c r="DZ9" s="304">
        <v>3715.25</v>
      </c>
      <c r="EA9" s="304"/>
      <c r="EB9" s="304">
        <v>21373.72</v>
      </c>
      <c r="EC9" s="304"/>
      <c r="ED9" s="304">
        <v>16.649999999999999</v>
      </c>
      <c r="EE9" s="304">
        <v>1042.42</v>
      </c>
      <c r="EF9" s="426"/>
      <c r="EG9" s="304"/>
      <c r="EH9" s="304">
        <v>2208</v>
      </c>
      <c r="EI9" s="426"/>
      <c r="EJ9" s="304"/>
      <c r="EK9" s="304">
        <v>2216.5</v>
      </c>
      <c r="EL9" s="304">
        <v>3.53</v>
      </c>
      <c r="EM9" s="304"/>
      <c r="EN9" s="304"/>
      <c r="EO9" s="304"/>
      <c r="EP9" s="304">
        <v>370.08</v>
      </c>
      <c r="EQ9" s="304"/>
      <c r="ER9" s="304"/>
      <c r="ES9" s="304"/>
      <c r="ET9" s="304"/>
      <c r="EU9" s="304"/>
      <c r="EV9" s="304">
        <v>2520.4</v>
      </c>
      <c r="EW9" s="304">
        <v>3071.88</v>
      </c>
      <c r="EX9" s="304">
        <v>3884.1000000000004</v>
      </c>
      <c r="EY9" s="304">
        <v>967.1099999999999</v>
      </c>
      <c r="EZ9" s="304">
        <v>12903.390000000001</v>
      </c>
      <c r="FA9" s="304"/>
      <c r="FB9" s="304"/>
      <c r="FC9" s="304"/>
      <c r="FD9" s="304"/>
      <c r="FE9" s="304"/>
      <c r="FF9" s="304">
        <v>-590139.48</v>
      </c>
      <c r="FG9" s="304"/>
      <c r="FH9" s="304">
        <v>-1350</v>
      </c>
      <c r="FI9" s="304"/>
      <c r="FJ9" s="304">
        <v>-13890</v>
      </c>
      <c r="FK9" s="304"/>
      <c r="FL9" s="304"/>
      <c r="FM9" s="304">
        <v>-876</v>
      </c>
      <c r="FN9" s="304"/>
      <c r="FO9" s="304"/>
      <c r="FP9" s="304">
        <v>-6460</v>
      </c>
      <c r="FQ9" s="304">
        <v>-15375</v>
      </c>
      <c r="FR9" s="304"/>
      <c r="FS9" s="304">
        <v>-23760.799999999999</v>
      </c>
      <c r="FT9" s="304"/>
      <c r="FU9" s="304"/>
      <c r="FV9" s="304"/>
      <c r="FW9" s="304">
        <v>-22711</v>
      </c>
      <c r="FX9" s="304">
        <v>1894.28</v>
      </c>
      <c r="FY9" s="304">
        <v>280.60000000000002</v>
      </c>
      <c r="FZ9" s="304">
        <v>-9498.4</v>
      </c>
      <c r="GA9" s="304"/>
      <c r="GB9" s="304">
        <v>-5082</v>
      </c>
      <c r="GC9" s="304"/>
      <c r="GD9" s="304">
        <v>-10167</v>
      </c>
      <c r="GE9" s="304">
        <v>899</v>
      </c>
      <c r="GF9" s="304"/>
      <c r="GG9" s="304"/>
      <c r="GH9" s="304">
        <v>2889.72</v>
      </c>
      <c r="GI9" s="304">
        <v>623.73</v>
      </c>
      <c r="GJ9" s="304"/>
      <c r="GK9" s="304">
        <v>9878.4499999999989</v>
      </c>
      <c r="GL9" s="304">
        <v>1539</v>
      </c>
      <c r="GM9" s="304">
        <v>4409.1800000000012</v>
      </c>
      <c r="GN9" s="304"/>
      <c r="GO9" s="304">
        <v>3746.81</v>
      </c>
      <c r="GP9" s="304">
        <v>1273.97</v>
      </c>
      <c r="GQ9" s="304">
        <v>4428.9799999999996</v>
      </c>
      <c r="GR9" s="304">
        <v>560</v>
      </c>
      <c r="GS9" s="304">
        <v>844.24</v>
      </c>
      <c r="GT9" s="304">
        <v>1216.3700000000001</v>
      </c>
      <c r="GU9" s="304"/>
      <c r="GV9" s="304"/>
      <c r="GW9" s="304">
        <v>575.05999999999995</v>
      </c>
      <c r="GX9" s="304"/>
      <c r="GY9" s="304"/>
      <c r="GZ9" s="304"/>
      <c r="HA9" s="304"/>
      <c r="HB9" s="304">
        <v>-285</v>
      </c>
      <c r="HC9" s="304"/>
      <c r="HD9" s="304"/>
      <c r="HE9" s="304">
        <v>-12645.560000000001</v>
      </c>
      <c r="HF9" s="304">
        <v>-7660.5000000000027</v>
      </c>
      <c r="HG9" s="304"/>
      <c r="HH9" s="304">
        <v>-2405.0499999999997</v>
      </c>
      <c r="HI9" s="304"/>
      <c r="HJ9" s="304"/>
      <c r="HK9" s="304">
        <v>-570.2700000000001</v>
      </c>
      <c r="HL9" s="304"/>
      <c r="HM9" s="304"/>
      <c r="HN9" s="304">
        <v>-19951.09</v>
      </c>
      <c r="HO9" s="304"/>
      <c r="HP9" s="304">
        <v>-7475</v>
      </c>
      <c r="HQ9" s="304">
        <v>0</v>
      </c>
      <c r="HR9" s="304">
        <v>-2168.5700000000002</v>
      </c>
      <c r="HS9" s="304"/>
      <c r="HT9" s="304"/>
      <c r="HU9" s="304"/>
    </row>
    <row r="10" spans="1:229">
      <c r="A10" s="116">
        <v>107534</v>
      </c>
      <c r="B10" s="304"/>
      <c r="C10" s="304">
        <v>423110.69000000006</v>
      </c>
      <c r="D10" s="304">
        <v>704.04</v>
      </c>
      <c r="E10" s="304"/>
      <c r="F10" s="304">
        <v>100798.31000000001</v>
      </c>
      <c r="G10" s="304">
        <v>55714.15</v>
      </c>
      <c r="H10" s="304">
        <v>3194.15</v>
      </c>
      <c r="I10" s="304"/>
      <c r="J10" s="304">
        <v>916.09</v>
      </c>
      <c r="K10" s="304">
        <v>340.85</v>
      </c>
      <c r="L10" s="304"/>
      <c r="M10" s="304"/>
      <c r="N10" s="304"/>
      <c r="O10" s="304"/>
      <c r="P10" s="304"/>
      <c r="Q10" s="304"/>
      <c r="R10" s="304"/>
      <c r="S10" s="304"/>
      <c r="T10" s="304"/>
      <c r="U10" s="304"/>
      <c r="V10" s="304"/>
      <c r="W10" s="304"/>
      <c r="X10" s="304"/>
      <c r="Y10" s="304"/>
      <c r="Z10" s="304"/>
      <c r="AA10" s="304">
        <v>19470.599999999995</v>
      </c>
      <c r="AB10" s="304">
        <v>120.67</v>
      </c>
      <c r="AC10" s="304">
        <v>4295.6500000000005</v>
      </c>
      <c r="AD10" s="304">
        <v>5764.9999999999991</v>
      </c>
      <c r="AE10" s="304">
        <v>2967.39</v>
      </c>
      <c r="AF10" s="304">
        <v>15434.390000000001</v>
      </c>
      <c r="AG10" s="304">
        <v>107.89000000000001</v>
      </c>
      <c r="AH10" s="304"/>
      <c r="AI10" s="304">
        <v>4073.309999999999</v>
      </c>
      <c r="AJ10" s="304">
        <v>1882.17</v>
      </c>
      <c r="AK10" s="304">
        <v>16.52</v>
      </c>
      <c r="AL10" s="304">
        <v>0</v>
      </c>
      <c r="AM10" s="304">
        <v>1.73</v>
      </c>
      <c r="AN10" s="304">
        <v>129022.93</v>
      </c>
      <c r="AO10" s="304">
        <v>1113.3399999999999</v>
      </c>
      <c r="AP10" s="304">
        <v>481.15999999999997</v>
      </c>
      <c r="AQ10" s="304">
        <v>33784.719999999994</v>
      </c>
      <c r="AR10" s="304">
        <v>14120.55</v>
      </c>
      <c r="AS10" s="304"/>
      <c r="AT10" s="304"/>
      <c r="AU10" s="304"/>
      <c r="AV10" s="304"/>
      <c r="AW10" s="304"/>
      <c r="AX10" s="304">
        <v>32740.030000000006</v>
      </c>
      <c r="AY10" s="304">
        <v>452.08</v>
      </c>
      <c r="AZ10" s="304"/>
      <c r="BA10" s="304"/>
      <c r="BB10" s="304">
        <v>8762.630000000001</v>
      </c>
      <c r="BC10" s="304">
        <v>4228.1899999999996</v>
      </c>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v>735</v>
      </c>
      <c r="CF10" s="304"/>
      <c r="CG10" s="304"/>
      <c r="CH10" s="304"/>
      <c r="CI10" s="304"/>
      <c r="CJ10" s="304"/>
      <c r="CK10" s="304">
        <v>22861.899999999998</v>
      </c>
      <c r="CL10" s="304">
        <v>9393.6999999999971</v>
      </c>
      <c r="CM10" s="304">
        <v>4632.7500000000009</v>
      </c>
      <c r="CN10" s="304"/>
      <c r="CO10" s="304"/>
      <c r="CP10" s="304"/>
      <c r="CQ10" s="304">
        <v>49299.979999999996</v>
      </c>
      <c r="CR10" s="304"/>
      <c r="CS10" s="304">
        <v>6916.9299999999994</v>
      </c>
      <c r="CT10" s="304">
        <v>6560.71</v>
      </c>
      <c r="CU10" s="304"/>
      <c r="CV10" s="304"/>
      <c r="CW10" s="304"/>
      <c r="CX10" s="304"/>
      <c r="CY10" s="304">
        <v>9481</v>
      </c>
      <c r="CZ10" s="304">
        <v>6713.41</v>
      </c>
      <c r="DA10" s="304"/>
      <c r="DB10" s="304">
        <v>1657.18</v>
      </c>
      <c r="DC10" s="304"/>
      <c r="DD10" s="304"/>
      <c r="DE10" s="304"/>
      <c r="DF10" s="304"/>
      <c r="DG10" s="304"/>
      <c r="DH10" s="304"/>
      <c r="DI10" s="304"/>
      <c r="DJ10" s="304"/>
      <c r="DK10" s="304"/>
      <c r="DL10" s="304"/>
      <c r="DM10" s="304"/>
      <c r="DN10" s="304"/>
      <c r="DO10" s="304"/>
      <c r="DP10" s="304"/>
      <c r="DQ10" s="304"/>
      <c r="DR10" s="304">
        <v>436</v>
      </c>
      <c r="DS10" s="304"/>
      <c r="DT10" s="304">
        <v>3124</v>
      </c>
      <c r="DU10" s="304">
        <v>25584.659999999996</v>
      </c>
      <c r="DV10" s="304">
        <v>98.13</v>
      </c>
      <c r="DW10" s="304"/>
      <c r="DX10" s="304">
        <v>3790.9300000000003</v>
      </c>
      <c r="DY10" s="304"/>
      <c r="DZ10" s="304">
        <v>958</v>
      </c>
      <c r="EA10" s="304"/>
      <c r="EB10" s="304">
        <v>20044</v>
      </c>
      <c r="EC10" s="304"/>
      <c r="ED10" s="304"/>
      <c r="EE10" s="304">
        <v>2089.3200000000002</v>
      </c>
      <c r="EF10" s="426"/>
      <c r="EG10" s="304"/>
      <c r="EH10" s="304">
        <v>4850.88</v>
      </c>
      <c r="EI10" s="426"/>
      <c r="EJ10" s="304"/>
      <c r="EK10" s="304">
        <v>1670.56</v>
      </c>
      <c r="EL10" s="304">
        <v>3536.4799999999996</v>
      </c>
      <c r="EM10" s="304">
        <v>17760.400000000001</v>
      </c>
      <c r="EN10" s="304">
        <v>4527.99</v>
      </c>
      <c r="EO10" s="304"/>
      <c r="EP10" s="304"/>
      <c r="EQ10" s="304"/>
      <c r="ER10" s="304"/>
      <c r="ES10" s="304">
        <v>999</v>
      </c>
      <c r="ET10" s="304"/>
      <c r="EU10" s="304"/>
      <c r="EV10" s="304"/>
      <c r="EW10" s="304">
        <v>4641.21</v>
      </c>
      <c r="EX10" s="304">
        <v>950</v>
      </c>
      <c r="EY10" s="304">
        <v>99.95</v>
      </c>
      <c r="EZ10" s="304">
        <v>7245.0099999999993</v>
      </c>
      <c r="FA10" s="304"/>
      <c r="FB10" s="304"/>
      <c r="FC10" s="304"/>
      <c r="FD10" s="304"/>
      <c r="FE10" s="304"/>
      <c r="FF10" s="304">
        <v>-802488.38</v>
      </c>
      <c r="FG10" s="304">
        <v>-9035</v>
      </c>
      <c r="FH10" s="304"/>
      <c r="FI10" s="304">
        <v>-4999</v>
      </c>
      <c r="FJ10" s="304">
        <v>-40625</v>
      </c>
      <c r="FK10" s="304"/>
      <c r="FL10" s="304"/>
      <c r="FM10" s="304">
        <v>-6228.22</v>
      </c>
      <c r="FN10" s="304"/>
      <c r="FO10" s="304">
        <v>-5563.75</v>
      </c>
      <c r="FP10" s="304">
        <v>-19604</v>
      </c>
      <c r="FQ10" s="304">
        <v>-15772</v>
      </c>
      <c r="FR10" s="304">
        <v>-9666.7000000000007</v>
      </c>
      <c r="FS10" s="304">
        <v>-69147.839999999997</v>
      </c>
      <c r="FT10" s="304"/>
      <c r="FU10" s="304"/>
      <c r="FV10" s="304"/>
      <c r="FW10" s="304">
        <v>-64957</v>
      </c>
      <c r="FX10" s="304">
        <v>2862.01</v>
      </c>
      <c r="FY10" s="304">
        <v>423.95</v>
      </c>
      <c r="FZ10" s="304">
        <v>-7659.45</v>
      </c>
      <c r="GA10" s="304"/>
      <c r="GB10" s="304">
        <v>-7396</v>
      </c>
      <c r="GC10" s="304"/>
      <c r="GD10" s="304">
        <v>-15065</v>
      </c>
      <c r="GE10" s="304">
        <v>550</v>
      </c>
      <c r="GF10" s="304"/>
      <c r="GG10" s="304"/>
      <c r="GH10" s="304">
        <v>1411.56</v>
      </c>
      <c r="GI10" s="304"/>
      <c r="GJ10" s="304">
        <v>26928.589999999997</v>
      </c>
      <c r="GK10" s="304">
        <v>32667.22</v>
      </c>
      <c r="GL10" s="304"/>
      <c r="GM10" s="304">
        <v>5192.1900000000032</v>
      </c>
      <c r="GN10" s="304">
        <v>261</v>
      </c>
      <c r="GO10" s="304">
        <v>3457.1800000000003</v>
      </c>
      <c r="GP10" s="304">
        <v>1807.57</v>
      </c>
      <c r="GQ10" s="304">
        <v>3683.5</v>
      </c>
      <c r="GR10" s="304">
        <v>560</v>
      </c>
      <c r="GS10" s="304">
        <v>961.09</v>
      </c>
      <c r="GT10" s="304">
        <v>1271.6199999999999</v>
      </c>
      <c r="GU10" s="304"/>
      <c r="GV10" s="304"/>
      <c r="GW10" s="304">
        <v>16334.88</v>
      </c>
      <c r="GX10" s="304">
        <v>-16334.88</v>
      </c>
      <c r="GY10" s="304">
        <v>-1350</v>
      </c>
      <c r="GZ10" s="304"/>
      <c r="HA10" s="304">
        <v>-157990</v>
      </c>
      <c r="HB10" s="304">
        <v>-2350</v>
      </c>
      <c r="HC10" s="304"/>
      <c r="HD10" s="304"/>
      <c r="HE10" s="304">
        <v>-13000</v>
      </c>
      <c r="HF10" s="304">
        <v>-3472.8400000000006</v>
      </c>
      <c r="HG10" s="304">
        <v>-23298.400000000001</v>
      </c>
      <c r="HH10" s="304">
        <v>-1902.56</v>
      </c>
      <c r="HI10" s="304"/>
      <c r="HJ10" s="304"/>
      <c r="HK10" s="304"/>
      <c r="HL10" s="304"/>
      <c r="HM10" s="304">
        <v>-1750</v>
      </c>
      <c r="HN10" s="304">
        <v>-27400</v>
      </c>
      <c r="HO10" s="304"/>
      <c r="HP10" s="304">
        <v>-603.09000000000015</v>
      </c>
      <c r="HQ10" s="304"/>
      <c r="HR10" s="304">
        <v>-3675.18</v>
      </c>
      <c r="HS10" s="304"/>
      <c r="HT10" s="304"/>
      <c r="HU10" s="304"/>
    </row>
    <row r="11" spans="1:229">
      <c r="A11" s="116">
        <v>107535</v>
      </c>
      <c r="B11" s="304"/>
      <c r="C11" s="304">
        <v>140834.47</v>
      </c>
      <c r="D11" s="304">
        <v>809.63</v>
      </c>
      <c r="E11" s="304">
        <v>7932.26</v>
      </c>
      <c r="F11" s="304">
        <v>27750.439999999995</v>
      </c>
      <c r="G11" s="304">
        <v>11891.190000000002</v>
      </c>
      <c r="H11" s="304">
        <v>4336.46</v>
      </c>
      <c r="I11" s="304"/>
      <c r="J11" s="304">
        <v>1243.69</v>
      </c>
      <c r="K11" s="304">
        <v>472.03999999999996</v>
      </c>
      <c r="L11" s="304"/>
      <c r="M11" s="304"/>
      <c r="N11" s="304"/>
      <c r="O11" s="304"/>
      <c r="P11" s="304"/>
      <c r="Q11" s="304"/>
      <c r="R11" s="304"/>
      <c r="S11" s="304"/>
      <c r="T11" s="304"/>
      <c r="U11" s="304"/>
      <c r="V11" s="304"/>
      <c r="W11" s="304"/>
      <c r="X11" s="304"/>
      <c r="Y11" s="304"/>
      <c r="Z11" s="304"/>
      <c r="AA11" s="304">
        <v>1711.2500000000002</v>
      </c>
      <c r="AB11" s="304"/>
      <c r="AC11" s="304"/>
      <c r="AD11" s="304">
        <v>451.73000000000008</v>
      </c>
      <c r="AE11" s="304">
        <v>180.54</v>
      </c>
      <c r="AF11" s="304">
        <v>2026.8000000000002</v>
      </c>
      <c r="AG11" s="304"/>
      <c r="AH11" s="304"/>
      <c r="AI11" s="304">
        <v>535.03</v>
      </c>
      <c r="AJ11" s="304">
        <v>221.95000000000002</v>
      </c>
      <c r="AK11" s="304"/>
      <c r="AL11" s="304"/>
      <c r="AM11" s="304"/>
      <c r="AN11" s="304">
        <v>30229.670000000002</v>
      </c>
      <c r="AO11" s="304">
        <v>72.64</v>
      </c>
      <c r="AP11" s="304">
        <v>5667.1999999999989</v>
      </c>
      <c r="AQ11" s="304">
        <v>6733.05</v>
      </c>
      <c r="AR11" s="304">
        <v>3480.03</v>
      </c>
      <c r="AS11" s="304"/>
      <c r="AT11" s="304"/>
      <c r="AU11" s="304"/>
      <c r="AV11" s="304"/>
      <c r="AW11" s="304"/>
      <c r="AX11" s="304">
        <v>12414.420000000002</v>
      </c>
      <c r="AY11" s="304">
        <v>99.34</v>
      </c>
      <c r="AZ11" s="304">
        <v>105.95</v>
      </c>
      <c r="BA11" s="304"/>
      <c r="BB11" s="304">
        <v>3284.06</v>
      </c>
      <c r="BC11" s="304">
        <v>1138.3600000000001</v>
      </c>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v>650</v>
      </c>
      <c r="CF11" s="304">
        <v>375.65</v>
      </c>
      <c r="CG11" s="304"/>
      <c r="CH11" s="304"/>
      <c r="CI11" s="304">
        <v>6321</v>
      </c>
      <c r="CJ11" s="304"/>
      <c r="CK11" s="304">
        <v>1867.24</v>
      </c>
      <c r="CL11" s="304"/>
      <c r="CM11" s="304">
        <v>1453.75</v>
      </c>
      <c r="CN11" s="304"/>
      <c r="CO11" s="304"/>
      <c r="CP11" s="304"/>
      <c r="CQ11" s="304"/>
      <c r="CR11" s="304">
        <v>660</v>
      </c>
      <c r="CS11" s="304">
        <v>7298.6299999999992</v>
      </c>
      <c r="CT11" s="304"/>
      <c r="CU11" s="304"/>
      <c r="CV11" s="304"/>
      <c r="CW11" s="304"/>
      <c r="CX11" s="304"/>
      <c r="CY11" s="304">
        <v>2794.4</v>
      </c>
      <c r="CZ11" s="304">
        <v>907.49999999999989</v>
      </c>
      <c r="DA11" s="304">
        <v>249</v>
      </c>
      <c r="DB11" s="304">
        <v>120.38</v>
      </c>
      <c r="DC11" s="304">
        <v>1224.83</v>
      </c>
      <c r="DD11" s="304"/>
      <c r="DE11" s="304"/>
      <c r="DF11" s="304"/>
      <c r="DG11" s="304"/>
      <c r="DH11" s="304"/>
      <c r="DI11" s="304"/>
      <c r="DJ11" s="304"/>
      <c r="DK11" s="304"/>
      <c r="DL11" s="304">
        <v>83.990000000000009</v>
      </c>
      <c r="DM11" s="304"/>
      <c r="DN11" s="304">
        <v>160</v>
      </c>
      <c r="DO11" s="304"/>
      <c r="DP11" s="304"/>
      <c r="DQ11" s="304">
        <v>529</v>
      </c>
      <c r="DR11" s="304"/>
      <c r="DS11" s="304"/>
      <c r="DT11" s="304">
        <v>759</v>
      </c>
      <c r="DU11" s="304">
        <v>4425.09</v>
      </c>
      <c r="DV11" s="304">
        <v>79.25</v>
      </c>
      <c r="DW11" s="304"/>
      <c r="DX11" s="304">
        <v>152.16</v>
      </c>
      <c r="DY11" s="304">
        <v>762.51</v>
      </c>
      <c r="DZ11" s="304">
        <v>526.9</v>
      </c>
      <c r="EA11" s="304"/>
      <c r="EB11" s="304">
        <v>37332</v>
      </c>
      <c r="EC11" s="304"/>
      <c r="ED11" s="304"/>
      <c r="EE11" s="304">
        <v>223.37999999999997</v>
      </c>
      <c r="EF11" s="426"/>
      <c r="EG11" s="304"/>
      <c r="EH11" s="304">
        <v>2232.7200000000003</v>
      </c>
      <c r="EI11" s="426"/>
      <c r="EJ11" s="304"/>
      <c r="EK11" s="304">
        <v>41.5</v>
      </c>
      <c r="EL11" s="304">
        <v>2644.61</v>
      </c>
      <c r="EM11" s="304"/>
      <c r="EN11" s="304"/>
      <c r="EO11" s="304">
        <v>2982</v>
      </c>
      <c r="EP11" s="304"/>
      <c r="EQ11" s="304"/>
      <c r="ER11" s="304"/>
      <c r="ES11" s="304"/>
      <c r="ET11" s="304"/>
      <c r="EU11" s="304"/>
      <c r="EV11" s="304">
        <v>876.5</v>
      </c>
      <c r="EW11" s="304">
        <v>701.19</v>
      </c>
      <c r="EX11" s="304">
        <v>174.5</v>
      </c>
      <c r="EY11" s="304">
        <v>57.539999999999992</v>
      </c>
      <c r="EZ11" s="304">
        <v>1640.12</v>
      </c>
      <c r="FA11" s="304"/>
      <c r="FB11" s="304"/>
      <c r="FC11" s="304"/>
      <c r="FD11" s="304"/>
      <c r="FE11" s="304"/>
      <c r="FF11" s="304">
        <v>-266601.48</v>
      </c>
      <c r="FG11" s="304"/>
      <c r="FH11" s="304"/>
      <c r="FI11" s="304">
        <v>-552</v>
      </c>
      <c r="FJ11" s="304">
        <v>-16665</v>
      </c>
      <c r="FK11" s="304"/>
      <c r="FL11" s="304"/>
      <c r="FM11" s="304">
        <v>-3256.93</v>
      </c>
      <c r="FN11" s="304"/>
      <c r="FO11" s="304">
        <v>-4202.5</v>
      </c>
      <c r="FP11" s="304">
        <v>-3775</v>
      </c>
      <c r="FQ11" s="304">
        <v>-13507</v>
      </c>
      <c r="FR11" s="304"/>
      <c r="FS11" s="304">
        <v>-52548.79</v>
      </c>
      <c r="FT11" s="304"/>
      <c r="FU11" s="304">
        <v>-9736.14</v>
      </c>
      <c r="FV11" s="304"/>
      <c r="FW11" s="304">
        <v>-48044</v>
      </c>
      <c r="FX11" s="304">
        <v>432.39</v>
      </c>
      <c r="FY11" s="304">
        <v>64.05</v>
      </c>
      <c r="FZ11" s="304">
        <v>-26586.83</v>
      </c>
      <c r="GA11" s="304"/>
      <c r="GB11" s="304">
        <v>-2579</v>
      </c>
      <c r="GC11" s="304"/>
      <c r="GD11" s="304">
        <v>-4895</v>
      </c>
      <c r="GE11" s="304">
        <v>481</v>
      </c>
      <c r="GF11" s="304"/>
      <c r="GG11" s="304"/>
      <c r="GH11" s="304">
        <v>1040.68</v>
      </c>
      <c r="GI11" s="304">
        <v>1869.6599999999996</v>
      </c>
      <c r="GJ11" s="304">
        <v>9262.43</v>
      </c>
      <c r="GK11" s="304">
        <v>9911.26</v>
      </c>
      <c r="GL11" s="304">
        <v>1308</v>
      </c>
      <c r="GM11" s="304">
        <v>1672.8399999999997</v>
      </c>
      <c r="GN11" s="304"/>
      <c r="GO11" s="304">
        <v>6851.0599999999995</v>
      </c>
      <c r="GP11" s="304">
        <v>940.47</v>
      </c>
      <c r="GQ11" s="304">
        <v>790</v>
      </c>
      <c r="GR11" s="304">
        <v>560</v>
      </c>
      <c r="GS11" s="304">
        <v>686.62</v>
      </c>
      <c r="GT11" s="304"/>
      <c r="GU11" s="304"/>
      <c r="GV11" s="304"/>
      <c r="GW11" s="304"/>
      <c r="GX11" s="304"/>
      <c r="GY11" s="304"/>
      <c r="GZ11" s="304"/>
      <c r="HA11" s="304"/>
      <c r="HB11" s="304"/>
      <c r="HC11" s="304"/>
      <c r="HD11" s="304"/>
      <c r="HE11" s="304">
        <v>-744.62</v>
      </c>
      <c r="HF11" s="304">
        <v>66.550000000000011</v>
      </c>
      <c r="HG11" s="304"/>
      <c r="HH11" s="304"/>
      <c r="HI11" s="304"/>
      <c r="HJ11" s="304"/>
      <c r="HK11" s="304"/>
      <c r="HL11" s="304"/>
      <c r="HM11" s="304"/>
      <c r="HN11" s="304">
        <v>-117.39000000000001</v>
      </c>
      <c r="HO11" s="304"/>
      <c r="HP11" s="304">
        <v>-210.5</v>
      </c>
      <c r="HQ11" s="304"/>
      <c r="HR11" s="304">
        <v>-4736.25</v>
      </c>
      <c r="HS11" s="304"/>
      <c r="HT11" s="304"/>
      <c r="HU11" s="304"/>
    </row>
    <row r="12" spans="1:229">
      <c r="A12" s="116">
        <v>107546</v>
      </c>
      <c r="B12" s="304"/>
      <c r="C12" s="304">
        <v>441552.60999999987</v>
      </c>
      <c r="D12" s="304">
        <v>1686.8000000000004</v>
      </c>
      <c r="E12" s="304">
        <v>12643.58</v>
      </c>
      <c r="F12" s="304">
        <v>129991.76000000001</v>
      </c>
      <c r="G12" s="304">
        <v>59932.39</v>
      </c>
      <c r="H12" s="304">
        <v>10369.9</v>
      </c>
      <c r="I12" s="304"/>
      <c r="J12" s="304">
        <v>2974.0899999999997</v>
      </c>
      <c r="K12" s="304">
        <v>1353.83</v>
      </c>
      <c r="L12" s="304"/>
      <c r="M12" s="304"/>
      <c r="N12" s="304"/>
      <c r="O12" s="304"/>
      <c r="P12" s="304"/>
      <c r="Q12" s="304"/>
      <c r="R12" s="304"/>
      <c r="S12" s="304"/>
      <c r="T12" s="304"/>
      <c r="U12" s="304"/>
      <c r="V12" s="304"/>
      <c r="W12" s="304"/>
      <c r="X12" s="304"/>
      <c r="Y12" s="304"/>
      <c r="Z12" s="304"/>
      <c r="AA12" s="304">
        <v>9337.68</v>
      </c>
      <c r="AB12" s="304"/>
      <c r="AC12" s="304">
        <v>144.08000000000001</v>
      </c>
      <c r="AD12" s="304">
        <v>2494.3200000000006</v>
      </c>
      <c r="AE12" s="304">
        <v>1147.3899999999999</v>
      </c>
      <c r="AF12" s="304">
        <v>13984.009999999998</v>
      </c>
      <c r="AG12" s="304">
        <v>226.70999999999998</v>
      </c>
      <c r="AH12" s="304">
        <v>158.29999999999998</v>
      </c>
      <c r="AI12" s="304">
        <v>3772.93</v>
      </c>
      <c r="AJ12" s="304">
        <v>707.33</v>
      </c>
      <c r="AK12" s="304"/>
      <c r="AL12" s="304"/>
      <c r="AM12" s="304"/>
      <c r="AN12" s="304">
        <v>176981.69</v>
      </c>
      <c r="AO12" s="304">
        <v>2792.4500000000003</v>
      </c>
      <c r="AP12" s="304">
        <v>6289.0300000000016</v>
      </c>
      <c r="AQ12" s="304">
        <v>48503.47</v>
      </c>
      <c r="AR12" s="304">
        <v>20330.940000000002</v>
      </c>
      <c r="AS12" s="304"/>
      <c r="AT12" s="304"/>
      <c r="AU12" s="304"/>
      <c r="AV12" s="304"/>
      <c r="AW12" s="304"/>
      <c r="AX12" s="304">
        <v>48672.329999999994</v>
      </c>
      <c r="AY12" s="304">
        <v>197.41</v>
      </c>
      <c r="AZ12" s="304">
        <v>1596.4399999999998</v>
      </c>
      <c r="BA12" s="304">
        <v>4000.0100000000011</v>
      </c>
      <c r="BB12" s="304">
        <v>13254.560000000001</v>
      </c>
      <c r="BC12" s="304">
        <v>5319.02</v>
      </c>
      <c r="BD12" s="304"/>
      <c r="BE12" s="304"/>
      <c r="BF12" s="304"/>
      <c r="BG12" s="304"/>
      <c r="BH12" s="304"/>
      <c r="BI12" s="304">
        <v>28569.510000000006</v>
      </c>
      <c r="BJ12" s="304"/>
      <c r="BK12" s="304">
        <v>881.23</v>
      </c>
      <c r="BL12" s="304">
        <v>7774.9099999999989</v>
      </c>
      <c r="BM12" s="304">
        <v>2916.38</v>
      </c>
      <c r="BN12" s="304">
        <v>30444.530000000002</v>
      </c>
      <c r="BO12" s="304">
        <v>837.07</v>
      </c>
      <c r="BP12" s="304">
        <v>5108.92</v>
      </c>
      <c r="BQ12" s="304">
        <v>6778.6399999999994</v>
      </c>
      <c r="BR12" s="304">
        <v>2696.2100000000005</v>
      </c>
      <c r="BS12" s="304"/>
      <c r="BT12" s="304"/>
      <c r="BU12" s="304"/>
      <c r="BV12" s="304"/>
      <c r="BW12" s="304"/>
      <c r="BX12" s="304"/>
      <c r="BY12" s="304"/>
      <c r="BZ12" s="304"/>
      <c r="CA12" s="304"/>
      <c r="CB12" s="304">
        <v>120</v>
      </c>
      <c r="CC12" s="304"/>
      <c r="CD12" s="304"/>
      <c r="CE12" s="304">
        <v>3093.17</v>
      </c>
      <c r="CF12" s="304">
        <v>5351.84</v>
      </c>
      <c r="CG12" s="304"/>
      <c r="CH12" s="304"/>
      <c r="CI12" s="304"/>
      <c r="CJ12" s="304"/>
      <c r="CK12" s="304">
        <v>14117.480000000003</v>
      </c>
      <c r="CL12" s="304"/>
      <c r="CM12" s="304">
        <v>-232.43</v>
      </c>
      <c r="CN12" s="304"/>
      <c r="CO12" s="304"/>
      <c r="CP12" s="304"/>
      <c r="CQ12" s="304"/>
      <c r="CR12" s="304"/>
      <c r="CS12" s="304">
        <v>11876.63</v>
      </c>
      <c r="CT12" s="304"/>
      <c r="CU12" s="304">
        <v>6788.45</v>
      </c>
      <c r="CV12" s="304"/>
      <c r="CW12" s="304">
        <v>679.41000000000008</v>
      </c>
      <c r="CX12" s="304"/>
      <c r="CY12" s="304">
        <v>3642.7</v>
      </c>
      <c r="CZ12" s="304">
        <v>9302.7200000000012</v>
      </c>
      <c r="DA12" s="304"/>
      <c r="DB12" s="304">
        <v>3562.46</v>
      </c>
      <c r="DC12" s="304"/>
      <c r="DD12" s="304"/>
      <c r="DE12" s="304"/>
      <c r="DF12" s="304"/>
      <c r="DG12" s="304"/>
      <c r="DH12" s="304"/>
      <c r="DI12" s="304"/>
      <c r="DJ12" s="304"/>
      <c r="DK12" s="304"/>
      <c r="DL12" s="304">
        <v>76.799999999999983</v>
      </c>
      <c r="DM12" s="304"/>
      <c r="DN12" s="304">
        <v>241.46</v>
      </c>
      <c r="DO12" s="304"/>
      <c r="DP12" s="304"/>
      <c r="DQ12" s="304"/>
      <c r="DR12" s="304"/>
      <c r="DS12" s="304">
        <v>4364.71</v>
      </c>
      <c r="DT12" s="304"/>
      <c r="DU12" s="304">
        <v>36494.87000000001</v>
      </c>
      <c r="DV12" s="304">
        <v>80.790000000000006</v>
      </c>
      <c r="DW12" s="304">
        <v>45.6</v>
      </c>
      <c r="DX12" s="304">
        <v>14.22</v>
      </c>
      <c r="DY12" s="304">
        <v>15609.97</v>
      </c>
      <c r="DZ12" s="304"/>
      <c r="EA12" s="304"/>
      <c r="EB12" s="304">
        <v>17531.5</v>
      </c>
      <c r="EC12" s="304"/>
      <c r="ED12" s="304"/>
      <c r="EE12" s="304">
        <v>1051.8999999999999</v>
      </c>
      <c r="EF12" s="426"/>
      <c r="EG12" s="304"/>
      <c r="EH12" s="304">
        <v>3892</v>
      </c>
      <c r="EI12" s="426"/>
      <c r="EJ12" s="304"/>
      <c r="EK12" s="304"/>
      <c r="EL12" s="304">
        <v>1796.79</v>
      </c>
      <c r="EM12" s="304">
        <v>1072</v>
      </c>
      <c r="EN12" s="304">
        <v>280.78999999999996</v>
      </c>
      <c r="EO12" s="304">
        <v>4320</v>
      </c>
      <c r="EP12" s="304"/>
      <c r="EQ12" s="304"/>
      <c r="ER12" s="304"/>
      <c r="ES12" s="304"/>
      <c r="ET12" s="304"/>
      <c r="EU12" s="304"/>
      <c r="EV12" s="304"/>
      <c r="EW12" s="304">
        <v>6744.78</v>
      </c>
      <c r="EX12" s="304">
        <v>800</v>
      </c>
      <c r="EY12" s="304">
        <v>37269.12000000001</v>
      </c>
      <c r="EZ12" s="304">
        <v>25745.010000000002</v>
      </c>
      <c r="FA12" s="304"/>
      <c r="FB12" s="304"/>
      <c r="FC12" s="304"/>
      <c r="FD12" s="304"/>
      <c r="FE12" s="304"/>
      <c r="FF12" s="304">
        <v>-1104061.3500000001</v>
      </c>
      <c r="FG12" s="304"/>
      <c r="FH12" s="304"/>
      <c r="FI12" s="304">
        <v>-1250</v>
      </c>
      <c r="FJ12" s="304">
        <v>-53725</v>
      </c>
      <c r="FK12" s="304"/>
      <c r="FL12" s="304"/>
      <c r="FM12" s="304">
        <v>-285.64</v>
      </c>
      <c r="FN12" s="304"/>
      <c r="FO12" s="304">
        <v>-6205</v>
      </c>
      <c r="FP12" s="304">
        <v>-37133</v>
      </c>
      <c r="FQ12" s="304">
        <v>-16239</v>
      </c>
      <c r="FR12" s="304"/>
      <c r="FS12" s="304">
        <v>-45168.87</v>
      </c>
      <c r="FT12" s="304"/>
      <c r="FU12" s="304">
        <v>4952.75</v>
      </c>
      <c r="FV12" s="304">
        <v>93590.21</v>
      </c>
      <c r="FW12" s="304">
        <v>-40644</v>
      </c>
      <c r="FX12" s="304">
        <v>4159.18</v>
      </c>
      <c r="FY12" s="304">
        <v>616.1</v>
      </c>
      <c r="FZ12" s="304">
        <v>-21330</v>
      </c>
      <c r="GA12" s="304"/>
      <c r="GB12" s="304">
        <v>-10165</v>
      </c>
      <c r="GC12" s="304"/>
      <c r="GD12" s="304">
        <v>-20917</v>
      </c>
      <c r="GE12" s="304">
        <v>855</v>
      </c>
      <c r="GF12" s="304"/>
      <c r="GG12" s="304"/>
      <c r="GH12" s="304">
        <v>1587.88</v>
      </c>
      <c r="GI12" s="304"/>
      <c r="GJ12" s="304"/>
      <c r="GK12" s="304"/>
      <c r="GL12" s="304">
        <v>981</v>
      </c>
      <c r="GM12" s="304">
        <v>7828.180000000003</v>
      </c>
      <c r="GN12" s="304">
        <v>2393.2800000000002</v>
      </c>
      <c r="GO12" s="304">
        <v>4518.6000000000004</v>
      </c>
      <c r="GP12" s="304">
        <v>3088.21</v>
      </c>
      <c r="GQ12" s="304">
        <v>2121</v>
      </c>
      <c r="GR12" s="304">
        <v>945</v>
      </c>
      <c r="GS12" s="304">
        <v>1106.6199999999999</v>
      </c>
      <c r="GT12" s="304">
        <v>1592.6499999999999</v>
      </c>
      <c r="GU12" s="304"/>
      <c r="GV12" s="304"/>
      <c r="GW12" s="304"/>
      <c r="GX12" s="304"/>
      <c r="GY12" s="304"/>
      <c r="GZ12" s="304"/>
      <c r="HA12" s="304">
        <v>-600</v>
      </c>
      <c r="HB12" s="304"/>
      <c r="HC12" s="304"/>
      <c r="HD12" s="304"/>
      <c r="HE12" s="304">
        <v>-2795.1600000000003</v>
      </c>
      <c r="HF12" s="304">
        <v>-18560.119999999992</v>
      </c>
      <c r="HG12" s="304"/>
      <c r="HH12" s="304">
        <v>-1892.68</v>
      </c>
      <c r="HI12" s="304"/>
      <c r="HJ12" s="304"/>
      <c r="HK12" s="304">
        <v>-21059.17</v>
      </c>
      <c r="HL12" s="304"/>
      <c r="HM12" s="304">
        <v>-3375</v>
      </c>
      <c r="HN12" s="304">
        <v>-26345.510000000002</v>
      </c>
      <c r="HO12" s="304">
        <v>0</v>
      </c>
      <c r="HP12" s="304">
        <v>-3528.15</v>
      </c>
      <c r="HQ12" s="304"/>
      <c r="HR12" s="304"/>
      <c r="HS12" s="304"/>
      <c r="HT12" s="304"/>
      <c r="HU12" s="304"/>
    </row>
    <row r="13" spans="1:229">
      <c r="A13" s="116">
        <v>107547</v>
      </c>
      <c r="B13" s="304"/>
      <c r="C13" s="304">
        <v>910245.31</v>
      </c>
      <c r="D13" s="304">
        <v>28355.66</v>
      </c>
      <c r="E13" s="304">
        <v>49258.87000000001</v>
      </c>
      <c r="F13" s="304">
        <v>269388.27999999997</v>
      </c>
      <c r="G13" s="304">
        <v>124158.65999999999</v>
      </c>
      <c r="H13" s="304">
        <v>16395.599999999999</v>
      </c>
      <c r="I13" s="304">
        <v>24.1</v>
      </c>
      <c r="J13" s="304">
        <v>4702.26</v>
      </c>
      <c r="K13" s="304">
        <v>1743.67</v>
      </c>
      <c r="L13" s="304"/>
      <c r="M13" s="304"/>
      <c r="N13" s="304"/>
      <c r="O13" s="304"/>
      <c r="P13" s="304"/>
      <c r="Q13" s="304"/>
      <c r="R13" s="304"/>
      <c r="S13" s="304"/>
      <c r="T13" s="304"/>
      <c r="U13" s="304"/>
      <c r="V13" s="304"/>
      <c r="W13" s="304"/>
      <c r="X13" s="304"/>
      <c r="Y13" s="304"/>
      <c r="Z13" s="304"/>
      <c r="AA13" s="304">
        <v>91169.489999999991</v>
      </c>
      <c r="AB13" s="304">
        <v>1200.9400000000003</v>
      </c>
      <c r="AC13" s="304">
        <v>5849.8099999999995</v>
      </c>
      <c r="AD13" s="304">
        <v>21463.079999999998</v>
      </c>
      <c r="AE13" s="304">
        <v>8375.7400000000016</v>
      </c>
      <c r="AF13" s="304">
        <v>36012.770000000004</v>
      </c>
      <c r="AG13" s="304">
        <v>570.41</v>
      </c>
      <c r="AH13" s="304">
        <v>187.32</v>
      </c>
      <c r="AI13" s="304">
        <v>9706.7199999999993</v>
      </c>
      <c r="AJ13" s="304">
        <v>3416.9700000000003</v>
      </c>
      <c r="AK13" s="304"/>
      <c r="AL13" s="304"/>
      <c r="AM13" s="304"/>
      <c r="AN13" s="304">
        <v>272533.64999999997</v>
      </c>
      <c r="AO13" s="304">
        <v>2179.7999999999997</v>
      </c>
      <c r="AP13" s="304">
        <v>7249.73</v>
      </c>
      <c r="AQ13" s="304">
        <v>73019.850000000006</v>
      </c>
      <c r="AR13" s="304">
        <v>28301.009999999995</v>
      </c>
      <c r="AS13" s="304">
        <v>96858.290000000008</v>
      </c>
      <c r="AT13" s="304">
        <v>1846.27</v>
      </c>
      <c r="AU13" s="304">
        <v>1819.6200000000003</v>
      </c>
      <c r="AV13" s="304">
        <v>21735.56</v>
      </c>
      <c r="AW13" s="304">
        <v>7388.57</v>
      </c>
      <c r="AX13" s="304">
        <v>96578.99</v>
      </c>
      <c r="AY13" s="304">
        <v>601.4</v>
      </c>
      <c r="AZ13" s="304">
        <v>412.65</v>
      </c>
      <c r="BA13" s="304"/>
      <c r="BB13" s="304">
        <v>29486.329999999998</v>
      </c>
      <c r="BC13" s="304">
        <v>13167.75</v>
      </c>
      <c r="BD13" s="304"/>
      <c r="BE13" s="304"/>
      <c r="BF13" s="304"/>
      <c r="BG13" s="304"/>
      <c r="BH13" s="304"/>
      <c r="BI13" s="304"/>
      <c r="BJ13" s="304"/>
      <c r="BK13" s="304"/>
      <c r="BL13" s="304"/>
      <c r="BM13" s="304"/>
      <c r="BN13" s="304">
        <v>14649.949999999997</v>
      </c>
      <c r="BO13" s="304">
        <v>325.95000000000005</v>
      </c>
      <c r="BP13" s="304">
        <v>35.44</v>
      </c>
      <c r="BQ13" s="304">
        <v>3962.9299999999994</v>
      </c>
      <c r="BR13" s="304">
        <v>1676.71</v>
      </c>
      <c r="BS13" s="304"/>
      <c r="BT13" s="304"/>
      <c r="BU13" s="304"/>
      <c r="BV13" s="304"/>
      <c r="BW13" s="304"/>
      <c r="BX13" s="304"/>
      <c r="BY13" s="304"/>
      <c r="BZ13" s="304"/>
      <c r="CA13" s="304"/>
      <c r="CB13" s="304">
        <v>1250</v>
      </c>
      <c r="CC13" s="304"/>
      <c r="CD13" s="304"/>
      <c r="CE13" s="304">
        <v>6937.1</v>
      </c>
      <c r="CF13" s="304"/>
      <c r="CG13" s="304">
        <v>-1037.4199999999998</v>
      </c>
      <c r="CH13" s="304"/>
      <c r="CI13" s="304">
        <v>26543.279999999999</v>
      </c>
      <c r="CJ13" s="304"/>
      <c r="CK13" s="304">
        <v>45567.069999999992</v>
      </c>
      <c r="CL13" s="304">
        <v>6329.17</v>
      </c>
      <c r="CM13" s="304"/>
      <c r="CN13" s="304"/>
      <c r="CO13" s="304"/>
      <c r="CP13" s="304"/>
      <c r="CQ13" s="304"/>
      <c r="CR13" s="304">
        <v>2040.87</v>
      </c>
      <c r="CS13" s="304">
        <v>18568.64</v>
      </c>
      <c r="CT13" s="304">
        <v>9875.4699999999993</v>
      </c>
      <c r="CU13" s="304"/>
      <c r="CV13" s="304"/>
      <c r="CW13" s="304"/>
      <c r="CX13" s="304"/>
      <c r="CY13" s="304">
        <v>32756</v>
      </c>
      <c r="CZ13" s="304">
        <v>8426.83</v>
      </c>
      <c r="DA13" s="304">
        <v>1990.66</v>
      </c>
      <c r="DB13" s="304">
        <v>5679.3300000000008</v>
      </c>
      <c r="DC13" s="304">
        <v>8039.7300000000023</v>
      </c>
      <c r="DD13" s="304"/>
      <c r="DE13" s="304"/>
      <c r="DF13" s="304"/>
      <c r="DG13" s="304"/>
      <c r="DH13" s="304"/>
      <c r="DI13" s="304"/>
      <c r="DJ13" s="304"/>
      <c r="DK13" s="304"/>
      <c r="DL13" s="304">
        <v>18</v>
      </c>
      <c r="DM13" s="304"/>
      <c r="DN13" s="304">
        <v>1408.61</v>
      </c>
      <c r="DO13" s="304"/>
      <c r="DP13" s="304"/>
      <c r="DQ13" s="304"/>
      <c r="DR13" s="304"/>
      <c r="DS13" s="304"/>
      <c r="DT13" s="304">
        <v>7841</v>
      </c>
      <c r="DU13" s="304">
        <v>102998.99000000002</v>
      </c>
      <c r="DV13" s="304">
        <v>786.2600000000001</v>
      </c>
      <c r="DW13" s="304"/>
      <c r="DX13" s="304">
        <v>6705.4299999999994</v>
      </c>
      <c r="DY13" s="304"/>
      <c r="DZ13" s="304"/>
      <c r="EA13" s="304"/>
      <c r="EB13" s="304">
        <v>26302.639999999999</v>
      </c>
      <c r="EC13" s="304"/>
      <c r="ED13" s="304">
        <v>364.4</v>
      </c>
      <c r="EE13" s="304">
        <v>2228.4699999999998</v>
      </c>
      <c r="EF13" s="426"/>
      <c r="EG13" s="304"/>
      <c r="EH13" s="304"/>
      <c r="EI13" s="426"/>
      <c r="EJ13" s="304"/>
      <c r="EK13" s="304"/>
      <c r="EL13" s="304"/>
      <c r="EM13" s="304">
        <v>3252</v>
      </c>
      <c r="EN13" s="304"/>
      <c r="EO13" s="304">
        <v>12289.96</v>
      </c>
      <c r="EP13" s="304"/>
      <c r="EQ13" s="304"/>
      <c r="ER13" s="304"/>
      <c r="ES13" s="304"/>
      <c r="ET13" s="304"/>
      <c r="EU13" s="304"/>
      <c r="EV13" s="304"/>
      <c r="EW13" s="304">
        <v>13990.41</v>
      </c>
      <c r="EX13" s="304">
        <v>1394</v>
      </c>
      <c r="EY13" s="304">
        <v>4805.619999999999</v>
      </c>
      <c r="EZ13" s="304">
        <v>54352.36</v>
      </c>
      <c r="FA13" s="304"/>
      <c r="FB13" s="304">
        <v>27760.160000000011</v>
      </c>
      <c r="FC13" s="304"/>
      <c r="FD13" s="304"/>
      <c r="FE13" s="304"/>
      <c r="FF13" s="304">
        <v>-2108901</v>
      </c>
      <c r="FG13" s="304"/>
      <c r="FH13" s="304"/>
      <c r="FI13" s="304">
        <v>-1200</v>
      </c>
      <c r="FJ13" s="304">
        <v>-118750</v>
      </c>
      <c r="FK13" s="304"/>
      <c r="FL13" s="304"/>
      <c r="FM13" s="304">
        <v>-876</v>
      </c>
      <c r="FN13" s="304">
        <v>-145675.12</v>
      </c>
      <c r="FO13" s="304">
        <v>-8680</v>
      </c>
      <c r="FP13" s="304">
        <v>-69918</v>
      </c>
      <c r="FQ13" s="304">
        <v>-17949</v>
      </c>
      <c r="FR13" s="304"/>
      <c r="FS13" s="304">
        <v>-419298.8</v>
      </c>
      <c r="FT13" s="304"/>
      <c r="FU13" s="304"/>
      <c r="FV13" s="304">
        <v>-42223.9</v>
      </c>
      <c r="FW13" s="304">
        <v>-157347</v>
      </c>
      <c r="FX13" s="304">
        <v>8627.2099999999991</v>
      </c>
      <c r="FY13" s="304">
        <v>1277.95</v>
      </c>
      <c r="FZ13" s="304">
        <v>-14033.84</v>
      </c>
      <c r="GA13" s="304"/>
      <c r="GB13" s="304">
        <v>-19408</v>
      </c>
      <c r="GC13" s="304"/>
      <c r="GD13" s="304">
        <v>-40445</v>
      </c>
      <c r="GE13" s="304">
        <v>1215.25</v>
      </c>
      <c r="GF13" s="304"/>
      <c r="GG13" s="304"/>
      <c r="GH13" s="304">
        <v>2247.56</v>
      </c>
      <c r="GI13" s="304">
        <v>7358.5000000000009</v>
      </c>
      <c r="GJ13" s="304">
        <v>42142.899999999994</v>
      </c>
      <c r="GK13" s="304">
        <v>108193.08</v>
      </c>
      <c r="GL13" s="304">
        <v>60</v>
      </c>
      <c r="GM13" s="304">
        <v>11474.590000000002</v>
      </c>
      <c r="GN13" s="304">
        <v>261</v>
      </c>
      <c r="GO13" s="304">
        <v>2758.38</v>
      </c>
      <c r="GP13" s="304">
        <v>6103.05</v>
      </c>
      <c r="GQ13" s="304">
        <v>3780</v>
      </c>
      <c r="GR13" s="304">
        <v>975</v>
      </c>
      <c r="GS13" s="304">
        <v>1607.89</v>
      </c>
      <c r="GT13" s="304"/>
      <c r="GU13" s="304"/>
      <c r="GV13" s="304"/>
      <c r="GW13" s="304"/>
      <c r="GX13" s="304"/>
      <c r="GY13" s="304"/>
      <c r="GZ13" s="304"/>
      <c r="HA13" s="304"/>
      <c r="HB13" s="304"/>
      <c r="HC13" s="304"/>
      <c r="HD13" s="304"/>
      <c r="HE13" s="304">
        <v>-1255.4099999999999</v>
      </c>
      <c r="HF13" s="304">
        <v>-37453.82999999998</v>
      </c>
      <c r="HG13" s="304"/>
      <c r="HH13" s="304">
        <v>-3769.75</v>
      </c>
      <c r="HI13" s="304">
        <v>0</v>
      </c>
      <c r="HJ13" s="304"/>
      <c r="HK13" s="304">
        <v>-5142.25</v>
      </c>
      <c r="HL13" s="304">
        <v>-7080</v>
      </c>
      <c r="HM13" s="304"/>
      <c r="HN13" s="304">
        <v>-200491.59999999995</v>
      </c>
      <c r="HO13" s="304"/>
      <c r="HP13" s="304">
        <v>-25178</v>
      </c>
      <c r="HQ13" s="304">
        <v>-9983.1799999999985</v>
      </c>
      <c r="HR13" s="304">
        <v>-20907.849999999999</v>
      </c>
      <c r="HS13" s="304"/>
      <c r="HT13" s="304"/>
      <c r="HU13" s="304"/>
    </row>
    <row r="14" spans="1:229">
      <c r="A14" s="116">
        <v>107551</v>
      </c>
      <c r="B14" s="304"/>
      <c r="C14" s="304">
        <v>242108.86000000002</v>
      </c>
      <c r="D14" s="304">
        <v>493.06</v>
      </c>
      <c r="E14" s="304"/>
      <c r="F14" s="304">
        <v>70235</v>
      </c>
      <c r="G14" s="304">
        <v>31770.669999999995</v>
      </c>
      <c r="H14" s="304">
        <v>2287.12</v>
      </c>
      <c r="I14" s="304"/>
      <c r="J14" s="304">
        <v>655.95</v>
      </c>
      <c r="K14" s="304">
        <v>291.39</v>
      </c>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c r="AM14" s="304"/>
      <c r="AN14" s="304">
        <v>83504.929999999993</v>
      </c>
      <c r="AO14" s="304">
        <v>378.67999999999995</v>
      </c>
      <c r="AP14" s="304">
        <v>1263.9000000000003</v>
      </c>
      <c r="AQ14" s="304">
        <v>19367.46</v>
      </c>
      <c r="AR14" s="304">
        <v>9454.7999999999993</v>
      </c>
      <c r="AS14" s="304"/>
      <c r="AT14" s="304"/>
      <c r="AU14" s="304"/>
      <c r="AV14" s="304"/>
      <c r="AW14" s="304"/>
      <c r="AX14" s="304">
        <v>40722.600000000006</v>
      </c>
      <c r="AY14" s="304"/>
      <c r="AZ14" s="304">
        <v>326.87</v>
      </c>
      <c r="BA14" s="304"/>
      <c r="BB14" s="304">
        <v>10836.910000000002</v>
      </c>
      <c r="BC14" s="304">
        <v>3838.1899999999991</v>
      </c>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v>5383.5</v>
      </c>
      <c r="CF14" s="304">
        <v>1379.5</v>
      </c>
      <c r="CG14" s="304"/>
      <c r="CH14" s="304">
        <v>0</v>
      </c>
      <c r="CI14" s="304"/>
      <c r="CJ14" s="304"/>
      <c r="CK14" s="304">
        <v>9306.7699999999986</v>
      </c>
      <c r="CL14" s="304">
        <v>6297.670000000001</v>
      </c>
      <c r="CM14" s="304">
        <v>1480</v>
      </c>
      <c r="CN14" s="304"/>
      <c r="CO14" s="304">
        <v>3579.96</v>
      </c>
      <c r="CP14" s="304">
        <v>54.72</v>
      </c>
      <c r="CQ14" s="304"/>
      <c r="CR14" s="304"/>
      <c r="CS14" s="304">
        <v>10959.44</v>
      </c>
      <c r="CT14" s="304"/>
      <c r="CU14" s="304"/>
      <c r="CV14" s="304"/>
      <c r="CW14" s="304">
        <v>436.15</v>
      </c>
      <c r="CX14" s="304">
        <v>9116.84</v>
      </c>
      <c r="CY14" s="304">
        <v>4690.6000000000004</v>
      </c>
      <c r="CZ14" s="304">
        <v>4862.9000000000005</v>
      </c>
      <c r="DA14" s="304">
        <v>1917.31</v>
      </c>
      <c r="DB14" s="304">
        <v>1147.92</v>
      </c>
      <c r="DC14" s="304"/>
      <c r="DD14" s="304"/>
      <c r="DE14" s="304"/>
      <c r="DF14" s="304"/>
      <c r="DG14" s="304"/>
      <c r="DH14" s="304"/>
      <c r="DI14" s="304"/>
      <c r="DJ14" s="304"/>
      <c r="DK14" s="304"/>
      <c r="DL14" s="304">
        <v>94.589999999999989</v>
      </c>
      <c r="DM14" s="304"/>
      <c r="DN14" s="304"/>
      <c r="DO14" s="304"/>
      <c r="DP14" s="304"/>
      <c r="DQ14" s="304"/>
      <c r="DR14" s="304"/>
      <c r="DS14" s="304">
        <v>1924.7500000000002</v>
      </c>
      <c r="DT14" s="304">
        <v>1866</v>
      </c>
      <c r="DU14" s="304">
        <v>10742.359999999997</v>
      </c>
      <c r="DV14" s="304">
        <v>83.43</v>
      </c>
      <c r="DW14" s="304"/>
      <c r="DX14" s="304">
        <v>1862.2599999999998</v>
      </c>
      <c r="DY14" s="304">
        <v>2116.14</v>
      </c>
      <c r="DZ14" s="304">
        <v>1198</v>
      </c>
      <c r="EA14" s="304">
        <v>0</v>
      </c>
      <c r="EB14" s="304">
        <v>19515.46</v>
      </c>
      <c r="EC14" s="304"/>
      <c r="ED14" s="304">
        <v>20.88</v>
      </c>
      <c r="EE14" s="304">
        <v>1460.43</v>
      </c>
      <c r="EF14" s="426"/>
      <c r="EG14" s="304"/>
      <c r="EH14" s="304">
        <v>2332.3000000000002</v>
      </c>
      <c r="EI14" s="426"/>
      <c r="EJ14" s="304"/>
      <c r="EK14" s="304">
        <v>64.100000000000023</v>
      </c>
      <c r="EL14" s="304">
        <v>1328.99</v>
      </c>
      <c r="EM14" s="304">
        <v>124.42999999999999</v>
      </c>
      <c r="EN14" s="304">
        <v>83.66</v>
      </c>
      <c r="EO14" s="304"/>
      <c r="EP14" s="304"/>
      <c r="EQ14" s="304">
        <v>277.97000000000003</v>
      </c>
      <c r="ER14" s="304"/>
      <c r="ES14" s="304"/>
      <c r="ET14" s="304"/>
      <c r="EU14" s="304"/>
      <c r="EV14" s="304"/>
      <c r="EW14" s="304">
        <v>3405.78</v>
      </c>
      <c r="EX14" s="304">
        <v>3868.89</v>
      </c>
      <c r="EY14" s="304">
        <v>372.58000000000015</v>
      </c>
      <c r="EZ14" s="304">
        <v>15084.75</v>
      </c>
      <c r="FA14" s="304"/>
      <c r="FB14" s="304"/>
      <c r="FC14" s="304"/>
      <c r="FD14" s="304"/>
      <c r="FE14" s="304"/>
      <c r="FF14" s="304">
        <v>-630884.19999999995</v>
      </c>
      <c r="FG14" s="304"/>
      <c r="FH14" s="304"/>
      <c r="FI14" s="304"/>
      <c r="FJ14" s="304">
        <v>-12020</v>
      </c>
      <c r="FK14" s="304"/>
      <c r="FL14" s="304"/>
      <c r="FM14" s="304"/>
      <c r="FN14" s="304"/>
      <c r="FO14" s="304">
        <v>-5125</v>
      </c>
      <c r="FP14" s="304">
        <v>-17950</v>
      </c>
      <c r="FQ14" s="304">
        <v>-15451</v>
      </c>
      <c r="FR14" s="304"/>
      <c r="FS14" s="304">
        <v>-119425.08</v>
      </c>
      <c r="FT14" s="304"/>
      <c r="FU14" s="304">
        <v>-1786.5</v>
      </c>
      <c r="FV14" s="304"/>
      <c r="FW14" s="304"/>
      <c r="FX14" s="304">
        <v>2100.1799999999998</v>
      </c>
      <c r="FY14" s="304">
        <v>311.10000000000002</v>
      </c>
      <c r="FZ14" s="304">
        <v>-2681.35</v>
      </c>
      <c r="GA14" s="304"/>
      <c r="GB14" s="304">
        <v>-5349</v>
      </c>
      <c r="GC14" s="304"/>
      <c r="GD14" s="304">
        <v>-10726</v>
      </c>
      <c r="GE14" s="304">
        <v>512.25</v>
      </c>
      <c r="GF14" s="304"/>
      <c r="GG14" s="304"/>
      <c r="GH14" s="304">
        <v>1286.92</v>
      </c>
      <c r="GI14" s="304"/>
      <c r="GJ14" s="304">
        <v>9182.5999999999985</v>
      </c>
      <c r="GK14" s="304">
        <v>20993.68</v>
      </c>
      <c r="GL14" s="304">
        <v>311</v>
      </c>
      <c r="GM14" s="304">
        <v>5340.5400000000009</v>
      </c>
      <c r="GN14" s="304">
        <v>261</v>
      </c>
      <c r="GO14" s="304">
        <v>3444.6</v>
      </c>
      <c r="GP14" s="304">
        <v>1554.1100000000001</v>
      </c>
      <c r="GQ14" s="304">
        <v>3571</v>
      </c>
      <c r="GR14" s="304">
        <v>925</v>
      </c>
      <c r="GS14" s="304">
        <v>1742.06</v>
      </c>
      <c r="GT14" s="304">
        <v>1054.6500000000001</v>
      </c>
      <c r="GU14" s="304"/>
      <c r="GV14" s="304"/>
      <c r="GW14" s="304"/>
      <c r="GX14" s="304"/>
      <c r="GY14" s="304"/>
      <c r="GZ14" s="304"/>
      <c r="HA14" s="304"/>
      <c r="HB14" s="304"/>
      <c r="HC14" s="304"/>
      <c r="HD14" s="304"/>
      <c r="HE14" s="304">
        <v>-5007.2000000000007</v>
      </c>
      <c r="HF14" s="304">
        <v>-11833.34</v>
      </c>
      <c r="HG14" s="304"/>
      <c r="HH14" s="304">
        <v>-1296.6099999999999</v>
      </c>
      <c r="HI14" s="304"/>
      <c r="HJ14" s="304"/>
      <c r="HK14" s="304"/>
      <c r="HL14" s="304"/>
      <c r="HM14" s="304">
        <v>-3306.6</v>
      </c>
      <c r="HN14" s="304"/>
      <c r="HO14" s="304"/>
      <c r="HP14" s="304">
        <v>-6370</v>
      </c>
      <c r="HQ14" s="304"/>
      <c r="HR14" s="304">
        <v>-5341.87</v>
      </c>
      <c r="HS14" s="304"/>
      <c r="HT14" s="304"/>
      <c r="HU14" s="304"/>
    </row>
    <row r="15" spans="1:229" s="435" customFormat="1">
      <c r="A15" s="425">
        <v>107553</v>
      </c>
      <c r="B15" s="426"/>
      <c r="C15" s="426">
        <v>199624.92000000004</v>
      </c>
      <c r="D15" s="426">
        <v>1355.8600000000001</v>
      </c>
      <c r="E15" s="426">
        <v>10123.34</v>
      </c>
      <c r="F15" s="426">
        <v>50185.079999999994</v>
      </c>
      <c r="G15" s="426">
        <v>22870.300000000003</v>
      </c>
      <c r="H15" s="426">
        <v>6582.29</v>
      </c>
      <c r="I15" s="426"/>
      <c r="J15" s="426">
        <v>1836.19</v>
      </c>
      <c r="K15" s="426">
        <v>677</v>
      </c>
      <c r="L15" s="426"/>
      <c r="M15" s="426"/>
      <c r="N15" s="426"/>
      <c r="O15" s="426"/>
      <c r="P15" s="426"/>
      <c r="Q15" s="426"/>
      <c r="R15" s="426"/>
      <c r="S15" s="426"/>
      <c r="T15" s="426"/>
      <c r="U15" s="426"/>
      <c r="V15" s="426"/>
      <c r="W15" s="426"/>
      <c r="X15" s="426"/>
      <c r="Y15" s="426"/>
      <c r="Z15" s="426"/>
      <c r="AA15" s="426">
        <v>18378.2</v>
      </c>
      <c r="AB15" s="426">
        <v>40.17</v>
      </c>
      <c r="AC15" s="426">
        <v>1070.5</v>
      </c>
      <c r="AD15" s="426">
        <v>3886.2599999999998</v>
      </c>
      <c r="AE15" s="426">
        <v>1355.01</v>
      </c>
      <c r="AF15" s="426">
        <v>10432.879999999999</v>
      </c>
      <c r="AG15" s="426">
        <v>106.30999999999999</v>
      </c>
      <c r="AH15" s="426"/>
      <c r="AI15" s="426">
        <v>2775.5500000000006</v>
      </c>
      <c r="AJ15" s="426">
        <v>871.52</v>
      </c>
      <c r="AK15" s="426"/>
      <c r="AL15" s="426"/>
      <c r="AM15" s="426"/>
      <c r="AN15" s="426">
        <v>67607.77</v>
      </c>
      <c r="AO15" s="426">
        <v>1084.8900000000001</v>
      </c>
      <c r="AP15" s="426">
        <v>1195.6499999999999</v>
      </c>
      <c r="AQ15" s="426">
        <v>18281.7</v>
      </c>
      <c r="AR15" s="426">
        <v>7086.48</v>
      </c>
      <c r="AS15" s="426">
        <v>28859.609999999993</v>
      </c>
      <c r="AT15" s="426">
        <v>19.78</v>
      </c>
      <c r="AU15" s="426">
        <v>758.84999999999991</v>
      </c>
      <c r="AV15" s="426">
        <v>6849.1299999999992</v>
      </c>
      <c r="AW15" s="426">
        <v>3023.2099999999996</v>
      </c>
      <c r="AX15" s="426">
        <v>28011.830000000005</v>
      </c>
      <c r="AY15" s="426">
        <v>3840.84</v>
      </c>
      <c r="AZ15" s="426">
        <v>480.19000000000005</v>
      </c>
      <c r="BA15" s="426"/>
      <c r="BB15" s="426">
        <v>6693.1700000000019</v>
      </c>
      <c r="BC15" s="426">
        <v>2949.1800000000003</v>
      </c>
      <c r="BD15" s="426"/>
      <c r="BE15" s="426"/>
      <c r="BF15" s="426"/>
      <c r="BG15" s="426"/>
      <c r="BH15" s="426"/>
      <c r="BI15" s="426"/>
      <c r="BJ15" s="426"/>
      <c r="BK15" s="426"/>
      <c r="BL15" s="426"/>
      <c r="BM15" s="426"/>
      <c r="BN15" s="426">
        <v>105.79</v>
      </c>
      <c r="BO15" s="426"/>
      <c r="BP15" s="426"/>
      <c r="BQ15" s="426"/>
      <c r="BR15" s="426"/>
      <c r="BS15" s="426"/>
      <c r="BT15" s="426"/>
      <c r="BU15" s="426"/>
      <c r="BV15" s="426"/>
      <c r="BW15" s="426"/>
      <c r="BX15" s="426"/>
      <c r="BY15" s="426"/>
      <c r="BZ15" s="426"/>
      <c r="CA15" s="426"/>
      <c r="CB15" s="426"/>
      <c r="CC15" s="426"/>
      <c r="CD15" s="426"/>
      <c r="CE15" s="426">
        <v>1392.75</v>
      </c>
      <c r="CF15" s="426">
        <v>672.69</v>
      </c>
      <c r="CG15" s="426"/>
      <c r="CH15" s="426"/>
      <c r="CI15" s="426">
        <v>1988.6100000000001</v>
      </c>
      <c r="CJ15" s="426"/>
      <c r="CK15" s="426">
        <v>11348.46</v>
      </c>
      <c r="CL15" s="426">
        <v>1416.3</v>
      </c>
      <c r="CM15" s="426"/>
      <c r="CN15" s="426"/>
      <c r="CO15" s="426"/>
      <c r="CP15" s="426"/>
      <c r="CQ15" s="426"/>
      <c r="CR15" s="426">
        <v>2179</v>
      </c>
      <c r="CS15" s="426">
        <v>6464.37</v>
      </c>
      <c r="CT15" s="426"/>
      <c r="CU15" s="426">
        <v>3232.6099999999997</v>
      </c>
      <c r="CV15" s="426"/>
      <c r="CW15" s="426"/>
      <c r="CX15" s="426">
        <v>85.5</v>
      </c>
      <c r="CY15" s="426">
        <v>3842.3</v>
      </c>
      <c r="CZ15" s="426">
        <v>532.67000000000007</v>
      </c>
      <c r="DA15" s="426">
        <v>199</v>
      </c>
      <c r="DB15" s="426">
        <v>15153.980000000001</v>
      </c>
      <c r="DC15" s="426">
        <v>709.16</v>
      </c>
      <c r="DD15" s="426"/>
      <c r="DE15" s="426"/>
      <c r="DF15" s="426"/>
      <c r="DG15" s="426"/>
      <c r="DH15" s="426"/>
      <c r="DI15" s="426"/>
      <c r="DJ15" s="426"/>
      <c r="DK15" s="426"/>
      <c r="DL15" s="426">
        <v>218.13</v>
      </c>
      <c r="DM15" s="426"/>
      <c r="DN15" s="426">
        <v>1295.5899999999999</v>
      </c>
      <c r="DO15" s="426"/>
      <c r="DP15" s="426"/>
      <c r="DQ15" s="426"/>
      <c r="DR15" s="426">
        <v>824.3</v>
      </c>
      <c r="DS15" s="426"/>
      <c r="DT15" s="426">
        <v>1636</v>
      </c>
      <c r="DU15" s="426">
        <v>11020.519999999997</v>
      </c>
      <c r="DV15" s="426">
        <v>341.57</v>
      </c>
      <c r="DW15" s="426"/>
      <c r="DX15" s="426">
        <v>994.75</v>
      </c>
      <c r="DY15" s="426">
        <v>2884.56</v>
      </c>
      <c r="DZ15" s="426">
        <v>679.5</v>
      </c>
      <c r="EA15" s="426"/>
      <c r="EB15" s="426">
        <v>20068.190000000002</v>
      </c>
      <c r="EC15" s="426"/>
      <c r="ED15" s="426">
        <v>70.52000000000001</v>
      </c>
      <c r="EE15" s="426">
        <v>935.42999999999984</v>
      </c>
      <c r="EF15" s="426"/>
      <c r="EG15" s="426">
        <v>2095.02</v>
      </c>
      <c r="EH15" s="426">
        <v>710</v>
      </c>
      <c r="EI15" s="426"/>
      <c r="EJ15" s="426"/>
      <c r="EK15" s="426">
        <v>184.42</v>
      </c>
      <c r="EL15" s="426"/>
      <c r="EM15" s="426">
        <v>690.2</v>
      </c>
      <c r="EN15" s="426">
        <v>50.34</v>
      </c>
      <c r="EO15" s="426"/>
      <c r="EP15" s="426">
        <v>248.38</v>
      </c>
      <c r="EQ15" s="426"/>
      <c r="ER15" s="426"/>
      <c r="ES15" s="426"/>
      <c r="ET15" s="426"/>
      <c r="EU15" s="426"/>
      <c r="EV15" s="426">
        <v>2690.76</v>
      </c>
      <c r="EW15" s="426">
        <v>1803.06</v>
      </c>
      <c r="EX15" s="426">
        <v>10996.2</v>
      </c>
      <c r="EY15" s="426">
        <v>2090.27</v>
      </c>
      <c r="EZ15" s="426">
        <v>8270.24</v>
      </c>
      <c r="FA15" s="426"/>
      <c r="FB15" s="426">
        <v>1552.63</v>
      </c>
      <c r="FC15" s="426"/>
      <c r="FD15" s="426"/>
      <c r="FE15" s="426">
        <v>3.1500000000000004</v>
      </c>
      <c r="FF15" s="426">
        <v>-467996.15</v>
      </c>
      <c r="FG15" s="426"/>
      <c r="FH15" s="426"/>
      <c r="FI15" s="426">
        <v>-2774</v>
      </c>
      <c r="FJ15" s="426">
        <v>-19645</v>
      </c>
      <c r="FK15" s="426"/>
      <c r="FL15" s="426"/>
      <c r="FM15" s="426">
        <v>-571.29</v>
      </c>
      <c r="FN15" s="426">
        <v>-33636.220000000008</v>
      </c>
      <c r="FO15" s="426">
        <v>-4607.5</v>
      </c>
      <c r="FP15" s="426">
        <v>-5600</v>
      </c>
      <c r="FQ15" s="426">
        <v>-15106</v>
      </c>
      <c r="FR15" s="426"/>
      <c r="FS15" s="426">
        <v>-95580.76</v>
      </c>
      <c r="FT15" s="426"/>
      <c r="FU15" s="426">
        <v>-410.07</v>
      </c>
      <c r="FV15" s="426">
        <v>-25866.35</v>
      </c>
      <c r="FW15" s="426">
        <v>-27087</v>
      </c>
      <c r="FX15" s="426">
        <v>1111.8600000000001</v>
      </c>
      <c r="FY15" s="426">
        <v>164.7</v>
      </c>
      <c r="FZ15" s="426">
        <v>-14030</v>
      </c>
      <c r="GA15" s="426"/>
      <c r="GB15" s="426">
        <v>-3808</v>
      </c>
      <c r="GC15" s="426"/>
      <c r="GD15" s="426">
        <v>-7486</v>
      </c>
      <c r="GE15" s="426">
        <v>2272</v>
      </c>
      <c r="GF15" s="426"/>
      <c r="GG15" s="426"/>
      <c r="GH15" s="426">
        <v>1153.1600000000001</v>
      </c>
      <c r="GI15" s="426"/>
      <c r="GJ15" s="426"/>
      <c r="GK15" s="426">
        <v>9698.1999999999989</v>
      </c>
      <c r="GL15" s="426">
        <v>457.1</v>
      </c>
      <c r="GM15" s="426">
        <v>5784.6000000000031</v>
      </c>
      <c r="GN15" s="426"/>
      <c r="GO15" s="426">
        <v>2280.2799999999997</v>
      </c>
      <c r="GP15" s="426">
        <v>1167.25</v>
      </c>
      <c r="GQ15" s="426">
        <v>3284.19</v>
      </c>
      <c r="GR15" s="426">
        <v>610</v>
      </c>
      <c r="GS15" s="426">
        <v>759.88</v>
      </c>
      <c r="GT15" s="426">
        <v>1055.3799999999999</v>
      </c>
      <c r="GU15" s="426"/>
      <c r="GV15" s="426"/>
      <c r="GW15" s="426"/>
      <c r="GX15" s="426"/>
      <c r="GY15" s="426"/>
      <c r="GZ15" s="426"/>
      <c r="HA15" s="426"/>
      <c r="HB15" s="426"/>
      <c r="HC15" s="426"/>
      <c r="HD15" s="426"/>
      <c r="HE15" s="426">
        <v>-2390.2400000000002</v>
      </c>
      <c r="HF15" s="426">
        <v>-4330.8000000000011</v>
      </c>
      <c r="HG15" s="426"/>
      <c r="HH15" s="426">
        <v>-248.57</v>
      </c>
      <c r="HI15" s="426"/>
      <c r="HJ15" s="426">
        <v>-444</v>
      </c>
      <c r="HK15" s="426">
        <v>-3639.8499999999995</v>
      </c>
      <c r="HL15" s="426"/>
      <c r="HM15" s="426"/>
      <c r="HN15" s="426">
        <v>-11651.920000000004</v>
      </c>
      <c r="HO15" s="426"/>
      <c r="HP15" s="426"/>
      <c r="HQ15" s="426">
        <v>-5064.79</v>
      </c>
      <c r="HR15" s="426">
        <v>-8292.32</v>
      </c>
      <c r="HS15" s="426"/>
      <c r="HT15" s="426"/>
      <c r="HU15" s="426"/>
    </row>
    <row r="16" spans="1:229">
      <c r="A16" s="116">
        <v>107558</v>
      </c>
      <c r="B16" s="304"/>
      <c r="C16" s="304">
        <v>397432.01999999996</v>
      </c>
      <c r="D16" s="304">
        <v>19656.669999999998</v>
      </c>
      <c r="E16" s="304">
        <v>17257</v>
      </c>
      <c r="F16" s="304">
        <v>117991.72</v>
      </c>
      <c r="G16" s="304">
        <v>54463.869999999995</v>
      </c>
      <c r="H16" s="304">
        <v>6043.9</v>
      </c>
      <c r="I16" s="304"/>
      <c r="J16" s="304">
        <v>1733.39</v>
      </c>
      <c r="K16" s="304">
        <v>685.32</v>
      </c>
      <c r="L16" s="304"/>
      <c r="M16" s="304"/>
      <c r="N16" s="304"/>
      <c r="O16" s="304"/>
      <c r="P16" s="304"/>
      <c r="Q16" s="304"/>
      <c r="R16" s="304"/>
      <c r="S16" s="304"/>
      <c r="T16" s="304"/>
      <c r="U16" s="304"/>
      <c r="V16" s="304"/>
      <c r="W16" s="304"/>
      <c r="X16" s="304"/>
      <c r="Y16" s="304"/>
      <c r="Z16" s="304"/>
      <c r="AA16" s="304"/>
      <c r="AB16" s="304"/>
      <c r="AC16" s="304"/>
      <c r="AD16" s="304"/>
      <c r="AE16" s="304"/>
      <c r="AF16" s="304">
        <v>21205.51</v>
      </c>
      <c r="AG16" s="304">
        <v>4070.3500000000008</v>
      </c>
      <c r="AH16" s="304">
        <v>562.27</v>
      </c>
      <c r="AI16" s="304">
        <v>4896.66</v>
      </c>
      <c r="AJ16" s="304">
        <v>866.68</v>
      </c>
      <c r="AK16" s="304"/>
      <c r="AL16" s="304"/>
      <c r="AM16" s="304"/>
      <c r="AN16" s="304">
        <v>213210.71000000002</v>
      </c>
      <c r="AO16" s="304">
        <v>11896.13</v>
      </c>
      <c r="AP16" s="304">
        <v>1368.1599999999999</v>
      </c>
      <c r="AQ16" s="304">
        <v>58504.79</v>
      </c>
      <c r="AR16" s="304">
        <v>23590.98</v>
      </c>
      <c r="AS16" s="304"/>
      <c r="AT16" s="304"/>
      <c r="AU16" s="304"/>
      <c r="AV16" s="304"/>
      <c r="AW16" s="304"/>
      <c r="AX16" s="304">
        <v>54074.23000000001</v>
      </c>
      <c r="AY16" s="304">
        <v>632.69000000000005</v>
      </c>
      <c r="AZ16" s="304"/>
      <c r="BA16" s="304"/>
      <c r="BB16" s="304">
        <v>14442.489999999998</v>
      </c>
      <c r="BC16" s="304">
        <v>6451.9699999999993</v>
      </c>
      <c r="BD16" s="304"/>
      <c r="BE16" s="304"/>
      <c r="BF16" s="304"/>
      <c r="BG16" s="304"/>
      <c r="BH16" s="304"/>
      <c r="BI16" s="304"/>
      <c r="BJ16" s="304"/>
      <c r="BK16" s="304"/>
      <c r="BL16" s="304"/>
      <c r="BM16" s="304"/>
      <c r="BN16" s="304">
        <v>16806.740000000002</v>
      </c>
      <c r="BO16" s="304">
        <v>8483.33</v>
      </c>
      <c r="BP16" s="304">
        <v>1917.1</v>
      </c>
      <c r="BQ16" s="304">
        <v>6791.8600000000006</v>
      </c>
      <c r="BR16" s="304">
        <v>1244.6299999999999</v>
      </c>
      <c r="BS16" s="304"/>
      <c r="BT16" s="304"/>
      <c r="BU16" s="304"/>
      <c r="BV16" s="304"/>
      <c r="BW16" s="304"/>
      <c r="BX16" s="304">
        <v>375</v>
      </c>
      <c r="BY16" s="304">
        <v>35</v>
      </c>
      <c r="BZ16" s="304"/>
      <c r="CA16" s="304"/>
      <c r="CB16" s="304"/>
      <c r="CC16" s="304"/>
      <c r="CD16" s="304"/>
      <c r="CE16" s="304">
        <v>6803.84</v>
      </c>
      <c r="CF16" s="304"/>
      <c r="CG16" s="304"/>
      <c r="CH16" s="304"/>
      <c r="CI16" s="304"/>
      <c r="CJ16" s="304"/>
      <c r="CK16" s="304">
        <v>5596.6</v>
      </c>
      <c r="CL16" s="304">
        <v>3818.7699999999995</v>
      </c>
      <c r="CM16" s="304">
        <v>17341.41</v>
      </c>
      <c r="CN16" s="304"/>
      <c r="CO16" s="304"/>
      <c r="CP16" s="304"/>
      <c r="CQ16" s="304"/>
      <c r="CR16" s="304">
        <v>2833.8799999999997</v>
      </c>
      <c r="CS16" s="304">
        <v>15442.490000000002</v>
      </c>
      <c r="CT16" s="304">
        <v>5751.88</v>
      </c>
      <c r="CU16" s="304">
        <v>3754.94</v>
      </c>
      <c r="CV16" s="304"/>
      <c r="CW16" s="304"/>
      <c r="CX16" s="304"/>
      <c r="CY16" s="304">
        <v>18213.5</v>
      </c>
      <c r="CZ16" s="304">
        <v>4682.4500000000007</v>
      </c>
      <c r="DA16" s="304"/>
      <c r="DB16" s="304">
        <v>2308.9</v>
      </c>
      <c r="DC16" s="304">
        <v>2508.0100000000007</v>
      </c>
      <c r="DD16" s="304"/>
      <c r="DE16" s="304"/>
      <c r="DF16" s="304">
        <v>0</v>
      </c>
      <c r="DG16" s="304"/>
      <c r="DH16" s="304">
        <v>20.010000000000002</v>
      </c>
      <c r="DI16" s="304"/>
      <c r="DJ16" s="304"/>
      <c r="DK16" s="304"/>
      <c r="DL16" s="304">
        <v>222.98</v>
      </c>
      <c r="DM16" s="304"/>
      <c r="DN16" s="304"/>
      <c r="DO16" s="304"/>
      <c r="DP16" s="304"/>
      <c r="DQ16" s="304">
        <v>879</v>
      </c>
      <c r="DR16" s="304"/>
      <c r="DS16" s="304"/>
      <c r="DT16" s="304">
        <v>3709</v>
      </c>
      <c r="DU16" s="304">
        <v>28583.15</v>
      </c>
      <c r="DV16" s="304">
        <v>910.01</v>
      </c>
      <c r="DW16" s="304"/>
      <c r="DX16" s="304">
        <v>612.74</v>
      </c>
      <c r="DY16" s="304">
        <v>19678.399999999991</v>
      </c>
      <c r="DZ16" s="304"/>
      <c r="EA16" s="304"/>
      <c r="EB16" s="304">
        <v>560</v>
      </c>
      <c r="EC16" s="304"/>
      <c r="ED16" s="304"/>
      <c r="EE16" s="304">
        <v>1082.55</v>
      </c>
      <c r="EF16" s="426"/>
      <c r="EG16" s="304"/>
      <c r="EH16" s="304">
        <v>4690.91</v>
      </c>
      <c r="EI16" s="426">
        <v>2106.9599999999996</v>
      </c>
      <c r="EJ16" s="304"/>
      <c r="EK16" s="304">
        <v>463.56</v>
      </c>
      <c r="EL16" s="304">
        <v>4450.9799999999996</v>
      </c>
      <c r="EM16" s="304">
        <v>5920.26</v>
      </c>
      <c r="EN16" s="304">
        <v>886.49999999999989</v>
      </c>
      <c r="EO16" s="304"/>
      <c r="EP16" s="304"/>
      <c r="EQ16" s="304"/>
      <c r="ER16" s="304"/>
      <c r="ES16" s="304"/>
      <c r="ET16" s="304"/>
      <c r="EU16" s="304"/>
      <c r="EV16" s="304"/>
      <c r="EW16" s="304">
        <v>5208.84</v>
      </c>
      <c r="EX16" s="304">
        <v>6238.67</v>
      </c>
      <c r="EY16" s="304">
        <v>108.65000000000006</v>
      </c>
      <c r="EZ16" s="304">
        <v>35711.509999999995</v>
      </c>
      <c r="FA16" s="304"/>
      <c r="FB16" s="304"/>
      <c r="FC16" s="304"/>
      <c r="FD16" s="304"/>
      <c r="FE16" s="304"/>
      <c r="FF16" s="304">
        <v>-1104254.33</v>
      </c>
      <c r="FG16" s="304"/>
      <c r="FH16" s="304"/>
      <c r="FI16" s="304">
        <v>-450</v>
      </c>
      <c r="FJ16" s="304">
        <v>-51430</v>
      </c>
      <c r="FK16" s="304"/>
      <c r="FL16" s="304"/>
      <c r="FM16" s="304"/>
      <c r="FN16" s="304"/>
      <c r="FO16" s="304">
        <v>-9890</v>
      </c>
      <c r="FP16" s="304">
        <v>-30023</v>
      </c>
      <c r="FQ16" s="304">
        <v>-30612</v>
      </c>
      <c r="FR16" s="304"/>
      <c r="FS16" s="304"/>
      <c r="FT16" s="304"/>
      <c r="FU16" s="304">
        <v>-23399.9</v>
      </c>
      <c r="FV16" s="304"/>
      <c r="FW16" s="304">
        <v>-74335</v>
      </c>
      <c r="FX16" s="304">
        <v>3212.04</v>
      </c>
      <c r="FY16" s="304">
        <v>475.8</v>
      </c>
      <c r="FZ16" s="304">
        <v>63979.91</v>
      </c>
      <c r="GA16" s="304"/>
      <c r="GB16" s="304">
        <v>-9614</v>
      </c>
      <c r="GC16" s="304"/>
      <c r="GD16" s="304">
        <v>-19192</v>
      </c>
      <c r="GE16" s="304">
        <v>914.75</v>
      </c>
      <c r="GF16" s="304"/>
      <c r="GG16" s="304"/>
      <c r="GH16" s="304">
        <v>2488.7200000000003</v>
      </c>
      <c r="GI16" s="304"/>
      <c r="GJ16" s="304"/>
      <c r="GK16" s="304">
        <v>44959.6</v>
      </c>
      <c r="GL16" s="304">
        <v>1606.75</v>
      </c>
      <c r="GM16" s="304">
        <v>10607.970000000005</v>
      </c>
      <c r="GN16" s="304">
        <v>522</v>
      </c>
      <c r="GO16" s="304">
        <v>4834.4799999999996</v>
      </c>
      <c r="GP16" s="304">
        <v>3635.1499999999996</v>
      </c>
      <c r="GQ16" s="304">
        <v>6672</v>
      </c>
      <c r="GR16" s="304">
        <v>1560</v>
      </c>
      <c r="GS16" s="304">
        <v>2372.3599999999997</v>
      </c>
      <c r="GT16" s="304">
        <v>1518.6</v>
      </c>
      <c r="GU16" s="304"/>
      <c r="GV16" s="304"/>
      <c r="GW16" s="304"/>
      <c r="GX16" s="304"/>
      <c r="GY16" s="304"/>
      <c r="GZ16" s="304"/>
      <c r="HA16" s="304"/>
      <c r="HB16" s="304"/>
      <c r="HC16" s="304">
        <v>-553</v>
      </c>
      <c r="HD16" s="304"/>
      <c r="HE16" s="304">
        <v>-1636.18</v>
      </c>
      <c r="HF16" s="304">
        <v>-21239.789999999994</v>
      </c>
      <c r="HG16" s="304"/>
      <c r="HH16" s="304">
        <v>-7257.2199999999966</v>
      </c>
      <c r="HI16" s="304"/>
      <c r="HJ16" s="304"/>
      <c r="HK16" s="304">
        <v>-1123.5700000000002</v>
      </c>
      <c r="HL16" s="304"/>
      <c r="HM16" s="304"/>
      <c r="HN16" s="304">
        <v>-45.67</v>
      </c>
      <c r="HO16" s="304"/>
      <c r="HP16" s="304">
        <v>-6928.1</v>
      </c>
      <c r="HQ16" s="304"/>
      <c r="HR16" s="304"/>
      <c r="HS16" s="304"/>
      <c r="HT16" s="304"/>
      <c r="HU16" s="304"/>
    </row>
    <row r="17" spans="1:229">
      <c r="A17" s="116">
        <v>107559</v>
      </c>
      <c r="B17" s="304"/>
      <c r="C17" s="304">
        <v>264715.34000000003</v>
      </c>
      <c r="D17" s="304">
        <v>297.51000000000022</v>
      </c>
      <c r="E17" s="304"/>
      <c r="F17" s="304">
        <v>77047.290000000008</v>
      </c>
      <c r="G17" s="304">
        <v>33696.71</v>
      </c>
      <c r="H17" s="304">
        <v>3811.67</v>
      </c>
      <c r="I17" s="304"/>
      <c r="J17" s="304">
        <v>1019.37</v>
      </c>
      <c r="K17" s="304">
        <v>365.99</v>
      </c>
      <c r="L17" s="304"/>
      <c r="M17" s="304"/>
      <c r="N17" s="304"/>
      <c r="O17" s="304"/>
      <c r="P17" s="304"/>
      <c r="Q17" s="304"/>
      <c r="R17" s="304"/>
      <c r="S17" s="304"/>
      <c r="T17" s="304"/>
      <c r="U17" s="304"/>
      <c r="V17" s="304"/>
      <c r="W17" s="304"/>
      <c r="X17" s="304"/>
      <c r="Y17" s="304"/>
      <c r="Z17" s="304"/>
      <c r="AA17" s="304">
        <v>2904.5000000000005</v>
      </c>
      <c r="AB17" s="304"/>
      <c r="AC17" s="304">
        <v>92.82</v>
      </c>
      <c r="AD17" s="304">
        <v>791.22000000000014</v>
      </c>
      <c r="AE17" s="304">
        <v>347.78</v>
      </c>
      <c r="AF17" s="304">
        <v>8978.5399999999991</v>
      </c>
      <c r="AG17" s="304"/>
      <c r="AH17" s="304">
        <v>57.84</v>
      </c>
      <c r="AI17" s="304">
        <v>2305.37</v>
      </c>
      <c r="AJ17" s="304">
        <v>770.88</v>
      </c>
      <c r="AK17" s="304"/>
      <c r="AL17" s="304"/>
      <c r="AM17" s="304"/>
      <c r="AN17" s="304">
        <v>68532.12</v>
      </c>
      <c r="AO17" s="304">
        <v>128.44</v>
      </c>
      <c r="AP17" s="304">
        <v>999.58</v>
      </c>
      <c r="AQ17" s="304">
        <v>18389.89</v>
      </c>
      <c r="AR17" s="304">
        <v>6523.86</v>
      </c>
      <c r="AS17" s="304"/>
      <c r="AT17" s="304"/>
      <c r="AU17" s="304"/>
      <c r="AV17" s="304"/>
      <c r="AW17" s="304"/>
      <c r="AX17" s="304">
        <v>21796.430000000008</v>
      </c>
      <c r="AY17" s="304"/>
      <c r="AZ17" s="304">
        <v>743.84</v>
      </c>
      <c r="BA17" s="304"/>
      <c r="BB17" s="304">
        <v>5950.56</v>
      </c>
      <c r="BC17" s="304">
        <v>2630.4500000000003</v>
      </c>
      <c r="BD17" s="304"/>
      <c r="BE17" s="304"/>
      <c r="BF17" s="304"/>
      <c r="BG17" s="304"/>
      <c r="BH17" s="304"/>
      <c r="BI17" s="304"/>
      <c r="BJ17" s="304"/>
      <c r="BK17" s="304"/>
      <c r="BL17" s="304"/>
      <c r="BM17" s="304"/>
      <c r="BN17" s="304">
        <v>8712.1200000000008</v>
      </c>
      <c r="BO17" s="304"/>
      <c r="BP17" s="304"/>
      <c r="BQ17" s="304">
        <v>2299.94</v>
      </c>
      <c r="BR17" s="304">
        <v>556.19000000000017</v>
      </c>
      <c r="BS17" s="304"/>
      <c r="BT17" s="304"/>
      <c r="BU17" s="304"/>
      <c r="BV17" s="304"/>
      <c r="BW17" s="304"/>
      <c r="BX17" s="304"/>
      <c r="BY17" s="304"/>
      <c r="BZ17" s="304"/>
      <c r="CA17" s="304"/>
      <c r="CB17" s="304"/>
      <c r="CC17" s="304"/>
      <c r="CD17" s="304"/>
      <c r="CE17" s="304">
        <v>1018</v>
      </c>
      <c r="CF17" s="304"/>
      <c r="CG17" s="304"/>
      <c r="CH17" s="304"/>
      <c r="CI17" s="304"/>
      <c r="CJ17" s="304"/>
      <c r="CK17" s="304">
        <v>7704.1700000000019</v>
      </c>
      <c r="CL17" s="304"/>
      <c r="CM17" s="304">
        <v>9641.369999999999</v>
      </c>
      <c r="CN17" s="304"/>
      <c r="CO17" s="304"/>
      <c r="CP17" s="304"/>
      <c r="CQ17" s="304"/>
      <c r="CR17" s="304"/>
      <c r="CS17" s="304">
        <v>6482.48</v>
      </c>
      <c r="CT17" s="304"/>
      <c r="CU17" s="304">
        <v>2864.12</v>
      </c>
      <c r="CV17" s="304"/>
      <c r="CW17" s="304"/>
      <c r="CX17" s="304">
        <v>979.15000000000009</v>
      </c>
      <c r="CY17" s="304">
        <v>9730.5</v>
      </c>
      <c r="CZ17" s="304">
        <v>3906.5299999999997</v>
      </c>
      <c r="DA17" s="304"/>
      <c r="DB17" s="304">
        <v>2407.6599999999994</v>
      </c>
      <c r="DC17" s="304">
        <v>845.36999999999989</v>
      </c>
      <c r="DD17" s="304"/>
      <c r="DE17" s="304"/>
      <c r="DF17" s="304"/>
      <c r="DG17" s="304"/>
      <c r="DH17" s="304"/>
      <c r="DI17" s="304"/>
      <c r="DJ17" s="304"/>
      <c r="DK17" s="304"/>
      <c r="DL17" s="304"/>
      <c r="DM17" s="304"/>
      <c r="DN17" s="304"/>
      <c r="DO17" s="304"/>
      <c r="DP17" s="304">
        <v>1045</v>
      </c>
      <c r="DQ17" s="304">
        <v>1722.1</v>
      </c>
      <c r="DR17" s="304"/>
      <c r="DS17" s="304"/>
      <c r="DT17" s="304">
        <v>1904</v>
      </c>
      <c r="DU17" s="304">
        <v>10969.31</v>
      </c>
      <c r="DV17" s="304"/>
      <c r="DW17" s="304"/>
      <c r="DX17" s="304"/>
      <c r="DY17" s="304">
        <v>2324.62</v>
      </c>
      <c r="DZ17" s="304">
        <v>12628.119999999999</v>
      </c>
      <c r="EA17" s="304"/>
      <c r="EB17" s="304">
        <v>18984</v>
      </c>
      <c r="EC17" s="304"/>
      <c r="ED17" s="304"/>
      <c r="EE17" s="304">
        <v>995.18</v>
      </c>
      <c r="EF17" s="426"/>
      <c r="EG17" s="304">
        <v>0</v>
      </c>
      <c r="EH17" s="304">
        <v>1194.4000000000001</v>
      </c>
      <c r="EI17" s="426"/>
      <c r="EJ17" s="304"/>
      <c r="EK17" s="304">
        <v>670</v>
      </c>
      <c r="EL17" s="304">
        <v>4068.5600000000004</v>
      </c>
      <c r="EM17" s="304"/>
      <c r="EN17" s="304"/>
      <c r="EO17" s="304">
        <v>3463.9500000000003</v>
      </c>
      <c r="EP17" s="304"/>
      <c r="EQ17" s="304"/>
      <c r="ER17" s="304"/>
      <c r="ES17" s="304"/>
      <c r="ET17" s="304"/>
      <c r="EU17" s="304"/>
      <c r="EV17" s="304"/>
      <c r="EW17" s="304">
        <v>2737.98</v>
      </c>
      <c r="EX17" s="304">
        <v>1001.15</v>
      </c>
      <c r="EY17" s="304"/>
      <c r="EZ17" s="304">
        <v>13610.84</v>
      </c>
      <c r="FA17" s="304"/>
      <c r="FB17" s="304"/>
      <c r="FC17" s="304"/>
      <c r="FD17" s="304"/>
      <c r="FE17" s="304"/>
      <c r="FF17" s="304">
        <v>-575964.43999999994</v>
      </c>
      <c r="FG17" s="304"/>
      <c r="FH17" s="304"/>
      <c r="FI17" s="304"/>
      <c r="FJ17" s="304">
        <v>-8275</v>
      </c>
      <c r="FK17" s="304"/>
      <c r="FL17" s="304"/>
      <c r="FM17" s="304">
        <v>-2400</v>
      </c>
      <c r="FN17" s="304"/>
      <c r="FO17" s="304">
        <v>-4900</v>
      </c>
      <c r="FP17" s="304">
        <v>-21676</v>
      </c>
      <c r="FQ17" s="304">
        <v>-15272</v>
      </c>
      <c r="FR17" s="304"/>
      <c r="FS17" s="304">
        <v>-213688.23</v>
      </c>
      <c r="FT17" s="304"/>
      <c r="FU17" s="304">
        <v>-19276.310000000001</v>
      </c>
      <c r="FV17" s="304"/>
      <c r="FW17" s="304"/>
      <c r="FX17" s="304">
        <v>1688.38</v>
      </c>
      <c r="FY17" s="304">
        <v>250.1</v>
      </c>
      <c r="FZ17" s="304">
        <v>-8106</v>
      </c>
      <c r="GA17" s="304"/>
      <c r="GB17" s="304">
        <v>-4639</v>
      </c>
      <c r="GC17" s="304"/>
      <c r="GD17" s="304">
        <v>-9231</v>
      </c>
      <c r="GE17" s="304">
        <v>440</v>
      </c>
      <c r="GF17" s="304"/>
      <c r="GG17" s="304"/>
      <c r="GH17" s="304">
        <v>1235.24</v>
      </c>
      <c r="GI17" s="304">
        <v>4352.9200000000019</v>
      </c>
      <c r="GJ17" s="304"/>
      <c r="GK17" s="304">
        <v>25166.03</v>
      </c>
      <c r="GL17" s="304">
        <v>220</v>
      </c>
      <c r="GM17" s="304">
        <v>4341.3800000000019</v>
      </c>
      <c r="GN17" s="304"/>
      <c r="GO17" s="304">
        <v>2023.8</v>
      </c>
      <c r="GP17" s="304">
        <v>1487.4099999999999</v>
      </c>
      <c r="GQ17" s="304">
        <v>861</v>
      </c>
      <c r="GR17" s="304">
        <v>560</v>
      </c>
      <c r="GS17" s="304">
        <v>829.42</v>
      </c>
      <c r="GT17" s="304">
        <v>1333.1199999999997</v>
      </c>
      <c r="GU17" s="304"/>
      <c r="GV17" s="304"/>
      <c r="GW17" s="304"/>
      <c r="GX17" s="304"/>
      <c r="GY17" s="304"/>
      <c r="GZ17" s="304"/>
      <c r="HA17" s="304"/>
      <c r="HB17" s="304"/>
      <c r="HC17" s="304"/>
      <c r="HD17" s="304"/>
      <c r="HE17" s="304">
        <v>-13061.35</v>
      </c>
      <c r="HF17" s="304">
        <v>-7390.6799999999967</v>
      </c>
      <c r="HG17" s="304"/>
      <c r="HH17" s="304">
        <v>-1669.72</v>
      </c>
      <c r="HI17" s="304"/>
      <c r="HJ17" s="304"/>
      <c r="HK17" s="304"/>
      <c r="HL17" s="304"/>
      <c r="HM17" s="304"/>
      <c r="HN17" s="304">
        <v>-8471.8899999999976</v>
      </c>
      <c r="HO17" s="304"/>
      <c r="HP17" s="304">
        <v>-10000.75</v>
      </c>
      <c r="HQ17" s="304"/>
      <c r="HR17" s="304">
        <v>-10607.06</v>
      </c>
      <c r="HS17" s="304"/>
      <c r="HT17" s="304"/>
      <c r="HU17" s="304"/>
    </row>
    <row r="18" spans="1:229">
      <c r="A18" s="116">
        <v>107567</v>
      </c>
      <c r="B18" s="304"/>
      <c r="C18" s="304">
        <v>242466.51</v>
      </c>
      <c r="D18" s="304">
        <v>184.01</v>
      </c>
      <c r="E18" s="304">
        <v>981</v>
      </c>
      <c r="F18" s="304">
        <v>69592.13</v>
      </c>
      <c r="G18" s="304">
        <v>31807.95</v>
      </c>
      <c r="H18" s="304">
        <v>2640.24</v>
      </c>
      <c r="I18" s="304"/>
      <c r="J18" s="304">
        <v>417.90999999999997</v>
      </c>
      <c r="K18" s="304">
        <v>351.77</v>
      </c>
      <c r="L18" s="304"/>
      <c r="M18" s="304"/>
      <c r="N18" s="304"/>
      <c r="O18" s="304"/>
      <c r="P18" s="304"/>
      <c r="Q18" s="304"/>
      <c r="R18" s="304"/>
      <c r="S18" s="304"/>
      <c r="T18" s="304"/>
      <c r="U18" s="304"/>
      <c r="V18" s="304"/>
      <c r="W18" s="304"/>
      <c r="X18" s="304"/>
      <c r="Y18" s="304"/>
      <c r="Z18" s="304"/>
      <c r="AA18" s="304">
        <v>3865.2400000000002</v>
      </c>
      <c r="AB18" s="304">
        <v>130.58000000000001</v>
      </c>
      <c r="AC18" s="304"/>
      <c r="AD18" s="304">
        <v>1054.8499999999999</v>
      </c>
      <c r="AE18" s="304">
        <v>267.92</v>
      </c>
      <c r="AF18" s="304">
        <v>7530.91</v>
      </c>
      <c r="AG18" s="304">
        <v>340.8</v>
      </c>
      <c r="AH18" s="304"/>
      <c r="AI18" s="304">
        <v>2077.9799999999996</v>
      </c>
      <c r="AJ18" s="304">
        <v>240.97</v>
      </c>
      <c r="AK18" s="304"/>
      <c r="AL18" s="304"/>
      <c r="AM18" s="304"/>
      <c r="AN18" s="304">
        <v>114863.34</v>
      </c>
      <c r="AO18" s="304">
        <v>1609.01</v>
      </c>
      <c r="AP18" s="304">
        <v>1015.5</v>
      </c>
      <c r="AQ18" s="304">
        <v>31016.350000000002</v>
      </c>
      <c r="AR18" s="304">
        <v>12007.36</v>
      </c>
      <c r="AS18" s="304">
        <v>29314.52</v>
      </c>
      <c r="AT18" s="304">
        <v>301.01</v>
      </c>
      <c r="AU18" s="304">
        <v>239.79000000000002</v>
      </c>
      <c r="AV18" s="304">
        <v>7881.6300000000019</v>
      </c>
      <c r="AW18" s="304">
        <v>3414.9100000000008</v>
      </c>
      <c r="AX18" s="304">
        <v>25082.47</v>
      </c>
      <c r="AY18" s="304"/>
      <c r="AZ18" s="304">
        <v>3478.07</v>
      </c>
      <c r="BA18" s="304"/>
      <c r="BB18" s="304">
        <v>7539.8199999999988</v>
      </c>
      <c r="BC18" s="304">
        <v>3273.93</v>
      </c>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v>1403.96</v>
      </c>
      <c r="CF18" s="304"/>
      <c r="CG18" s="304"/>
      <c r="CH18" s="304"/>
      <c r="CI18" s="304">
        <v>145</v>
      </c>
      <c r="CJ18" s="304"/>
      <c r="CK18" s="304">
        <v>2288.36</v>
      </c>
      <c r="CL18" s="304">
        <v>5305.2</v>
      </c>
      <c r="CM18" s="304"/>
      <c r="CN18" s="304"/>
      <c r="CO18" s="304"/>
      <c r="CP18" s="304"/>
      <c r="CQ18" s="304"/>
      <c r="CR18" s="304">
        <v>772</v>
      </c>
      <c r="CS18" s="304">
        <v>4741.79</v>
      </c>
      <c r="CT18" s="304">
        <v>6882.2100000000009</v>
      </c>
      <c r="CU18" s="304"/>
      <c r="CV18" s="304"/>
      <c r="CW18" s="304"/>
      <c r="CX18" s="304"/>
      <c r="CY18" s="304">
        <v>2894.2</v>
      </c>
      <c r="CZ18" s="304">
        <v>1821.54</v>
      </c>
      <c r="DA18" s="304"/>
      <c r="DB18" s="304">
        <v>15126.939999999999</v>
      </c>
      <c r="DC18" s="304">
        <v>674.9</v>
      </c>
      <c r="DD18" s="304"/>
      <c r="DE18" s="304"/>
      <c r="DF18" s="304"/>
      <c r="DG18" s="304"/>
      <c r="DH18" s="304"/>
      <c r="DI18" s="304"/>
      <c r="DJ18" s="304"/>
      <c r="DK18" s="304"/>
      <c r="DL18" s="304">
        <v>130.89000000000001</v>
      </c>
      <c r="DM18" s="304"/>
      <c r="DN18" s="304">
        <v>993.79</v>
      </c>
      <c r="DO18" s="304"/>
      <c r="DP18" s="304"/>
      <c r="DQ18" s="304"/>
      <c r="DR18" s="304"/>
      <c r="DS18" s="304">
        <v>828.2600000000001</v>
      </c>
      <c r="DT18" s="304"/>
      <c r="DU18" s="304">
        <v>19706.660000000007</v>
      </c>
      <c r="DV18" s="304">
        <v>14.24</v>
      </c>
      <c r="DW18" s="304"/>
      <c r="DX18" s="304">
        <v>668.18</v>
      </c>
      <c r="DY18" s="304">
        <v>1605.9599999999998</v>
      </c>
      <c r="DZ18" s="304">
        <v>5773.84</v>
      </c>
      <c r="EA18" s="304"/>
      <c r="EB18" s="304">
        <v>18482</v>
      </c>
      <c r="EC18" s="304"/>
      <c r="ED18" s="304">
        <v>87.1</v>
      </c>
      <c r="EE18" s="304">
        <v>612.07999999999993</v>
      </c>
      <c r="EF18" s="426"/>
      <c r="EG18" s="304">
        <v>0</v>
      </c>
      <c r="EH18" s="304">
        <v>2550</v>
      </c>
      <c r="EI18" s="426"/>
      <c r="EJ18" s="304"/>
      <c r="EK18" s="304">
        <v>85</v>
      </c>
      <c r="EL18" s="304"/>
      <c r="EM18" s="304"/>
      <c r="EN18" s="304"/>
      <c r="EO18" s="304">
        <v>570</v>
      </c>
      <c r="EP18" s="304">
        <v>78.800000000000011</v>
      </c>
      <c r="EQ18" s="304"/>
      <c r="ER18" s="304"/>
      <c r="ES18" s="304"/>
      <c r="ET18" s="304">
        <v>750</v>
      </c>
      <c r="EU18" s="304"/>
      <c r="EV18" s="304">
        <v>1801.93</v>
      </c>
      <c r="EW18" s="304">
        <v>3372.39</v>
      </c>
      <c r="EX18" s="304">
        <v>3039.01</v>
      </c>
      <c r="EY18" s="304">
        <v>99.8</v>
      </c>
      <c r="EZ18" s="304">
        <v>14949.49</v>
      </c>
      <c r="FA18" s="304"/>
      <c r="FB18" s="304">
        <v>1594.11</v>
      </c>
      <c r="FC18" s="304"/>
      <c r="FD18" s="304">
        <v>33670.980000000003</v>
      </c>
      <c r="FE18" s="304"/>
      <c r="FF18" s="304">
        <v>-610284.72</v>
      </c>
      <c r="FG18" s="304"/>
      <c r="FH18" s="304">
        <v>-4000</v>
      </c>
      <c r="FI18" s="304">
        <v>-450</v>
      </c>
      <c r="FJ18" s="304">
        <v>-26455</v>
      </c>
      <c r="FK18" s="304"/>
      <c r="FL18" s="304"/>
      <c r="FM18" s="304">
        <v>-2685.64</v>
      </c>
      <c r="FN18" s="304">
        <v>-54145.130000000005</v>
      </c>
      <c r="FO18" s="304"/>
      <c r="FP18" s="304">
        <v>-16407</v>
      </c>
      <c r="FQ18" s="304">
        <v>-15455</v>
      </c>
      <c r="FR18" s="304"/>
      <c r="FS18" s="304"/>
      <c r="FT18" s="304">
        <v>29664.98</v>
      </c>
      <c r="FU18" s="304"/>
      <c r="FV18" s="304">
        <v>-23986.05</v>
      </c>
      <c r="FW18" s="304">
        <v>-57482</v>
      </c>
      <c r="FX18" s="304">
        <v>2079.59</v>
      </c>
      <c r="FY18" s="304">
        <v>308.05</v>
      </c>
      <c r="FZ18" s="304">
        <v>-3009.95</v>
      </c>
      <c r="GA18" s="304"/>
      <c r="GB18" s="304">
        <v>-5769</v>
      </c>
      <c r="GC18" s="304"/>
      <c r="GD18" s="304">
        <v>-11629</v>
      </c>
      <c r="GE18" s="304">
        <v>1570</v>
      </c>
      <c r="GF18" s="304"/>
      <c r="GG18" s="304"/>
      <c r="GH18" s="304">
        <v>1293</v>
      </c>
      <c r="GI18" s="304"/>
      <c r="GJ18" s="304"/>
      <c r="GK18" s="304"/>
      <c r="GL18" s="304">
        <v>513</v>
      </c>
      <c r="GM18" s="304">
        <v>7272.7100000000028</v>
      </c>
      <c r="GN18" s="304">
        <v>261</v>
      </c>
      <c r="GO18" s="304">
        <v>6407.64</v>
      </c>
      <c r="GP18" s="304">
        <v>2047.69</v>
      </c>
      <c r="GQ18" s="304">
        <v>5065.5</v>
      </c>
      <c r="GR18" s="304">
        <v>560</v>
      </c>
      <c r="GS18" s="304">
        <v>864.22</v>
      </c>
      <c r="GT18" s="304">
        <v>831.42000000000007</v>
      </c>
      <c r="GU18" s="304"/>
      <c r="GV18" s="304"/>
      <c r="GW18" s="304"/>
      <c r="GX18" s="304"/>
      <c r="GY18" s="304"/>
      <c r="GZ18" s="304"/>
      <c r="HA18" s="304"/>
      <c r="HB18" s="304"/>
      <c r="HC18" s="304">
        <v>-650</v>
      </c>
      <c r="HD18" s="304"/>
      <c r="HE18" s="304">
        <v>-1329</v>
      </c>
      <c r="HF18" s="304">
        <v>-8456.4799999999959</v>
      </c>
      <c r="HG18" s="304"/>
      <c r="HH18" s="304">
        <v>-818.65</v>
      </c>
      <c r="HI18" s="304"/>
      <c r="HJ18" s="304"/>
      <c r="HK18" s="304">
        <v>-11732.490000000003</v>
      </c>
      <c r="HL18" s="304">
        <v>-1079</v>
      </c>
      <c r="HM18" s="304">
        <v>-4997</v>
      </c>
      <c r="HN18" s="304">
        <v>-13295.24</v>
      </c>
      <c r="HO18" s="304"/>
      <c r="HP18" s="304">
        <v>-450</v>
      </c>
      <c r="HQ18" s="304">
        <v>-3884.4699999999989</v>
      </c>
      <c r="HR18" s="304">
        <v>-1564.16</v>
      </c>
      <c r="HS18" s="304"/>
      <c r="HT18" s="304"/>
      <c r="HU18" s="304"/>
    </row>
    <row r="19" spans="1:229">
      <c r="A19" s="116">
        <v>107569</v>
      </c>
      <c r="B19" s="304"/>
      <c r="C19" s="304">
        <v>395981.43000000005</v>
      </c>
      <c r="D19" s="304">
        <v>5273.4699999999993</v>
      </c>
      <c r="E19" s="304">
        <v>1822.55</v>
      </c>
      <c r="F19" s="304">
        <v>144920.96999999997</v>
      </c>
      <c r="G19" s="304">
        <v>67000.89</v>
      </c>
      <c r="H19" s="304">
        <v>14917.33</v>
      </c>
      <c r="I19" s="304"/>
      <c r="J19" s="304">
        <v>3762.09</v>
      </c>
      <c r="K19" s="304">
        <v>1722.8899999999996</v>
      </c>
      <c r="L19" s="304"/>
      <c r="M19" s="304"/>
      <c r="N19" s="304"/>
      <c r="O19" s="304"/>
      <c r="P19" s="304"/>
      <c r="Q19" s="304"/>
      <c r="R19" s="304"/>
      <c r="S19" s="304"/>
      <c r="T19" s="304"/>
      <c r="U19" s="304"/>
      <c r="V19" s="304"/>
      <c r="W19" s="304"/>
      <c r="X19" s="304"/>
      <c r="Y19" s="304"/>
      <c r="Z19" s="304"/>
      <c r="AA19" s="304"/>
      <c r="AB19" s="304"/>
      <c r="AC19" s="304"/>
      <c r="AD19" s="304"/>
      <c r="AE19" s="304"/>
      <c r="AF19" s="304">
        <v>28730.630000000005</v>
      </c>
      <c r="AG19" s="304">
        <v>479.23</v>
      </c>
      <c r="AH19" s="304">
        <v>870.71999999999991</v>
      </c>
      <c r="AI19" s="304">
        <v>7436.16</v>
      </c>
      <c r="AJ19" s="304">
        <v>596.37</v>
      </c>
      <c r="AK19" s="304"/>
      <c r="AL19" s="304"/>
      <c r="AM19" s="304"/>
      <c r="AN19" s="304">
        <v>188525.52999999997</v>
      </c>
      <c r="AO19" s="304">
        <v>3577.7000000000003</v>
      </c>
      <c r="AP19" s="304">
        <v>5492.86</v>
      </c>
      <c r="AQ19" s="304">
        <v>51720.270000000011</v>
      </c>
      <c r="AR19" s="304">
        <v>21299.77</v>
      </c>
      <c r="AS19" s="304"/>
      <c r="AT19" s="304"/>
      <c r="AU19" s="304"/>
      <c r="AV19" s="304"/>
      <c r="AW19" s="304"/>
      <c r="AX19" s="304">
        <v>85206.739999999991</v>
      </c>
      <c r="AY19" s="304">
        <v>2811.3100000000004</v>
      </c>
      <c r="AZ19" s="304">
        <v>1465.3799999999999</v>
      </c>
      <c r="BA19" s="304"/>
      <c r="BB19" s="304">
        <v>23623.48</v>
      </c>
      <c r="BC19" s="304">
        <v>11106.880000000001</v>
      </c>
      <c r="BD19" s="304"/>
      <c r="BE19" s="304"/>
      <c r="BF19" s="304"/>
      <c r="BG19" s="304"/>
      <c r="BH19" s="304"/>
      <c r="BI19" s="304"/>
      <c r="BJ19" s="304"/>
      <c r="BK19" s="304"/>
      <c r="BL19" s="304"/>
      <c r="BM19" s="304"/>
      <c r="BN19" s="304">
        <v>3012.1799999999994</v>
      </c>
      <c r="BO19" s="304">
        <v>210.14</v>
      </c>
      <c r="BP19" s="304"/>
      <c r="BQ19" s="304">
        <v>898.13000000000034</v>
      </c>
      <c r="BR19" s="304">
        <v>1.57</v>
      </c>
      <c r="BS19" s="304"/>
      <c r="BT19" s="304"/>
      <c r="BU19" s="304"/>
      <c r="BV19" s="304"/>
      <c r="BW19" s="304"/>
      <c r="BX19" s="304"/>
      <c r="BY19" s="304"/>
      <c r="BZ19" s="304"/>
      <c r="CA19" s="304"/>
      <c r="CB19" s="304"/>
      <c r="CC19" s="304"/>
      <c r="CD19" s="304"/>
      <c r="CE19" s="304">
        <v>1080</v>
      </c>
      <c r="CF19" s="304"/>
      <c r="CG19" s="304"/>
      <c r="CH19" s="304">
        <v>0</v>
      </c>
      <c r="CI19" s="304"/>
      <c r="CJ19" s="304"/>
      <c r="CK19" s="304">
        <v>13058.679999999997</v>
      </c>
      <c r="CL19" s="304">
        <v>12370.9</v>
      </c>
      <c r="CM19" s="304">
        <v>6385</v>
      </c>
      <c r="CN19" s="304"/>
      <c r="CO19" s="304"/>
      <c r="CP19" s="304"/>
      <c r="CQ19" s="304"/>
      <c r="CR19" s="304">
        <v>1514.2</v>
      </c>
      <c r="CS19" s="304">
        <v>10929.699999999999</v>
      </c>
      <c r="CT19" s="304">
        <v>10417.310000000001</v>
      </c>
      <c r="CU19" s="304"/>
      <c r="CV19" s="304"/>
      <c r="CW19" s="304"/>
      <c r="CX19" s="304">
        <v>45</v>
      </c>
      <c r="CY19" s="304"/>
      <c r="CZ19" s="304">
        <v>8432.25</v>
      </c>
      <c r="DA19" s="304">
        <v>476</v>
      </c>
      <c r="DB19" s="304">
        <v>3019.1199999999994</v>
      </c>
      <c r="DC19" s="304"/>
      <c r="DD19" s="304"/>
      <c r="DE19" s="304"/>
      <c r="DF19" s="304">
        <v>15.02</v>
      </c>
      <c r="DG19" s="304"/>
      <c r="DH19" s="304"/>
      <c r="DI19" s="304"/>
      <c r="DJ19" s="304"/>
      <c r="DK19" s="304"/>
      <c r="DL19" s="304">
        <v>44.55</v>
      </c>
      <c r="DM19" s="304"/>
      <c r="DN19" s="304">
        <v>875.25</v>
      </c>
      <c r="DO19" s="304"/>
      <c r="DP19" s="304"/>
      <c r="DQ19" s="304"/>
      <c r="DR19" s="304"/>
      <c r="DS19" s="304"/>
      <c r="DT19" s="304">
        <v>4129</v>
      </c>
      <c r="DU19" s="304">
        <v>11175.8</v>
      </c>
      <c r="DV19" s="304">
        <v>178.22</v>
      </c>
      <c r="DW19" s="304">
        <v>1069.6500000000001</v>
      </c>
      <c r="DX19" s="304">
        <v>3459.75</v>
      </c>
      <c r="DY19" s="304">
        <v>7324.58</v>
      </c>
      <c r="DZ19" s="304">
        <v>4920</v>
      </c>
      <c r="EA19" s="304"/>
      <c r="EB19" s="304">
        <v>10849</v>
      </c>
      <c r="EC19" s="304">
        <v>150</v>
      </c>
      <c r="ED19" s="304"/>
      <c r="EE19" s="304">
        <v>1798.5</v>
      </c>
      <c r="EF19" s="426"/>
      <c r="EG19" s="304"/>
      <c r="EH19" s="304">
        <v>3174</v>
      </c>
      <c r="EI19" s="426"/>
      <c r="EJ19" s="304"/>
      <c r="EK19" s="304">
        <v>8801.58</v>
      </c>
      <c r="EL19" s="304">
        <v>12456.56</v>
      </c>
      <c r="EM19" s="304"/>
      <c r="EN19" s="304">
        <v>168.88999999999987</v>
      </c>
      <c r="EO19" s="304">
        <v>4852</v>
      </c>
      <c r="EP19" s="304"/>
      <c r="EQ19" s="304"/>
      <c r="ER19" s="304"/>
      <c r="ES19" s="304"/>
      <c r="ET19" s="304"/>
      <c r="EU19" s="304"/>
      <c r="EV19" s="304"/>
      <c r="EW19" s="304">
        <v>7045.29</v>
      </c>
      <c r="EX19" s="304">
        <v>2785.3199999999997</v>
      </c>
      <c r="EY19" s="304">
        <v>-2704.21</v>
      </c>
      <c r="EZ19" s="304">
        <v>40989.960000000006</v>
      </c>
      <c r="FA19" s="304"/>
      <c r="FB19" s="304"/>
      <c r="FC19" s="304"/>
      <c r="FD19" s="304"/>
      <c r="FE19" s="304"/>
      <c r="FF19" s="304">
        <v>-1183024.92</v>
      </c>
      <c r="FG19" s="304"/>
      <c r="FH19" s="304"/>
      <c r="FI19" s="304"/>
      <c r="FJ19" s="304">
        <v>-108155</v>
      </c>
      <c r="FK19" s="304"/>
      <c r="FL19" s="304"/>
      <c r="FM19" s="304">
        <v>-3256.93</v>
      </c>
      <c r="FN19" s="304"/>
      <c r="FO19" s="304">
        <v>-6520</v>
      </c>
      <c r="FP19" s="304"/>
      <c r="FQ19" s="304">
        <v>-16655</v>
      </c>
      <c r="FR19" s="304"/>
      <c r="FS19" s="304">
        <v>-123381.74</v>
      </c>
      <c r="FT19" s="304"/>
      <c r="FU19" s="304">
        <v>-20056.560000000001</v>
      </c>
      <c r="FV19" s="304"/>
      <c r="FW19" s="304">
        <v>-55248</v>
      </c>
      <c r="FX19" s="304">
        <v>4344.49</v>
      </c>
      <c r="FY19" s="304">
        <v>643.54999999999995</v>
      </c>
      <c r="FZ19" s="304">
        <v>-7692.34</v>
      </c>
      <c r="GA19" s="304"/>
      <c r="GB19" s="304">
        <v>-11522</v>
      </c>
      <c r="GC19" s="304"/>
      <c r="GD19" s="304">
        <v>-23813</v>
      </c>
      <c r="GE19" s="304">
        <v>1417.75</v>
      </c>
      <c r="GF19" s="304"/>
      <c r="GG19" s="304"/>
      <c r="GH19" s="304">
        <v>1679.08</v>
      </c>
      <c r="GI19" s="304"/>
      <c r="GJ19" s="304">
        <v>28948.490000000005</v>
      </c>
      <c r="GK19" s="304">
        <v>32732.9</v>
      </c>
      <c r="GL19" s="304">
        <v>194</v>
      </c>
      <c r="GM19" s="304">
        <v>8613.369999999999</v>
      </c>
      <c r="GN19" s="304">
        <v>261</v>
      </c>
      <c r="GO19" s="304">
        <v>3395.66</v>
      </c>
      <c r="GP19" s="304">
        <v>3321.66</v>
      </c>
      <c r="GQ19" s="304">
        <v>3784.3599999999997</v>
      </c>
      <c r="GR19" s="304">
        <v>530</v>
      </c>
      <c r="GS19" s="304">
        <v>1108.42</v>
      </c>
      <c r="GT19" s="304">
        <v>4052.7</v>
      </c>
      <c r="GU19" s="304"/>
      <c r="GV19" s="304"/>
      <c r="GW19" s="304"/>
      <c r="GX19" s="304"/>
      <c r="GY19" s="304"/>
      <c r="GZ19" s="304"/>
      <c r="HA19" s="304"/>
      <c r="HB19" s="304"/>
      <c r="HC19" s="304"/>
      <c r="HD19" s="304"/>
      <c r="HE19" s="304"/>
      <c r="HF19" s="304">
        <v>-38539.429999999993</v>
      </c>
      <c r="HG19" s="304">
        <v>-409.52</v>
      </c>
      <c r="HH19" s="304">
        <v>-4189.7200000000012</v>
      </c>
      <c r="HI19" s="304"/>
      <c r="HJ19" s="304"/>
      <c r="HK19" s="304">
        <v>-9565.16</v>
      </c>
      <c r="HL19" s="304"/>
      <c r="HM19" s="304"/>
      <c r="HN19" s="304"/>
      <c r="HO19" s="304"/>
      <c r="HP19" s="304">
        <v>-567</v>
      </c>
      <c r="HQ19" s="304"/>
      <c r="HR19" s="304">
        <v>-6246.65</v>
      </c>
      <c r="HS19" s="304"/>
      <c r="HT19" s="304"/>
      <c r="HU19" s="304"/>
    </row>
    <row r="20" spans="1:229">
      <c r="A20" s="116">
        <v>107578</v>
      </c>
      <c r="B20" s="304"/>
      <c r="C20" s="304">
        <v>405341.43000000005</v>
      </c>
      <c r="D20" s="304">
        <v>12919.199999999999</v>
      </c>
      <c r="E20" s="304">
        <v>3610.32</v>
      </c>
      <c r="F20" s="304">
        <v>119853.94000000002</v>
      </c>
      <c r="G20" s="304">
        <v>55699.549999999996</v>
      </c>
      <c r="H20" s="304">
        <v>19642.510000000002</v>
      </c>
      <c r="I20" s="304"/>
      <c r="J20" s="304">
        <v>2953.3100000000004</v>
      </c>
      <c r="K20" s="304">
        <v>1870.71</v>
      </c>
      <c r="L20" s="304"/>
      <c r="M20" s="304"/>
      <c r="N20" s="304"/>
      <c r="O20" s="304"/>
      <c r="P20" s="304"/>
      <c r="Q20" s="304"/>
      <c r="R20" s="304"/>
      <c r="S20" s="304"/>
      <c r="T20" s="304"/>
      <c r="U20" s="304"/>
      <c r="V20" s="304"/>
      <c r="W20" s="304"/>
      <c r="X20" s="304"/>
      <c r="Y20" s="304"/>
      <c r="Z20" s="304"/>
      <c r="AA20" s="304">
        <v>24732.340000000004</v>
      </c>
      <c r="AB20" s="304">
        <v>256.56</v>
      </c>
      <c r="AC20" s="304">
        <v>1146.0399999999997</v>
      </c>
      <c r="AD20" s="304">
        <v>6379.03</v>
      </c>
      <c r="AE20" s="304">
        <v>2488.6799999999998</v>
      </c>
      <c r="AF20" s="304">
        <v>16787.18</v>
      </c>
      <c r="AG20" s="304">
        <v>153.30000000000001</v>
      </c>
      <c r="AH20" s="304">
        <v>787.69</v>
      </c>
      <c r="AI20" s="304">
        <v>3624.9399999999996</v>
      </c>
      <c r="AJ20" s="304">
        <v>1179.7299999999998</v>
      </c>
      <c r="AK20" s="304">
        <v>4332.9000000000015</v>
      </c>
      <c r="AL20" s="304">
        <v>1143.8700000000001</v>
      </c>
      <c r="AM20" s="304">
        <v>479.74000000000007</v>
      </c>
      <c r="AN20" s="304">
        <v>146915.98000000001</v>
      </c>
      <c r="AO20" s="304">
        <v>3340.93</v>
      </c>
      <c r="AP20" s="304">
        <v>6289.86</v>
      </c>
      <c r="AQ20" s="304">
        <v>41308.869999999995</v>
      </c>
      <c r="AR20" s="304">
        <v>16111.199999999999</v>
      </c>
      <c r="AS20" s="304"/>
      <c r="AT20" s="304"/>
      <c r="AU20" s="304"/>
      <c r="AV20" s="304"/>
      <c r="AW20" s="304"/>
      <c r="AX20" s="304">
        <v>43641.260000000009</v>
      </c>
      <c r="AY20" s="304"/>
      <c r="AZ20" s="304">
        <v>2305.7600000000002</v>
      </c>
      <c r="BA20" s="304"/>
      <c r="BB20" s="304">
        <v>9894.43</v>
      </c>
      <c r="BC20" s="304">
        <v>4574.8599999999988</v>
      </c>
      <c r="BD20" s="304"/>
      <c r="BE20" s="304"/>
      <c r="BF20" s="304"/>
      <c r="BG20" s="304"/>
      <c r="BH20" s="304"/>
      <c r="BI20" s="304"/>
      <c r="BJ20" s="304"/>
      <c r="BK20" s="304"/>
      <c r="BL20" s="304"/>
      <c r="BM20" s="304"/>
      <c r="BN20" s="304">
        <v>13189.640000000001</v>
      </c>
      <c r="BO20" s="304">
        <v>220.01999999999998</v>
      </c>
      <c r="BP20" s="304">
        <v>146.55000000000001</v>
      </c>
      <c r="BQ20" s="304">
        <v>3675.47</v>
      </c>
      <c r="BR20" s="304">
        <v>674.49</v>
      </c>
      <c r="BS20" s="304">
        <v>353.18</v>
      </c>
      <c r="BT20" s="304"/>
      <c r="BU20" s="304"/>
      <c r="BV20" s="304"/>
      <c r="BW20" s="304"/>
      <c r="BX20" s="304"/>
      <c r="BY20" s="304"/>
      <c r="BZ20" s="304"/>
      <c r="CA20" s="304"/>
      <c r="CB20" s="304"/>
      <c r="CC20" s="304"/>
      <c r="CD20" s="304"/>
      <c r="CE20" s="304">
        <v>2210.5</v>
      </c>
      <c r="CF20" s="304">
        <v>2014.39</v>
      </c>
      <c r="CG20" s="304"/>
      <c r="CH20" s="304">
        <v>91.94</v>
      </c>
      <c r="CI20" s="304">
        <v>576</v>
      </c>
      <c r="CJ20" s="304"/>
      <c r="CK20" s="304">
        <v>10047.48</v>
      </c>
      <c r="CL20" s="304">
        <v>7815.130000000001</v>
      </c>
      <c r="CM20" s="304"/>
      <c r="CN20" s="304"/>
      <c r="CO20" s="304"/>
      <c r="CP20" s="304"/>
      <c r="CQ20" s="304"/>
      <c r="CR20" s="304">
        <v>695</v>
      </c>
      <c r="CS20" s="304">
        <v>8388.74</v>
      </c>
      <c r="CT20" s="304">
        <v>6438.54</v>
      </c>
      <c r="CU20" s="304"/>
      <c r="CV20" s="304"/>
      <c r="CW20" s="304"/>
      <c r="CX20" s="304"/>
      <c r="CY20" s="304">
        <v>3567.85</v>
      </c>
      <c r="CZ20" s="304">
        <v>4172.16</v>
      </c>
      <c r="DA20" s="304"/>
      <c r="DB20" s="304">
        <v>4849.76</v>
      </c>
      <c r="DC20" s="304">
        <v>828.33999999999992</v>
      </c>
      <c r="DD20" s="304"/>
      <c r="DE20" s="304"/>
      <c r="DF20" s="304"/>
      <c r="DG20" s="304"/>
      <c r="DH20" s="304"/>
      <c r="DI20" s="304"/>
      <c r="DJ20" s="304"/>
      <c r="DK20" s="304">
        <v>0</v>
      </c>
      <c r="DL20" s="304">
        <v>206.14</v>
      </c>
      <c r="DM20" s="304"/>
      <c r="DN20" s="304">
        <v>554.07999999999993</v>
      </c>
      <c r="DO20" s="304"/>
      <c r="DP20" s="304"/>
      <c r="DQ20" s="304"/>
      <c r="DR20" s="304"/>
      <c r="DS20" s="304">
        <v>1442.29</v>
      </c>
      <c r="DT20" s="304"/>
      <c r="DU20" s="304">
        <v>16837.12</v>
      </c>
      <c r="DV20" s="304">
        <v>149.81</v>
      </c>
      <c r="DW20" s="304"/>
      <c r="DX20" s="304">
        <v>2827.4799999999996</v>
      </c>
      <c r="DY20" s="304">
        <v>2528.7499999999995</v>
      </c>
      <c r="DZ20" s="304">
        <v>4164.6499999999996</v>
      </c>
      <c r="EA20" s="304"/>
      <c r="EB20" s="304">
        <v>8692.67</v>
      </c>
      <c r="EC20" s="304"/>
      <c r="ED20" s="304">
        <v>27.160000000000004</v>
      </c>
      <c r="EE20" s="304">
        <v>1719.2599999999998</v>
      </c>
      <c r="EF20" s="426"/>
      <c r="EG20" s="304"/>
      <c r="EH20" s="304">
        <v>2120.0300000000002</v>
      </c>
      <c r="EI20" s="426">
        <v>501</v>
      </c>
      <c r="EJ20" s="304"/>
      <c r="EK20" s="304">
        <v>3874.78</v>
      </c>
      <c r="EL20" s="304">
        <v>1957.1</v>
      </c>
      <c r="EM20" s="304">
        <v>274</v>
      </c>
      <c r="EN20" s="304"/>
      <c r="EO20" s="304">
        <v>2467.84</v>
      </c>
      <c r="EP20" s="304"/>
      <c r="EQ20" s="304"/>
      <c r="ER20" s="304"/>
      <c r="ES20" s="304"/>
      <c r="ET20" s="304"/>
      <c r="EU20" s="304"/>
      <c r="EV20" s="304">
        <v>4705.66</v>
      </c>
      <c r="EW20" s="304">
        <v>6243.93</v>
      </c>
      <c r="EX20" s="304">
        <v>295</v>
      </c>
      <c r="EY20" s="304">
        <v>871.27999999999975</v>
      </c>
      <c r="EZ20" s="304">
        <v>28690.5</v>
      </c>
      <c r="FA20" s="304"/>
      <c r="FB20" s="304"/>
      <c r="FC20" s="304"/>
      <c r="FD20" s="304"/>
      <c r="FE20" s="304"/>
      <c r="FF20" s="304">
        <v>-959192.56</v>
      </c>
      <c r="FG20" s="304"/>
      <c r="FH20" s="304">
        <v>-2088</v>
      </c>
      <c r="FI20" s="304">
        <v>-500</v>
      </c>
      <c r="FJ20" s="304">
        <v>-33585</v>
      </c>
      <c r="FK20" s="304"/>
      <c r="FL20" s="304"/>
      <c r="FM20" s="304">
        <v>-571.29</v>
      </c>
      <c r="FN20" s="304"/>
      <c r="FO20" s="304"/>
      <c r="FP20" s="304">
        <v>-19809</v>
      </c>
      <c r="FQ20" s="304">
        <v>-16194</v>
      </c>
      <c r="FR20" s="304"/>
      <c r="FS20" s="304">
        <v>-8833.23</v>
      </c>
      <c r="FT20" s="304"/>
      <c r="FU20" s="304">
        <v>0</v>
      </c>
      <c r="FV20" s="304"/>
      <c r="FW20" s="304">
        <v>-35633</v>
      </c>
      <c r="FX20" s="304">
        <v>3850.33</v>
      </c>
      <c r="FY20" s="304">
        <v>570.35</v>
      </c>
      <c r="FZ20" s="304">
        <v>-11039.96</v>
      </c>
      <c r="GA20" s="304"/>
      <c r="GB20" s="304">
        <v>-8831</v>
      </c>
      <c r="GC20" s="304"/>
      <c r="GD20" s="304">
        <v>-18079</v>
      </c>
      <c r="GE20" s="304">
        <v>1989</v>
      </c>
      <c r="GF20" s="304"/>
      <c r="GG20" s="304"/>
      <c r="GH20" s="304">
        <v>1551.4</v>
      </c>
      <c r="GI20" s="304">
        <v>50.04</v>
      </c>
      <c r="GJ20" s="304"/>
      <c r="GK20" s="304">
        <v>28332.35</v>
      </c>
      <c r="GL20" s="304">
        <v>6193.45</v>
      </c>
      <c r="GM20" s="304">
        <v>5017.8200000000024</v>
      </c>
      <c r="GN20" s="304">
        <v>261</v>
      </c>
      <c r="GO20" s="304">
        <v>3739.5</v>
      </c>
      <c r="GP20" s="304">
        <v>2788.06</v>
      </c>
      <c r="GQ20" s="304">
        <v>1963.5</v>
      </c>
      <c r="GR20" s="304">
        <v>560</v>
      </c>
      <c r="GS20" s="304">
        <v>1055.1400000000001</v>
      </c>
      <c r="GT20" s="304">
        <v>2720.3399999999997</v>
      </c>
      <c r="GU20" s="304"/>
      <c r="GV20" s="304">
        <v>280</v>
      </c>
      <c r="GW20" s="304"/>
      <c r="GX20" s="304"/>
      <c r="GY20" s="304"/>
      <c r="GZ20" s="304"/>
      <c r="HA20" s="304"/>
      <c r="HB20" s="304"/>
      <c r="HC20" s="304">
        <v>-750</v>
      </c>
      <c r="HD20" s="304"/>
      <c r="HE20" s="304">
        <v>-6493.72</v>
      </c>
      <c r="HF20" s="304">
        <v>-17282.399999999998</v>
      </c>
      <c r="HG20" s="304"/>
      <c r="HH20" s="304"/>
      <c r="HI20" s="304"/>
      <c r="HJ20" s="304">
        <v>-3300</v>
      </c>
      <c r="HK20" s="304">
        <v>-2186.7800000000002</v>
      </c>
      <c r="HL20" s="304"/>
      <c r="HM20" s="304"/>
      <c r="HN20" s="304">
        <v>-31359.759999999987</v>
      </c>
      <c r="HO20" s="304"/>
      <c r="HP20" s="304">
        <v>-5354.05</v>
      </c>
      <c r="HQ20" s="304"/>
      <c r="HR20" s="304">
        <v>-1176.08</v>
      </c>
      <c r="HS20" s="304"/>
      <c r="HT20" s="304"/>
      <c r="HU20" s="304"/>
    </row>
    <row r="21" spans="1:229">
      <c r="A21" s="116">
        <v>107579</v>
      </c>
      <c r="B21" s="304"/>
      <c r="C21" s="304">
        <v>469250.93999999994</v>
      </c>
      <c r="D21" s="304">
        <v>3379.62</v>
      </c>
      <c r="E21" s="304"/>
      <c r="F21" s="304">
        <v>129319.5</v>
      </c>
      <c r="G21" s="304">
        <v>63187.660000000011</v>
      </c>
      <c r="H21" s="304">
        <v>2720.23</v>
      </c>
      <c r="I21" s="304"/>
      <c r="J21" s="304">
        <v>490.80000000000007</v>
      </c>
      <c r="K21" s="304">
        <v>159.69999999999999</v>
      </c>
      <c r="L21" s="304"/>
      <c r="M21" s="304"/>
      <c r="N21" s="304"/>
      <c r="O21" s="304"/>
      <c r="P21" s="304"/>
      <c r="Q21" s="304"/>
      <c r="R21" s="304"/>
      <c r="S21" s="304"/>
      <c r="T21" s="304"/>
      <c r="U21" s="304"/>
      <c r="V21" s="304"/>
      <c r="W21" s="304"/>
      <c r="X21" s="304"/>
      <c r="Y21" s="304"/>
      <c r="Z21" s="304"/>
      <c r="AA21" s="304">
        <v>8085.3499999999995</v>
      </c>
      <c r="AB21" s="304">
        <v>40.489999999999995</v>
      </c>
      <c r="AC21" s="304">
        <v>57.24</v>
      </c>
      <c r="AD21" s="304">
        <v>2149.65</v>
      </c>
      <c r="AE21" s="304">
        <v>294.46999999999997</v>
      </c>
      <c r="AF21" s="304">
        <v>18545.479999999996</v>
      </c>
      <c r="AG21" s="304">
        <v>506.53000000000003</v>
      </c>
      <c r="AH21" s="304">
        <v>350.38</v>
      </c>
      <c r="AI21" s="304">
        <v>5121.6099999999997</v>
      </c>
      <c r="AJ21" s="304">
        <v>1754.94</v>
      </c>
      <c r="AK21" s="304"/>
      <c r="AL21" s="304"/>
      <c r="AM21" s="304"/>
      <c r="AN21" s="304">
        <v>179630.22</v>
      </c>
      <c r="AO21" s="304">
        <v>4574.2900000000009</v>
      </c>
      <c r="AP21" s="304">
        <v>1420.0199999999998</v>
      </c>
      <c r="AQ21" s="304">
        <v>49307.19999999999</v>
      </c>
      <c r="AR21" s="304">
        <v>17572.61</v>
      </c>
      <c r="AS21" s="304"/>
      <c r="AT21" s="304"/>
      <c r="AU21" s="304"/>
      <c r="AV21" s="304"/>
      <c r="AW21" s="304"/>
      <c r="AX21" s="304">
        <v>64019.319999999992</v>
      </c>
      <c r="AY21" s="304">
        <v>111.88</v>
      </c>
      <c r="AZ21" s="304">
        <v>56.59</v>
      </c>
      <c r="BA21" s="304"/>
      <c r="BB21" s="304">
        <v>16553.240000000002</v>
      </c>
      <c r="BC21" s="304">
        <v>7384.02</v>
      </c>
      <c r="BD21" s="304"/>
      <c r="BE21" s="304"/>
      <c r="BF21" s="304"/>
      <c r="BG21" s="304"/>
      <c r="BH21" s="304"/>
      <c r="BI21" s="304"/>
      <c r="BJ21" s="304"/>
      <c r="BK21" s="304"/>
      <c r="BL21" s="304"/>
      <c r="BM21" s="304"/>
      <c r="BN21" s="304">
        <v>19382.699999999997</v>
      </c>
      <c r="BO21" s="304">
        <v>1339.46</v>
      </c>
      <c r="BP21" s="304">
        <v>739.06</v>
      </c>
      <c r="BQ21" s="304">
        <v>3973.7799999999997</v>
      </c>
      <c r="BR21" s="304">
        <v>1689.42</v>
      </c>
      <c r="BS21" s="304"/>
      <c r="BT21" s="304"/>
      <c r="BU21" s="304"/>
      <c r="BV21" s="304"/>
      <c r="BW21" s="304"/>
      <c r="BX21" s="304"/>
      <c r="BY21" s="304"/>
      <c r="BZ21" s="304"/>
      <c r="CA21" s="304"/>
      <c r="CB21" s="304"/>
      <c r="CC21" s="304"/>
      <c r="CD21" s="304"/>
      <c r="CE21" s="304">
        <v>5568.75</v>
      </c>
      <c r="CF21" s="304">
        <v>2512.5699999999997</v>
      </c>
      <c r="CG21" s="304"/>
      <c r="CH21" s="304"/>
      <c r="CI21" s="304"/>
      <c r="CJ21" s="304"/>
      <c r="CK21" s="304">
        <v>15105.279999999999</v>
      </c>
      <c r="CL21" s="304"/>
      <c r="CM21" s="304">
        <v>5924</v>
      </c>
      <c r="CN21" s="304"/>
      <c r="CO21" s="304"/>
      <c r="CP21" s="304"/>
      <c r="CQ21" s="304">
        <v>3773.75</v>
      </c>
      <c r="CR21" s="304"/>
      <c r="CS21" s="304">
        <v>9055.369999999999</v>
      </c>
      <c r="CT21" s="304">
        <v>6478.13</v>
      </c>
      <c r="CU21" s="304"/>
      <c r="CV21" s="304"/>
      <c r="CW21" s="304"/>
      <c r="CX21" s="304"/>
      <c r="CY21" s="304">
        <v>18213.5</v>
      </c>
      <c r="CZ21" s="304">
        <v>5060.3200000000006</v>
      </c>
      <c r="DA21" s="304">
        <v>100</v>
      </c>
      <c r="DB21" s="304">
        <v>2742.1500000000005</v>
      </c>
      <c r="DC21" s="304">
        <v>1145.6299999999999</v>
      </c>
      <c r="DD21" s="304"/>
      <c r="DE21" s="304"/>
      <c r="DF21" s="304"/>
      <c r="DG21" s="304"/>
      <c r="DH21" s="304">
        <v>1165</v>
      </c>
      <c r="DI21" s="304"/>
      <c r="DJ21" s="304"/>
      <c r="DK21" s="304"/>
      <c r="DL21" s="304">
        <v>14.9</v>
      </c>
      <c r="DM21" s="304"/>
      <c r="DN21" s="304">
        <v>9695.18</v>
      </c>
      <c r="DO21" s="304"/>
      <c r="DP21" s="304"/>
      <c r="DQ21" s="304"/>
      <c r="DR21" s="304"/>
      <c r="DS21" s="304"/>
      <c r="DT21" s="304">
        <v>3909</v>
      </c>
      <c r="DU21" s="304">
        <v>29889.610000000015</v>
      </c>
      <c r="DV21" s="304">
        <v>169.73999999999998</v>
      </c>
      <c r="DW21" s="304"/>
      <c r="DX21" s="304">
        <v>1213.0899999999999</v>
      </c>
      <c r="DY21" s="304">
        <v>8804.84</v>
      </c>
      <c r="DZ21" s="304"/>
      <c r="EA21" s="304"/>
      <c r="EB21" s="304">
        <v>37944.800000000003</v>
      </c>
      <c r="EC21" s="304"/>
      <c r="ED21" s="304">
        <v>24.8</v>
      </c>
      <c r="EE21" s="304">
        <v>536.6</v>
      </c>
      <c r="EF21" s="426"/>
      <c r="EG21" s="304"/>
      <c r="EH21" s="304">
        <v>11760.810000000001</v>
      </c>
      <c r="EI21" s="426"/>
      <c r="EJ21" s="304"/>
      <c r="EK21" s="304">
        <v>1593.43</v>
      </c>
      <c r="EL21" s="304">
        <v>1141.5900000000001</v>
      </c>
      <c r="EM21" s="304">
        <v>3130.61</v>
      </c>
      <c r="EN21" s="304"/>
      <c r="EO21" s="304"/>
      <c r="EP21" s="304"/>
      <c r="EQ21" s="304"/>
      <c r="ER21" s="304"/>
      <c r="ES21" s="304"/>
      <c r="ET21" s="304"/>
      <c r="EU21" s="304"/>
      <c r="EV21" s="304">
        <v>322.61</v>
      </c>
      <c r="EW21" s="304">
        <v>7045.29</v>
      </c>
      <c r="EX21" s="304">
        <v>13534.21</v>
      </c>
      <c r="EY21" s="304">
        <v>2416.2100000000009</v>
      </c>
      <c r="EZ21" s="304">
        <v>14642.720000000001</v>
      </c>
      <c r="FA21" s="304"/>
      <c r="FB21" s="304"/>
      <c r="FC21" s="304"/>
      <c r="FD21" s="304"/>
      <c r="FE21" s="304">
        <v>8.25</v>
      </c>
      <c r="FF21" s="304">
        <v>-1148314.54</v>
      </c>
      <c r="FG21" s="304"/>
      <c r="FH21" s="304"/>
      <c r="FI21" s="304"/>
      <c r="FJ21" s="304">
        <v>-71847.8</v>
      </c>
      <c r="FK21" s="304"/>
      <c r="FL21" s="304"/>
      <c r="FM21" s="304">
        <v>-285.64</v>
      </c>
      <c r="FN21" s="304"/>
      <c r="FO21" s="304">
        <v>-6373.75</v>
      </c>
      <c r="FP21" s="304">
        <v>-34532</v>
      </c>
      <c r="FQ21" s="304">
        <v>-16326</v>
      </c>
      <c r="FR21" s="304"/>
      <c r="FS21" s="304">
        <v>-259167.98</v>
      </c>
      <c r="FT21" s="304"/>
      <c r="FU21" s="304"/>
      <c r="FV21" s="304"/>
      <c r="FW21" s="304">
        <v>-75585</v>
      </c>
      <c r="FX21" s="304">
        <v>4344.49</v>
      </c>
      <c r="FY21" s="304">
        <v>643.54999999999995</v>
      </c>
      <c r="FZ21" s="304">
        <v>-21125.17</v>
      </c>
      <c r="GA21" s="304"/>
      <c r="GB21" s="304">
        <v>-10606</v>
      </c>
      <c r="GC21" s="304"/>
      <c r="GD21" s="304">
        <v>-21850</v>
      </c>
      <c r="GE21" s="304">
        <v>1503.75</v>
      </c>
      <c r="GF21" s="304"/>
      <c r="GG21" s="304"/>
      <c r="GH21" s="304">
        <v>1633.48</v>
      </c>
      <c r="GI21" s="304">
        <v>5433.16</v>
      </c>
      <c r="GJ21" s="304">
        <v>17710.829999999994</v>
      </c>
      <c r="GK21" s="304">
        <v>55310.8</v>
      </c>
      <c r="GL21" s="304">
        <v>2977</v>
      </c>
      <c r="GM21" s="304">
        <v>8128.2400000000043</v>
      </c>
      <c r="GN21" s="304">
        <v>261</v>
      </c>
      <c r="GO21" s="304">
        <v>4103.66</v>
      </c>
      <c r="GP21" s="304">
        <v>3355.0099999999998</v>
      </c>
      <c r="GQ21" s="304">
        <v>6490.5</v>
      </c>
      <c r="GR21" s="304">
        <v>1075</v>
      </c>
      <c r="GS21" s="304">
        <v>1108.42</v>
      </c>
      <c r="GT21" s="304">
        <v>2438.5099999999998</v>
      </c>
      <c r="GU21" s="304"/>
      <c r="GV21" s="304"/>
      <c r="GW21" s="304">
        <v>3773.75</v>
      </c>
      <c r="GX21" s="304">
        <v>-3773.75</v>
      </c>
      <c r="GY21" s="304"/>
      <c r="GZ21" s="304"/>
      <c r="HA21" s="304"/>
      <c r="HB21" s="304"/>
      <c r="HC21" s="304"/>
      <c r="HD21" s="304"/>
      <c r="HE21" s="304">
        <v>-10377.41</v>
      </c>
      <c r="HF21" s="304">
        <v>-12158.030000000006</v>
      </c>
      <c r="HG21" s="304"/>
      <c r="HH21" s="304">
        <v>-408.5</v>
      </c>
      <c r="HI21" s="304"/>
      <c r="HJ21" s="304"/>
      <c r="HK21" s="304">
        <v>-2150.21</v>
      </c>
      <c r="HL21" s="304">
        <v>0</v>
      </c>
      <c r="HM21" s="304">
        <v>-13584</v>
      </c>
      <c r="HN21" s="304">
        <v>-16160.390000000005</v>
      </c>
      <c r="HO21" s="304"/>
      <c r="HP21" s="304">
        <v>-900</v>
      </c>
      <c r="HQ21" s="304"/>
      <c r="HR21" s="304">
        <v>-12313.11</v>
      </c>
      <c r="HS21" s="304"/>
      <c r="HT21" s="304"/>
      <c r="HU21" s="304"/>
    </row>
    <row r="22" spans="1:229">
      <c r="A22" s="116">
        <v>107580</v>
      </c>
      <c r="B22" s="304"/>
      <c r="C22" s="304">
        <v>499761.88</v>
      </c>
      <c r="D22" s="304">
        <v>505.28</v>
      </c>
      <c r="E22" s="304">
        <v>5378</v>
      </c>
      <c r="F22" s="304">
        <v>146149.51</v>
      </c>
      <c r="G22" s="304">
        <v>65826.849999999991</v>
      </c>
      <c r="H22" s="304">
        <v>14919.809999999998</v>
      </c>
      <c r="I22" s="304"/>
      <c r="J22" s="304">
        <v>4047.4500000000003</v>
      </c>
      <c r="K22" s="304">
        <v>1570.2700000000002</v>
      </c>
      <c r="L22" s="304"/>
      <c r="M22" s="304"/>
      <c r="N22" s="304"/>
      <c r="O22" s="304"/>
      <c r="P22" s="304"/>
      <c r="Q22" s="304"/>
      <c r="R22" s="304"/>
      <c r="S22" s="304"/>
      <c r="T22" s="304"/>
      <c r="U22" s="304"/>
      <c r="V22" s="304"/>
      <c r="W22" s="304"/>
      <c r="X22" s="304"/>
      <c r="Y22" s="304"/>
      <c r="Z22" s="304"/>
      <c r="AA22" s="304">
        <v>30058.720000000001</v>
      </c>
      <c r="AB22" s="304"/>
      <c r="AC22" s="304">
        <v>2503.4700000000003</v>
      </c>
      <c r="AD22" s="304">
        <v>8408.36</v>
      </c>
      <c r="AE22" s="304">
        <v>2442.34</v>
      </c>
      <c r="AF22" s="304">
        <v>37313.869999999995</v>
      </c>
      <c r="AG22" s="304">
        <v>2369.3700000000003</v>
      </c>
      <c r="AH22" s="304">
        <v>2245.8799999999997</v>
      </c>
      <c r="AI22" s="304">
        <v>11220.43</v>
      </c>
      <c r="AJ22" s="304">
        <v>1894.7999999999997</v>
      </c>
      <c r="AK22" s="304"/>
      <c r="AL22" s="304"/>
      <c r="AM22" s="304"/>
      <c r="AN22" s="304">
        <v>262782.83999999997</v>
      </c>
      <c r="AO22" s="304">
        <v>53.55</v>
      </c>
      <c r="AP22" s="304">
        <v>4527.0999999999995</v>
      </c>
      <c r="AQ22" s="304">
        <v>69612.12000000001</v>
      </c>
      <c r="AR22" s="304">
        <v>26829.980000000003</v>
      </c>
      <c r="AS22" s="304"/>
      <c r="AT22" s="304"/>
      <c r="AU22" s="304"/>
      <c r="AV22" s="304"/>
      <c r="AW22" s="304"/>
      <c r="AX22" s="304">
        <v>49280.3</v>
      </c>
      <c r="AY22" s="304"/>
      <c r="AZ22" s="304"/>
      <c r="BA22" s="304"/>
      <c r="BB22" s="304">
        <v>13009.820000000003</v>
      </c>
      <c r="BC22" s="304">
        <v>5789.9099999999989</v>
      </c>
      <c r="BD22" s="304"/>
      <c r="BE22" s="304"/>
      <c r="BF22" s="304"/>
      <c r="BG22" s="304"/>
      <c r="BH22" s="304"/>
      <c r="BI22" s="304"/>
      <c r="BJ22" s="304"/>
      <c r="BK22" s="304"/>
      <c r="BL22" s="304"/>
      <c r="BM22" s="304"/>
      <c r="BN22" s="304">
        <v>22397.74</v>
      </c>
      <c r="BO22" s="304">
        <v>141.16999999999999</v>
      </c>
      <c r="BP22" s="304">
        <v>150.72</v>
      </c>
      <c r="BQ22" s="304">
        <v>5948.8499999999995</v>
      </c>
      <c r="BR22" s="304">
        <v>854.07</v>
      </c>
      <c r="BS22" s="304">
        <v>0</v>
      </c>
      <c r="BT22" s="304"/>
      <c r="BU22" s="304"/>
      <c r="BV22" s="304"/>
      <c r="BW22" s="304"/>
      <c r="BX22" s="304"/>
      <c r="BY22" s="304">
        <v>25</v>
      </c>
      <c r="BZ22" s="304"/>
      <c r="CA22" s="304">
        <v>815.7</v>
      </c>
      <c r="CB22" s="304"/>
      <c r="CC22" s="304"/>
      <c r="CD22" s="304"/>
      <c r="CE22" s="304">
        <v>3340.0299999999997</v>
      </c>
      <c r="CF22" s="304">
        <v>2326.579999999999</v>
      </c>
      <c r="CG22" s="304"/>
      <c r="CH22" s="304"/>
      <c r="CI22" s="304"/>
      <c r="CJ22" s="304"/>
      <c r="CK22" s="304">
        <v>7752.17</v>
      </c>
      <c r="CL22" s="304">
        <v>5810.5299999999988</v>
      </c>
      <c r="CM22" s="304"/>
      <c r="CN22" s="304"/>
      <c r="CO22" s="304"/>
      <c r="CP22" s="304"/>
      <c r="CQ22" s="304"/>
      <c r="CR22" s="304">
        <v>1145.01</v>
      </c>
      <c r="CS22" s="304">
        <v>9071.06</v>
      </c>
      <c r="CT22" s="304">
        <v>6198.82</v>
      </c>
      <c r="CU22" s="304"/>
      <c r="CV22" s="304"/>
      <c r="CW22" s="304"/>
      <c r="CX22" s="304"/>
      <c r="CY22" s="304">
        <v>15206</v>
      </c>
      <c r="CZ22" s="304"/>
      <c r="DA22" s="304">
        <v>120</v>
      </c>
      <c r="DB22" s="304">
        <v>2478.4999999999995</v>
      </c>
      <c r="DC22" s="304"/>
      <c r="DD22" s="304"/>
      <c r="DE22" s="304"/>
      <c r="DF22" s="304"/>
      <c r="DG22" s="304"/>
      <c r="DH22" s="304"/>
      <c r="DI22" s="304"/>
      <c r="DJ22" s="304"/>
      <c r="DK22" s="304">
        <v>0</v>
      </c>
      <c r="DL22" s="304">
        <v>563.89999999999986</v>
      </c>
      <c r="DM22" s="304"/>
      <c r="DN22" s="304">
        <v>496.81</v>
      </c>
      <c r="DO22" s="304"/>
      <c r="DP22" s="304"/>
      <c r="DQ22" s="304"/>
      <c r="DR22" s="304"/>
      <c r="DS22" s="304">
        <v>3266.8900000000003</v>
      </c>
      <c r="DT22" s="304">
        <v>4613</v>
      </c>
      <c r="DU22" s="304">
        <v>42884.639999999999</v>
      </c>
      <c r="DV22" s="304">
        <v>444.41000000000008</v>
      </c>
      <c r="DW22" s="304"/>
      <c r="DX22" s="304">
        <v>6141.2</v>
      </c>
      <c r="DY22" s="304"/>
      <c r="DZ22" s="304">
        <v>3954.49</v>
      </c>
      <c r="EA22" s="304"/>
      <c r="EB22" s="304">
        <v>26971.769999999997</v>
      </c>
      <c r="EC22" s="304"/>
      <c r="ED22" s="304">
        <v>5.05</v>
      </c>
      <c r="EE22" s="304">
        <v>970.75</v>
      </c>
      <c r="EF22" s="426"/>
      <c r="EG22" s="304"/>
      <c r="EH22" s="304">
        <v>3570.09</v>
      </c>
      <c r="EI22" s="426"/>
      <c r="EJ22" s="304"/>
      <c r="EK22" s="304">
        <v>3395.71</v>
      </c>
      <c r="EL22" s="304">
        <v>5475.8600000000006</v>
      </c>
      <c r="EM22" s="304">
        <v>503</v>
      </c>
      <c r="EN22" s="304"/>
      <c r="EO22" s="304">
        <v>4500</v>
      </c>
      <c r="EP22" s="304"/>
      <c r="EQ22" s="304"/>
      <c r="ER22" s="304"/>
      <c r="ES22" s="304"/>
      <c r="ET22" s="304"/>
      <c r="EU22" s="304"/>
      <c r="EV22" s="304">
        <v>7832.3</v>
      </c>
      <c r="EW22" s="304">
        <v>6911.73</v>
      </c>
      <c r="EX22" s="304"/>
      <c r="EY22" s="304">
        <v>1539.9700000000003</v>
      </c>
      <c r="EZ22" s="304">
        <v>32987.42</v>
      </c>
      <c r="FA22" s="304"/>
      <c r="FB22" s="304"/>
      <c r="FC22" s="304"/>
      <c r="FD22" s="304"/>
      <c r="FE22" s="304"/>
      <c r="FF22" s="304">
        <v>-1130591.72</v>
      </c>
      <c r="FG22" s="304"/>
      <c r="FH22" s="304">
        <v>-2188</v>
      </c>
      <c r="FI22" s="304"/>
      <c r="FJ22" s="304">
        <v>-86845</v>
      </c>
      <c r="FK22" s="304"/>
      <c r="FL22" s="304"/>
      <c r="FM22" s="304">
        <v>-5371.29</v>
      </c>
      <c r="FN22" s="304"/>
      <c r="FO22" s="304">
        <v>-6362.5</v>
      </c>
      <c r="FP22" s="304">
        <v>-42164</v>
      </c>
      <c r="FQ22" s="304">
        <v>-16307</v>
      </c>
      <c r="FR22" s="304"/>
      <c r="FS22" s="304">
        <v>-103870.88</v>
      </c>
      <c r="FT22" s="304"/>
      <c r="FU22" s="304">
        <v>6000</v>
      </c>
      <c r="FV22" s="304"/>
      <c r="FW22" s="304">
        <v>-189400</v>
      </c>
      <c r="FX22" s="304">
        <v>4262.13</v>
      </c>
      <c r="FY22" s="304">
        <v>631.35</v>
      </c>
      <c r="FZ22" s="304">
        <v>-18646.72</v>
      </c>
      <c r="GA22" s="304"/>
      <c r="GB22" s="304">
        <v>-11056</v>
      </c>
      <c r="GC22" s="304"/>
      <c r="GD22" s="304">
        <v>-22819</v>
      </c>
      <c r="GE22" s="304">
        <v>206</v>
      </c>
      <c r="GF22" s="304"/>
      <c r="GG22" s="304"/>
      <c r="GH22" s="304">
        <v>1624.36</v>
      </c>
      <c r="GI22" s="304">
        <v>495.11999999999995</v>
      </c>
      <c r="GJ22" s="304">
        <v>507</v>
      </c>
      <c r="GK22" s="304">
        <v>72116.69</v>
      </c>
      <c r="GL22" s="304">
        <v>3178.33</v>
      </c>
      <c r="GM22" s="304">
        <v>6252.4000000000024</v>
      </c>
      <c r="GN22" s="304">
        <v>261</v>
      </c>
      <c r="GO22" s="304">
        <v>4538.3</v>
      </c>
      <c r="GP22" s="304">
        <v>4528.93</v>
      </c>
      <c r="GQ22" s="304">
        <v>2173.5</v>
      </c>
      <c r="GR22" s="304">
        <v>560</v>
      </c>
      <c r="GS22" s="304">
        <v>1099.54</v>
      </c>
      <c r="GT22" s="304">
        <v>1377.1699999999998</v>
      </c>
      <c r="GU22" s="304"/>
      <c r="GV22" s="304"/>
      <c r="GW22" s="304"/>
      <c r="GX22" s="304"/>
      <c r="GY22" s="304"/>
      <c r="GZ22" s="304"/>
      <c r="HA22" s="304"/>
      <c r="HB22" s="304"/>
      <c r="HC22" s="304"/>
      <c r="HD22" s="304"/>
      <c r="HE22" s="304">
        <v>-8349.27</v>
      </c>
      <c r="HF22" s="304">
        <v>-12248.579999999998</v>
      </c>
      <c r="HG22" s="304"/>
      <c r="HH22" s="304">
        <v>-2801.4600000000009</v>
      </c>
      <c r="HI22" s="304"/>
      <c r="HJ22" s="304">
        <v>-1763.5</v>
      </c>
      <c r="HK22" s="304">
        <v>83.54</v>
      </c>
      <c r="HL22" s="304">
        <v>-4950</v>
      </c>
      <c r="HM22" s="304">
        <v>-2376</v>
      </c>
      <c r="HN22" s="304">
        <v>-40952.750000000007</v>
      </c>
      <c r="HO22" s="304"/>
      <c r="HP22" s="304"/>
      <c r="HQ22" s="304">
        <v>0</v>
      </c>
      <c r="HR22" s="304">
        <v>-8884.68</v>
      </c>
      <c r="HS22" s="304"/>
      <c r="HT22" s="304"/>
      <c r="HU22" s="304"/>
    </row>
    <row r="23" spans="1:229">
      <c r="A23" s="116">
        <v>107582</v>
      </c>
      <c r="B23" s="304"/>
      <c r="C23" s="304">
        <v>433894.51999999996</v>
      </c>
      <c r="D23" s="304">
        <v>13663.31</v>
      </c>
      <c r="E23" s="304">
        <v>18329.910000000007</v>
      </c>
      <c r="F23" s="304">
        <v>124742.28000000001</v>
      </c>
      <c r="G23" s="304">
        <v>59568.529999999992</v>
      </c>
      <c r="H23" s="304">
        <v>8171.9</v>
      </c>
      <c r="I23" s="304"/>
      <c r="J23" s="304">
        <v>2323.1400000000003</v>
      </c>
      <c r="K23" s="304">
        <v>669.17</v>
      </c>
      <c r="L23" s="304"/>
      <c r="M23" s="304"/>
      <c r="N23" s="304"/>
      <c r="O23" s="304"/>
      <c r="P23" s="304"/>
      <c r="Q23" s="304"/>
      <c r="R23" s="304"/>
      <c r="S23" s="304"/>
      <c r="T23" s="304"/>
      <c r="U23" s="304"/>
      <c r="V23" s="304"/>
      <c r="W23" s="304"/>
      <c r="X23" s="304"/>
      <c r="Y23" s="304"/>
      <c r="Z23" s="304"/>
      <c r="AA23" s="304"/>
      <c r="AB23" s="304"/>
      <c r="AC23" s="304"/>
      <c r="AD23" s="304"/>
      <c r="AE23" s="304"/>
      <c r="AF23" s="304">
        <v>27489.530000000002</v>
      </c>
      <c r="AG23" s="304">
        <v>1991.56</v>
      </c>
      <c r="AH23" s="304">
        <v>129.29</v>
      </c>
      <c r="AI23" s="304">
        <v>7816.7300000000014</v>
      </c>
      <c r="AJ23" s="304">
        <v>89.26</v>
      </c>
      <c r="AK23" s="304"/>
      <c r="AL23" s="304"/>
      <c r="AM23" s="304"/>
      <c r="AN23" s="304">
        <v>168203.63000000003</v>
      </c>
      <c r="AO23" s="304">
        <v>2190.37</v>
      </c>
      <c r="AP23" s="304">
        <v>6126.56</v>
      </c>
      <c r="AQ23" s="304">
        <v>45914.17</v>
      </c>
      <c r="AR23" s="304">
        <v>18276.75</v>
      </c>
      <c r="AS23" s="304"/>
      <c r="AT23" s="304"/>
      <c r="AU23" s="304"/>
      <c r="AV23" s="304"/>
      <c r="AW23" s="304"/>
      <c r="AX23" s="304">
        <v>41269.39</v>
      </c>
      <c r="AY23" s="304">
        <v>564.13</v>
      </c>
      <c r="AZ23" s="304">
        <v>710.12</v>
      </c>
      <c r="BA23" s="304"/>
      <c r="BB23" s="304">
        <v>12089.259999999998</v>
      </c>
      <c r="BC23" s="304">
        <v>4616.1500000000005</v>
      </c>
      <c r="BD23" s="304"/>
      <c r="BE23" s="304"/>
      <c r="BF23" s="304"/>
      <c r="BG23" s="304"/>
      <c r="BH23" s="304"/>
      <c r="BI23" s="304"/>
      <c r="BJ23" s="304"/>
      <c r="BK23" s="304"/>
      <c r="BL23" s="304"/>
      <c r="BM23" s="304"/>
      <c r="BN23" s="304">
        <v>15989.099999999999</v>
      </c>
      <c r="BO23" s="304">
        <v>99.740000000000009</v>
      </c>
      <c r="BP23" s="304">
        <v>1250.3000000000002</v>
      </c>
      <c r="BQ23" s="304">
        <v>4577.46</v>
      </c>
      <c r="BR23" s="304">
        <v>1474.98</v>
      </c>
      <c r="BS23" s="304"/>
      <c r="BT23" s="304"/>
      <c r="BU23" s="304"/>
      <c r="BV23" s="304"/>
      <c r="BW23" s="304"/>
      <c r="BX23" s="304"/>
      <c r="BY23" s="304"/>
      <c r="BZ23" s="304"/>
      <c r="CA23" s="304"/>
      <c r="CB23" s="304"/>
      <c r="CC23" s="304"/>
      <c r="CD23" s="304"/>
      <c r="CE23" s="304">
        <v>5304.83</v>
      </c>
      <c r="CF23" s="304"/>
      <c r="CG23" s="304"/>
      <c r="CH23" s="304"/>
      <c r="CI23" s="304">
        <v>7280.25</v>
      </c>
      <c r="CJ23" s="304"/>
      <c r="CK23" s="304">
        <v>31850.649999999983</v>
      </c>
      <c r="CL23" s="304">
        <v>3894.1599999999994</v>
      </c>
      <c r="CM23" s="304"/>
      <c r="CN23" s="304"/>
      <c r="CO23" s="304"/>
      <c r="CP23" s="304"/>
      <c r="CQ23" s="304"/>
      <c r="CR23" s="304">
        <v>2768.06</v>
      </c>
      <c r="CS23" s="304">
        <v>6014.8099999999995</v>
      </c>
      <c r="CT23" s="304">
        <v>4246.2700000000004</v>
      </c>
      <c r="CU23" s="304"/>
      <c r="CV23" s="304"/>
      <c r="CW23" s="304"/>
      <c r="CX23" s="304"/>
      <c r="CY23" s="304">
        <v>2145.6999999999998</v>
      </c>
      <c r="CZ23" s="304">
        <v>3239.17</v>
      </c>
      <c r="DA23" s="304">
        <v>596.30999999999995</v>
      </c>
      <c r="DB23" s="304">
        <v>15165.879999999997</v>
      </c>
      <c r="DC23" s="304">
        <v>565.24</v>
      </c>
      <c r="DD23" s="304"/>
      <c r="DE23" s="304"/>
      <c r="DF23" s="304"/>
      <c r="DG23" s="304"/>
      <c r="DH23" s="304">
        <v>7650</v>
      </c>
      <c r="DI23" s="304"/>
      <c r="DJ23" s="304"/>
      <c r="DK23" s="304"/>
      <c r="DL23" s="304">
        <v>244.85</v>
      </c>
      <c r="DM23" s="304"/>
      <c r="DN23" s="304">
        <v>2940.92</v>
      </c>
      <c r="DO23" s="304"/>
      <c r="DP23" s="304"/>
      <c r="DQ23" s="304"/>
      <c r="DR23" s="304"/>
      <c r="DS23" s="304">
        <v>418.40000000000003</v>
      </c>
      <c r="DT23" s="304"/>
      <c r="DU23" s="304">
        <v>17822.610000000004</v>
      </c>
      <c r="DV23" s="304">
        <v>624.27</v>
      </c>
      <c r="DW23" s="304"/>
      <c r="DX23" s="304">
        <v>1062.21</v>
      </c>
      <c r="DY23" s="304">
        <v>4891.43</v>
      </c>
      <c r="DZ23" s="304">
        <v>12811.5</v>
      </c>
      <c r="EA23" s="304"/>
      <c r="EB23" s="304">
        <v>1002</v>
      </c>
      <c r="EC23" s="304"/>
      <c r="ED23" s="304">
        <v>14.79</v>
      </c>
      <c r="EE23" s="304">
        <v>984.19</v>
      </c>
      <c r="EF23" s="426"/>
      <c r="EG23" s="304"/>
      <c r="EH23" s="304">
        <v>4455.12</v>
      </c>
      <c r="EI23" s="426"/>
      <c r="EJ23" s="304"/>
      <c r="EK23" s="304">
        <v>14556.7</v>
      </c>
      <c r="EL23" s="304">
        <v>8992.2800000000007</v>
      </c>
      <c r="EM23" s="304">
        <v>10205.15</v>
      </c>
      <c r="EN23" s="304">
        <v>1590.49</v>
      </c>
      <c r="EO23" s="304">
        <v>4500</v>
      </c>
      <c r="EP23" s="304"/>
      <c r="EQ23" s="304"/>
      <c r="ER23" s="304"/>
      <c r="ES23" s="304"/>
      <c r="ET23" s="304"/>
      <c r="EU23" s="304"/>
      <c r="EV23" s="304">
        <v>2067.86</v>
      </c>
      <c r="EW23" s="304">
        <v>7045.29</v>
      </c>
      <c r="EX23" s="304">
        <v>59.92</v>
      </c>
      <c r="EY23" s="304">
        <v>275.46000000000004</v>
      </c>
      <c r="EZ23" s="304">
        <v>27407.89</v>
      </c>
      <c r="FA23" s="304"/>
      <c r="FB23" s="304"/>
      <c r="FC23" s="304"/>
      <c r="FD23" s="304"/>
      <c r="FE23" s="304"/>
      <c r="FF23" s="304">
        <v>-1089843.31</v>
      </c>
      <c r="FG23" s="304"/>
      <c r="FH23" s="304">
        <v>697.1</v>
      </c>
      <c r="FI23" s="304">
        <v>-1200</v>
      </c>
      <c r="FJ23" s="304">
        <v>-42685</v>
      </c>
      <c r="FK23" s="304"/>
      <c r="FL23" s="304"/>
      <c r="FM23" s="304"/>
      <c r="FN23" s="304"/>
      <c r="FO23" s="304"/>
      <c r="FP23" s="304">
        <v>-41872</v>
      </c>
      <c r="FQ23" s="304">
        <v>-16317</v>
      </c>
      <c r="FR23" s="304"/>
      <c r="FS23" s="304">
        <v>-29682.69</v>
      </c>
      <c r="FT23" s="304"/>
      <c r="FU23" s="304"/>
      <c r="FV23" s="304"/>
      <c r="FW23" s="304">
        <v>-50383</v>
      </c>
      <c r="FX23" s="304">
        <v>4344.49</v>
      </c>
      <c r="FY23" s="304">
        <v>643.54999999999995</v>
      </c>
      <c r="FZ23" s="304">
        <v>-19900.47</v>
      </c>
      <c r="GA23" s="304"/>
      <c r="GB23" s="304">
        <v>-10112</v>
      </c>
      <c r="GC23" s="304"/>
      <c r="GD23" s="304">
        <v>-20793</v>
      </c>
      <c r="GE23" s="304">
        <v>575</v>
      </c>
      <c r="GF23" s="304"/>
      <c r="GG23" s="304"/>
      <c r="GH23" s="304">
        <v>3236.28</v>
      </c>
      <c r="GI23" s="304">
        <v>562</v>
      </c>
      <c r="GJ23" s="304"/>
      <c r="GK23" s="304">
        <v>56732.95</v>
      </c>
      <c r="GL23" s="304">
        <v>663</v>
      </c>
      <c r="GM23" s="304">
        <v>5766.6200000000026</v>
      </c>
      <c r="GN23" s="304">
        <v>261</v>
      </c>
      <c r="GO23" s="304">
        <v>2863.66</v>
      </c>
      <c r="GP23" s="304">
        <v>3108.2200000000003</v>
      </c>
      <c r="GQ23" s="304">
        <v>2215.5</v>
      </c>
      <c r="GR23" s="304">
        <v>560</v>
      </c>
      <c r="GS23" s="304">
        <v>1108.42</v>
      </c>
      <c r="GT23" s="304">
        <v>1124.78</v>
      </c>
      <c r="GU23" s="304"/>
      <c r="GV23" s="304"/>
      <c r="GW23" s="304"/>
      <c r="GX23" s="304"/>
      <c r="GY23" s="304"/>
      <c r="GZ23" s="304"/>
      <c r="HA23" s="304"/>
      <c r="HB23" s="304"/>
      <c r="HC23" s="304"/>
      <c r="HD23" s="304"/>
      <c r="HE23" s="304">
        <v>-11126.22</v>
      </c>
      <c r="HF23" s="304">
        <v>-15258.719999999994</v>
      </c>
      <c r="HG23" s="304"/>
      <c r="HH23" s="304">
        <v>-4960.329999999999</v>
      </c>
      <c r="HI23" s="304"/>
      <c r="HJ23" s="304">
        <v>-2376</v>
      </c>
      <c r="HK23" s="304">
        <v>1451.85</v>
      </c>
      <c r="HL23" s="304"/>
      <c r="HM23" s="304"/>
      <c r="HN23" s="304">
        <v>-1614.2</v>
      </c>
      <c r="HO23" s="304"/>
      <c r="HP23" s="304">
        <v>-185</v>
      </c>
      <c r="HQ23" s="304"/>
      <c r="HR23" s="304">
        <v>-2485.12</v>
      </c>
      <c r="HS23" s="304"/>
      <c r="HT23" s="304"/>
      <c r="HU23" s="304"/>
    </row>
    <row r="24" spans="1:229">
      <c r="A24" s="116">
        <v>107583</v>
      </c>
      <c r="B24" s="304">
        <v>84.81</v>
      </c>
      <c r="C24" s="304">
        <v>322506.13</v>
      </c>
      <c r="D24" s="304">
        <v>21625.7</v>
      </c>
      <c r="E24" s="304">
        <v>56596.679999999942</v>
      </c>
      <c r="F24" s="304">
        <v>102832.82999999999</v>
      </c>
      <c r="G24" s="304">
        <v>46525.44000000001</v>
      </c>
      <c r="H24" s="304">
        <v>611.55000000000007</v>
      </c>
      <c r="I24" s="304"/>
      <c r="J24" s="304">
        <v>220.79000000000002</v>
      </c>
      <c r="K24" s="304">
        <v>89.6</v>
      </c>
      <c r="L24" s="304"/>
      <c r="M24" s="304"/>
      <c r="N24" s="304"/>
      <c r="O24" s="304"/>
      <c r="P24" s="304"/>
      <c r="Q24" s="304">
        <v>22.38</v>
      </c>
      <c r="R24" s="304"/>
      <c r="S24" s="304"/>
      <c r="T24" s="304"/>
      <c r="U24" s="304"/>
      <c r="V24" s="304"/>
      <c r="W24" s="304"/>
      <c r="X24" s="304"/>
      <c r="Y24" s="304"/>
      <c r="Z24" s="304"/>
      <c r="AA24" s="304"/>
      <c r="AB24" s="304"/>
      <c r="AC24" s="304"/>
      <c r="AD24" s="304"/>
      <c r="AE24" s="304"/>
      <c r="AF24" s="304">
        <v>8964.8300000000017</v>
      </c>
      <c r="AG24" s="304">
        <v>29.6</v>
      </c>
      <c r="AH24" s="304">
        <v>3002.9700000000003</v>
      </c>
      <c r="AI24" s="304">
        <v>3167.19</v>
      </c>
      <c r="AJ24" s="304">
        <v>1221.2600000000002</v>
      </c>
      <c r="AK24" s="304"/>
      <c r="AL24" s="304"/>
      <c r="AM24" s="304"/>
      <c r="AN24" s="304">
        <v>186783.85</v>
      </c>
      <c r="AO24" s="304">
        <v>4447.82</v>
      </c>
      <c r="AP24" s="304">
        <v>3751.91</v>
      </c>
      <c r="AQ24" s="304">
        <v>51475.760000000009</v>
      </c>
      <c r="AR24" s="304">
        <v>19703.39</v>
      </c>
      <c r="AS24" s="304"/>
      <c r="AT24" s="304"/>
      <c r="AU24" s="304"/>
      <c r="AV24" s="304"/>
      <c r="AW24" s="304"/>
      <c r="AX24" s="304">
        <v>26808.27</v>
      </c>
      <c r="AY24" s="304"/>
      <c r="AZ24" s="304"/>
      <c r="BA24" s="304"/>
      <c r="BB24" s="304">
        <v>7077.28</v>
      </c>
      <c r="BC24" s="304">
        <v>3018.49</v>
      </c>
      <c r="BD24" s="304"/>
      <c r="BE24" s="304"/>
      <c r="BF24" s="304"/>
      <c r="BG24" s="304"/>
      <c r="BH24" s="304"/>
      <c r="BI24" s="304"/>
      <c r="BJ24" s="304"/>
      <c r="BK24" s="304"/>
      <c r="BL24" s="304"/>
      <c r="BM24" s="304"/>
      <c r="BN24" s="304">
        <v>6260.9199999999992</v>
      </c>
      <c r="BO24" s="304">
        <v>126.25</v>
      </c>
      <c r="BP24" s="304">
        <v>18.98</v>
      </c>
      <c r="BQ24" s="304">
        <v>1691.1400000000003</v>
      </c>
      <c r="BR24" s="304">
        <v>210.32</v>
      </c>
      <c r="BS24" s="304"/>
      <c r="BT24" s="304"/>
      <c r="BU24" s="304"/>
      <c r="BV24" s="304"/>
      <c r="BW24" s="304"/>
      <c r="BX24" s="304"/>
      <c r="BY24" s="304"/>
      <c r="BZ24" s="304"/>
      <c r="CA24" s="304"/>
      <c r="CB24" s="304"/>
      <c r="CC24" s="304"/>
      <c r="CD24" s="304"/>
      <c r="CE24" s="304">
        <v>4547.12</v>
      </c>
      <c r="CF24" s="304"/>
      <c r="CG24" s="304"/>
      <c r="CH24" s="304"/>
      <c r="CI24" s="304">
        <v>46998.100000000013</v>
      </c>
      <c r="CJ24" s="304"/>
      <c r="CK24" s="304">
        <v>8302.0400000000009</v>
      </c>
      <c r="CL24" s="304">
        <v>1178.76</v>
      </c>
      <c r="CM24" s="304">
        <v>2129.14</v>
      </c>
      <c r="CN24" s="304"/>
      <c r="CO24" s="304">
        <v>2586.9899999999998</v>
      </c>
      <c r="CP24" s="304">
        <v>1877</v>
      </c>
      <c r="CQ24" s="304"/>
      <c r="CR24" s="304">
        <v>1705.9299999999998</v>
      </c>
      <c r="CS24" s="304">
        <v>1916.71</v>
      </c>
      <c r="CT24" s="304">
        <v>7836.6600000000008</v>
      </c>
      <c r="CU24" s="304"/>
      <c r="CV24" s="304"/>
      <c r="CW24" s="304"/>
      <c r="CX24" s="304"/>
      <c r="CY24" s="304">
        <v>12225.5</v>
      </c>
      <c r="CZ24" s="304">
        <v>1740.6</v>
      </c>
      <c r="DA24" s="304"/>
      <c r="DB24" s="304">
        <v>2567.85</v>
      </c>
      <c r="DC24" s="304">
        <v>1297.8000000000004</v>
      </c>
      <c r="DD24" s="304"/>
      <c r="DE24" s="304"/>
      <c r="DF24" s="304"/>
      <c r="DG24" s="304"/>
      <c r="DH24" s="304"/>
      <c r="DI24" s="304"/>
      <c r="DJ24" s="304"/>
      <c r="DK24" s="304"/>
      <c r="DL24" s="304">
        <v>23.939999999999998</v>
      </c>
      <c r="DM24" s="304"/>
      <c r="DN24" s="304"/>
      <c r="DO24" s="304"/>
      <c r="DP24" s="304"/>
      <c r="DQ24" s="304"/>
      <c r="DR24" s="304"/>
      <c r="DS24" s="304"/>
      <c r="DT24" s="304">
        <v>2990</v>
      </c>
      <c r="DU24" s="304">
        <v>15516.119999999997</v>
      </c>
      <c r="DV24" s="304">
        <v>539.04000000000008</v>
      </c>
      <c r="DW24" s="304"/>
      <c r="DX24" s="304"/>
      <c r="DY24" s="304">
        <v>3083.87</v>
      </c>
      <c r="DZ24" s="304">
        <v>150</v>
      </c>
      <c r="EA24" s="304"/>
      <c r="EB24" s="304">
        <v>26434.559999999998</v>
      </c>
      <c r="EC24" s="304">
        <v>180</v>
      </c>
      <c r="ED24" s="304">
        <v>130.5</v>
      </c>
      <c r="EE24" s="304">
        <v>1274.3500000000004</v>
      </c>
      <c r="EF24" s="304"/>
      <c r="EG24" s="304"/>
      <c r="EH24" s="304">
        <v>4648.26</v>
      </c>
      <c r="EI24" s="426"/>
      <c r="EJ24" s="304"/>
      <c r="EK24" s="304">
        <v>8842.7800000000007</v>
      </c>
      <c r="EL24" s="304">
        <v>2704.7</v>
      </c>
      <c r="EM24" s="304">
        <v>2374.6699999999996</v>
      </c>
      <c r="EN24" s="304"/>
      <c r="EO24" s="304"/>
      <c r="EP24" s="304"/>
      <c r="EQ24" s="304"/>
      <c r="ER24" s="304"/>
      <c r="ES24" s="304"/>
      <c r="ET24" s="304"/>
      <c r="EU24" s="304"/>
      <c r="EV24" s="304">
        <v>6683.3</v>
      </c>
      <c r="EW24" s="304">
        <v>5041.8900000000003</v>
      </c>
      <c r="EX24" s="304"/>
      <c r="EY24" s="304">
        <v>-1956.3300000000002</v>
      </c>
      <c r="EZ24" s="304">
        <v>1413</v>
      </c>
      <c r="FA24" s="304"/>
      <c r="FB24" s="304"/>
      <c r="FC24" s="304"/>
      <c r="FD24" s="304"/>
      <c r="FE24" s="304"/>
      <c r="FF24" s="304">
        <v>-871402.64</v>
      </c>
      <c r="FG24" s="304"/>
      <c r="FH24" s="304"/>
      <c r="FI24" s="304">
        <v>-3680</v>
      </c>
      <c r="FJ24" s="304">
        <v>-49995</v>
      </c>
      <c r="FK24" s="304"/>
      <c r="FL24" s="304"/>
      <c r="FM24" s="304">
        <v>-285.64</v>
      </c>
      <c r="FN24" s="304"/>
      <c r="FO24" s="304">
        <v>-5631.25</v>
      </c>
      <c r="FP24" s="304">
        <v>-48268</v>
      </c>
      <c r="FQ24" s="304">
        <v>-15576</v>
      </c>
      <c r="FR24" s="304"/>
      <c r="FS24" s="304">
        <v>-14193.05</v>
      </c>
      <c r="FT24" s="304"/>
      <c r="FU24" s="304">
        <v>-11438.56</v>
      </c>
      <c r="FV24" s="304"/>
      <c r="FW24" s="304">
        <v>-85714</v>
      </c>
      <c r="FX24" s="304">
        <v>3109.09</v>
      </c>
      <c r="FY24" s="304">
        <v>460.55</v>
      </c>
      <c r="FZ24" s="304">
        <v>-9451.8700000000008</v>
      </c>
      <c r="GA24" s="304"/>
      <c r="GB24" s="304">
        <v>-8195</v>
      </c>
      <c r="GC24" s="304"/>
      <c r="GD24" s="304">
        <v>-16762</v>
      </c>
      <c r="GE24" s="304">
        <v>1992</v>
      </c>
      <c r="GF24" s="304"/>
      <c r="GG24" s="304"/>
      <c r="GH24" s="304">
        <v>1435.88</v>
      </c>
      <c r="GI24" s="304">
        <v>683.06</v>
      </c>
      <c r="GJ24" s="304">
        <v>16578.209999999995</v>
      </c>
      <c r="GK24" s="304">
        <v>64996.270000000004</v>
      </c>
      <c r="GL24" s="304">
        <v>569.1</v>
      </c>
      <c r="GM24" s="304">
        <v>5666.5100000000057</v>
      </c>
      <c r="GN24" s="304">
        <v>261</v>
      </c>
      <c r="GO24" s="304">
        <v>3283.26</v>
      </c>
      <c r="GP24" s="304">
        <v>1947.6399999999999</v>
      </c>
      <c r="GQ24" s="304">
        <v>4611.5</v>
      </c>
      <c r="GR24" s="304">
        <v>925</v>
      </c>
      <c r="GS24" s="304">
        <v>975.22</v>
      </c>
      <c r="GT24" s="304">
        <v>2240.9500000000003</v>
      </c>
      <c r="GU24" s="304"/>
      <c r="GV24" s="304"/>
      <c r="GW24" s="304"/>
      <c r="GX24" s="304"/>
      <c r="GY24" s="304"/>
      <c r="GZ24" s="304"/>
      <c r="HA24" s="304"/>
      <c r="HB24" s="304"/>
      <c r="HC24" s="304">
        <v>-9697</v>
      </c>
      <c r="HD24" s="304"/>
      <c r="HE24" s="304">
        <v>-9264.14</v>
      </c>
      <c r="HF24" s="304"/>
      <c r="HG24" s="304"/>
      <c r="HH24" s="304"/>
      <c r="HI24" s="304"/>
      <c r="HJ24" s="304"/>
      <c r="HK24" s="304">
        <v>-8308.08</v>
      </c>
      <c r="HL24" s="304"/>
      <c r="HM24" s="304"/>
      <c r="HN24" s="304"/>
      <c r="HO24" s="304"/>
      <c r="HP24" s="304"/>
      <c r="HQ24" s="304"/>
      <c r="HR24" s="304">
        <v>-2206.56</v>
      </c>
      <c r="HS24" s="304"/>
      <c r="HT24" s="304"/>
      <c r="HU24" s="304"/>
    </row>
    <row r="25" spans="1:229">
      <c r="A25" s="116">
        <v>107585</v>
      </c>
      <c r="B25" s="304"/>
      <c r="C25" s="304">
        <v>492037.7</v>
      </c>
      <c r="D25" s="304">
        <v>255.23</v>
      </c>
      <c r="E25" s="304"/>
      <c r="F25" s="304">
        <v>140075.16</v>
      </c>
      <c r="G25" s="304">
        <v>64482.330000000009</v>
      </c>
      <c r="H25" s="304">
        <v>25832.19</v>
      </c>
      <c r="I25" s="304"/>
      <c r="J25" s="304">
        <v>6742.4000000000005</v>
      </c>
      <c r="K25" s="304">
        <v>2730.72</v>
      </c>
      <c r="L25" s="304"/>
      <c r="M25" s="304"/>
      <c r="N25" s="304"/>
      <c r="O25" s="304"/>
      <c r="P25" s="304"/>
      <c r="Q25" s="304"/>
      <c r="R25" s="304"/>
      <c r="S25" s="304"/>
      <c r="T25" s="304"/>
      <c r="U25" s="304"/>
      <c r="V25" s="304"/>
      <c r="W25" s="304"/>
      <c r="X25" s="304"/>
      <c r="Y25" s="304"/>
      <c r="Z25" s="304"/>
      <c r="AA25" s="304">
        <v>20680.540000000005</v>
      </c>
      <c r="AB25" s="304">
        <v>204.61</v>
      </c>
      <c r="AC25" s="304">
        <v>1088.3500000000001</v>
      </c>
      <c r="AD25" s="304">
        <v>5743.09</v>
      </c>
      <c r="AE25" s="304">
        <v>1909.3500000000001</v>
      </c>
      <c r="AF25" s="304">
        <v>5757.2000000000007</v>
      </c>
      <c r="AG25" s="304">
        <v>10.41</v>
      </c>
      <c r="AH25" s="304">
        <v>1405.01</v>
      </c>
      <c r="AI25" s="304">
        <v>1893.4900000000002</v>
      </c>
      <c r="AJ25" s="304">
        <v>803.68000000000006</v>
      </c>
      <c r="AK25" s="304"/>
      <c r="AL25" s="304"/>
      <c r="AM25" s="304"/>
      <c r="AN25" s="304">
        <v>255866.77000000002</v>
      </c>
      <c r="AO25" s="304">
        <v>4873.3900000000003</v>
      </c>
      <c r="AP25" s="304">
        <v>2326.94</v>
      </c>
      <c r="AQ25" s="304">
        <v>69390.13</v>
      </c>
      <c r="AR25" s="304">
        <v>26869.210000000003</v>
      </c>
      <c r="AS25" s="304">
        <v>526.5</v>
      </c>
      <c r="AT25" s="304"/>
      <c r="AU25" s="304"/>
      <c r="AV25" s="304"/>
      <c r="AW25" s="304">
        <v>58.580000000000005</v>
      </c>
      <c r="AX25" s="304">
        <v>57364.27</v>
      </c>
      <c r="AY25" s="304">
        <v>45.890000000000008</v>
      </c>
      <c r="AZ25" s="304">
        <v>-281.71000000000004</v>
      </c>
      <c r="BA25" s="304"/>
      <c r="BB25" s="304">
        <v>15441.829999999998</v>
      </c>
      <c r="BC25" s="304">
        <v>7426.42</v>
      </c>
      <c r="BD25" s="304"/>
      <c r="BE25" s="304"/>
      <c r="BF25" s="304"/>
      <c r="BG25" s="304"/>
      <c r="BH25" s="304"/>
      <c r="BI25" s="304"/>
      <c r="BJ25" s="304"/>
      <c r="BK25" s="304"/>
      <c r="BL25" s="304"/>
      <c r="BM25" s="304"/>
      <c r="BN25" s="304">
        <v>27335.309999999998</v>
      </c>
      <c r="BO25" s="304">
        <v>770.82</v>
      </c>
      <c r="BP25" s="304">
        <v>2545.92</v>
      </c>
      <c r="BQ25" s="304">
        <v>7921.5499999999984</v>
      </c>
      <c r="BR25" s="304">
        <v>2656.3</v>
      </c>
      <c r="BS25" s="304"/>
      <c r="BT25" s="304"/>
      <c r="BU25" s="304"/>
      <c r="BV25" s="304"/>
      <c r="BW25" s="304"/>
      <c r="BX25" s="304"/>
      <c r="BY25" s="304"/>
      <c r="BZ25" s="304"/>
      <c r="CA25" s="304"/>
      <c r="CB25" s="304"/>
      <c r="CC25" s="304"/>
      <c r="CD25" s="304"/>
      <c r="CE25" s="304">
        <v>12323.77</v>
      </c>
      <c r="CF25" s="304"/>
      <c r="CG25" s="304"/>
      <c r="CH25" s="304"/>
      <c r="CI25" s="304"/>
      <c r="CJ25" s="304"/>
      <c r="CK25" s="304">
        <v>7845.7800000000025</v>
      </c>
      <c r="CL25" s="304">
        <v>4995</v>
      </c>
      <c r="CM25" s="304">
        <v>3457.5</v>
      </c>
      <c r="CN25" s="304"/>
      <c r="CO25" s="304"/>
      <c r="CP25" s="304"/>
      <c r="CQ25" s="304"/>
      <c r="CR25" s="304">
        <v>4058.59</v>
      </c>
      <c r="CS25" s="304">
        <v>11866.29</v>
      </c>
      <c r="CT25" s="304">
        <v>8567.61</v>
      </c>
      <c r="CU25" s="304"/>
      <c r="CV25" s="304"/>
      <c r="CW25" s="304"/>
      <c r="CX25" s="304"/>
      <c r="CY25" s="304">
        <v>19386.150000000001</v>
      </c>
      <c r="CZ25" s="304">
        <v>8454.74</v>
      </c>
      <c r="DA25" s="304"/>
      <c r="DB25" s="304">
        <v>3410.16</v>
      </c>
      <c r="DC25" s="304">
        <v>2522.8000000000002</v>
      </c>
      <c r="DD25" s="304"/>
      <c r="DE25" s="304"/>
      <c r="DF25" s="304"/>
      <c r="DG25" s="304"/>
      <c r="DH25" s="304"/>
      <c r="DI25" s="304"/>
      <c r="DJ25" s="304"/>
      <c r="DK25" s="304"/>
      <c r="DL25" s="304">
        <v>328.34</v>
      </c>
      <c r="DM25" s="304"/>
      <c r="DN25" s="304">
        <v>3217.58</v>
      </c>
      <c r="DO25" s="304"/>
      <c r="DP25" s="304"/>
      <c r="DQ25" s="304"/>
      <c r="DR25" s="304"/>
      <c r="DS25" s="304"/>
      <c r="DT25" s="304">
        <v>4370</v>
      </c>
      <c r="DU25" s="304">
        <v>36344.79</v>
      </c>
      <c r="DV25" s="304"/>
      <c r="DW25" s="304"/>
      <c r="DX25" s="304">
        <v>1342.46</v>
      </c>
      <c r="DY25" s="304">
        <v>7270.0599999999986</v>
      </c>
      <c r="DZ25" s="304">
        <v>14404.82</v>
      </c>
      <c r="EA25" s="304"/>
      <c r="EB25" s="304">
        <v>29289.45</v>
      </c>
      <c r="EC25" s="304"/>
      <c r="ED25" s="304">
        <v>17.5</v>
      </c>
      <c r="EE25" s="304">
        <v>1138.1599999999999</v>
      </c>
      <c r="EF25" s="426"/>
      <c r="EG25" s="304"/>
      <c r="EH25" s="304">
        <v>2279</v>
      </c>
      <c r="EI25" s="426"/>
      <c r="EJ25" s="304"/>
      <c r="EK25" s="304">
        <v>10330.07</v>
      </c>
      <c r="EL25" s="304">
        <v>2684.99</v>
      </c>
      <c r="EM25" s="304">
        <v>88</v>
      </c>
      <c r="EN25" s="304">
        <v>128.76</v>
      </c>
      <c r="EO25" s="304">
        <v>4401.6400000000003</v>
      </c>
      <c r="EP25" s="304"/>
      <c r="EQ25" s="304"/>
      <c r="ER25" s="304"/>
      <c r="ES25" s="304">
        <v>-4000</v>
      </c>
      <c r="ET25" s="304"/>
      <c r="EU25" s="304">
        <v>5697</v>
      </c>
      <c r="EV25" s="304"/>
      <c r="EW25" s="304"/>
      <c r="EX25" s="304"/>
      <c r="EY25" s="304">
        <v>-1630.44</v>
      </c>
      <c r="EZ25" s="304">
        <v>19734.080000000002</v>
      </c>
      <c r="FA25" s="304">
        <v>45276.39</v>
      </c>
      <c r="FB25" s="304">
        <v>2304.9300000000007</v>
      </c>
      <c r="FC25" s="304"/>
      <c r="FD25" s="304"/>
      <c r="FE25" s="304"/>
      <c r="FF25" s="304">
        <v>-1213528.4099999999</v>
      </c>
      <c r="FG25" s="304"/>
      <c r="FH25" s="304">
        <v>-23612.499999999993</v>
      </c>
      <c r="FI25" s="304"/>
      <c r="FJ25" s="304">
        <v>-100305.00000000001</v>
      </c>
      <c r="FK25" s="304"/>
      <c r="FL25" s="304"/>
      <c r="FM25" s="304"/>
      <c r="FN25" s="304"/>
      <c r="FO25" s="304">
        <v>-6205</v>
      </c>
      <c r="FP25" s="304">
        <v>-24826</v>
      </c>
      <c r="FQ25" s="304">
        <v>-16283</v>
      </c>
      <c r="FR25" s="304"/>
      <c r="FS25" s="304">
        <v>-259196.45</v>
      </c>
      <c r="FT25" s="304"/>
      <c r="FU25" s="304"/>
      <c r="FV25" s="304">
        <v>0</v>
      </c>
      <c r="FW25" s="304">
        <v>-210109</v>
      </c>
      <c r="FX25" s="304">
        <v>4344.49</v>
      </c>
      <c r="FY25" s="304">
        <v>643.54999999999995</v>
      </c>
      <c r="FZ25" s="304">
        <v>-17652.98</v>
      </c>
      <c r="GA25" s="304"/>
      <c r="GB25" s="304">
        <v>-11451</v>
      </c>
      <c r="GC25" s="304"/>
      <c r="GD25" s="304">
        <v>-23662</v>
      </c>
      <c r="GE25" s="304">
        <v>571</v>
      </c>
      <c r="GF25" s="304">
        <v>1183.47</v>
      </c>
      <c r="GG25" s="304"/>
      <c r="GH25" s="304">
        <v>1578.76</v>
      </c>
      <c r="GI25" s="304"/>
      <c r="GJ25" s="304"/>
      <c r="GK25" s="304">
        <v>57334.16</v>
      </c>
      <c r="GL25" s="304">
        <v>537</v>
      </c>
      <c r="GM25" s="304">
        <v>4911.2600000000011</v>
      </c>
      <c r="GN25" s="304">
        <v>261</v>
      </c>
      <c r="GO25" s="304">
        <v>3215.66</v>
      </c>
      <c r="GP25" s="304">
        <v>2921.46</v>
      </c>
      <c r="GQ25" s="304">
        <v>2215.5</v>
      </c>
      <c r="GR25" s="304">
        <v>560</v>
      </c>
      <c r="GS25" s="304">
        <v>1127.4100000000001</v>
      </c>
      <c r="GT25" s="304">
        <v>2765.9799999999991</v>
      </c>
      <c r="GU25" s="304"/>
      <c r="GV25" s="304"/>
      <c r="GW25" s="304"/>
      <c r="GX25" s="304"/>
      <c r="GY25" s="304"/>
      <c r="GZ25" s="304">
        <v>0</v>
      </c>
      <c r="HA25" s="304"/>
      <c r="HB25" s="304"/>
      <c r="HC25" s="304"/>
      <c r="HD25" s="304"/>
      <c r="HE25" s="304">
        <v>-6425.5</v>
      </c>
      <c r="HF25" s="304">
        <v>-19025.139999999996</v>
      </c>
      <c r="HG25" s="304"/>
      <c r="HH25" s="304">
        <v>-1839.2</v>
      </c>
      <c r="HI25" s="304"/>
      <c r="HJ25" s="304"/>
      <c r="HK25" s="304">
        <v>-4975.5700000000006</v>
      </c>
      <c r="HL25" s="304"/>
      <c r="HM25" s="304">
        <v>-14944</v>
      </c>
      <c r="HN25" s="304">
        <v>-20078.669999999995</v>
      </c>
      <c r="HO25" s="304"/>
      <c r="HP25" s="304">
        <v>-5154.1000000000022</v>
      </c>
      <c r="HQ25" s="304"/>
      <c r="HR25" s="304">
        <v>-13434.23</v>
      </c>
      <c r="HS25" s="304"/>
      <c r="HT25" s="304"/>
      <c r="HU25" s="304"/>
    </row>
    <row r="26" spans="1:229">
      <c r="A26" s="116">
        <v>107586</v>
      </c>
      <c r="B26" s="304"/>
      <c r="C26" s="304">
        <v>434167.35999999993</v>
      </c>
      <c r="D26" s="304">
        <v>13715.07</v>
      </c>
      <c r="E26" s="304">
        <v>400</v>
      </c>
      <c r="F26" s="304">
        <v>128452.61000000002</v>
      </c>
      <c r="G26" s="304">
        <v>58927.61</v>
      </c>
      <c r="H26" s="304">
        <v>25178.059999999998</v>
      </c>
      <c r="I26" s="304"/>
      <c r="J26" s="304">
        <v>6974.3099999999995</v>
      </c>
      <c r="K26" s="304">
        <v>2630.3900000000003</v>
      </c>
      <c r="L26" s="304"/>
      <c r="M26" s="304"/>
      <c r="N26" s="304"/>
      <c r="O26" s="304"/>
      <c r="P26" s="304"/>
      <c r="Q26" s="304"/>
      <c r="R26" s="304"/>
      <c r="S26" s="304"/>
      <c r="T26" s="304"/>
      <c r="U26" s="304"/>
      <c r="V26" s="304"/>
      <c r="W26" s="304"/>
      <c r="X26" s="304"/>
      <c r="Y26" s="304"/>
      <c r="Z26" s="304"/>
      <c r="AA26" s="304">
        <v>8750.2800000000025</v>
      </c>
      <c r="AB26" s="304"/>
      <c r="AC26" s="304"/>
      <c r="AD26" s="304">
        <v>2309.8900000000003</v>
      </c>
      <c r="AE26" s="304">
        <v>97.299999999999983</v>
      </c>
      <c r="AF26" s="304">
        <v>5146.8500000000013</v>
      </c>
      <c r="AG26" s="304">
        <v>540.61</v>
      </c>
      <c r="AH26" s="304">
        <v>218.49</v>
      </c>
      <c r="AI26" s="304">
        <v>1559.1299999999999</v>
      </c>
      <c r="AJ26" s="304">
        <v>135.25</v>
      </c>
      <c r="AK26" s="304"/>
      <c r="AL26" s="304"/>
      <c r="AM26" s="304"/>
      <c r="AN26" s="304">
        <v>153782.07999999999</v>
      </c>
      <c r="AO26" s="304">
        <v>555</v>
      </c>
      <c r="AP26" s="304">
        <v>15006.890000000001</v>
      </c>
      <c r="AQ26" s="304">
        <v>43874.93</v>
      </c>
      <c r="AR26" s="304">
        <v>16137.129999999997</v>
      </c>
      <c r="AS26" s="304"/>
      <c r="AT26" s="304"/>
      <c r="AU26" s="304"/>
      <c r="AV26" s="304"/>
      <c r="AW26" s="304"/>
      <c r="AX26" s="304">
        <v>48888.25</v>
      </c>
      <c r="AY26" s="304">
        <v>131.09</v>
      </c>
      <c r="AZ26" s="304">
        <v>364.78999999999996</v>
      </c>
      <c r="BA26" s="304"/>
      <c r="BB26" s="304">
        <v>13037.189999999999</v>
      </c>
      <c r="BC26" s="304">
        <v>5171.74</v>
      </c>
      <c r="BD26" s="304"/>
      <c r="BE26" s="304"/>
      <c r="BF26" s="304"/>
      <c r="BG26" s="304"/>
      <c r="BH26" s="304"/>
      <c r="BI26" s="304"/>
      <c r="BJ26" s="304"/>
      <c r="BK26" s="304"/>
      <c r="BL26" s="304"/>
      <c r="BM26" s="304"/>
      <c r="BN26" s="304">
        <v>6444.8799999999974</v>
      </c>
      <c r="BO26" s="304"/>
      <c r="BP26" s="304">
        <v>143.55000000000001</v>
      </c>
      <c r="BQ26" s="304">
        <v>1739.2999999999997</v>
      </c>
      <c r="BR26" s="304">
        <v>237.66000000000003</v>
      </c>
      <c r="BS26" s="304"/>
      <c r="BT26" s="304"/>
      <c r="BU26" s="304"/>
      <c r="BV26" s="304"/>
      <c r="BW26" s="304"/>
      <c r="BX26" s="304"/>
      <c r="BY26" s="304">
        <v>126.38</v>
      </c>
      <c r="BZ26" s="304"/>
      <c r="CA26" s="304"/>
      <c r="CB26" s="304"/>
      <c r="CC26" s="304"/>
      <c r="CD26" s="304"/>
      <c r="CE26" s="304">
        <v>2981.5</v>
      </c>
      <c r="CF26" s="304">
        <v>920.08</v>
      </c>
      <c r="CG26" s="304"/>
      <c r="CH26" s="304"/>
      <c r="CI26" s="304">
        <v>4865.26</v>
      </c>
      <c r="CJ26" s="304"/>
      <c r="CK26" s="304">
        <v>13861.189999999999</v>
      </c>
      <c r="CL26" s="304">
        <v>93.98</v>
      </c>
      <c r="CM26" s="304">
        <v>2249.31</v>
      </c>
      <c r="CN26" s="304">
        <v>1303.78</v>
      </c>
      <c r="CO26" s="304"/>
      <c r="CP26" s="304"/>
      <c r="CQ26" s="304"/>
      <c r="CR26" s="304">
        <v>1780.6000000000001</v>
      </c>
      <c r="CS26" s="304">
        <v>14178.67</v>
      </c>
      <c r="CT26" s="304">
        <v>3749.7300000000005</v>
      </c>
      <c r="CU26" s="304"/>
      <c r="CV26" s="304">
        <v>4269</v>
      </c>
      <c r="CW26" s="304"/>
      <c r="CX26" s="304"/>
      <c r="CY26" s="304">
        <v>4940.1000000000004</v>
      </c>
      <c r="CZ26" s="304">
        <v>3687.3199999999997</v>
      </c>
      <c r="DA26" s="304">
        <v>222.95</v>
      </c>
      <c r="DB26" s="304">
        <v>1990.2299999999998</v>
      </c>
      <c r="DC26" s="304">
        <v>1754.55</v>
      </c>
      <c r="DD26" s="304"/>
      <c r="DE26" s="304"/>
      <c r="DF26" s="304"/>
      <c r="DG26" s="304"/>
      <c r="DH26" s="304"/>
      <c r="DI26" s="304"/>
      <c r="DJ26" s="304"/>
      <c r="DK26" s="304"/>
      <c r="DL26" s="304">
        <v>231.54000000000002</v>
      </c>
      <c r="DM26" s="304"/>
      <c r="DN26" s="304">
        <v>262.74</v>
      </c>
      <c r="DO26" s="304">
        <v>1303.78</v>
      </c>
      <c r="DP26" s="304">
        <v>1270</v>
      </c>
      <c r="DQ26" s="304">
        <v>1816</v>
      </c>
      <c r="DR26" s="304"/>
      <c r="DS26" s="304">
        <v>288.19</v>
      </c>
      <c r="DT26" s="304">
        <v>3543</v>
      </c>
      <c r="DU26" s="304">
        <v>23314.08000000002</v>
      </c>
      <c r="DV26" s="304">
        <v>551.29999999999995</v>
      </c>
      <c r="DW26" s="304"/>
      <c r="DX26" s="304">
        <v>650.30999999999995</v>
      </c>
      <c r="DY26" s="304">
        <v>4336.0700000000006</v>
      </c>
      <c r="DZ26" s="304">
        <v>3525.1</v>
      </c>
      <c r="EA26" s="304"/>
      <c r="EB26" s="304">
        <v>31209.07</v>
      </c>
      <c r="EC26" s="304">
        <v>30</v>
      </c>
      <c r="ED26" s="304">
        <v>116.59</v>
      </c>
      <c r="EE26" s="304">
        <v>1346.34</v>
      </c>
      <c r="EF26" s="426"/>
      <c r="EG26" s="304"/>
      <c r="EH26" s="304">
        <v>5444.83</v>
      </c>
      <c r="EI26" s="426"/>
      <c r="EJ26" s="304"/>
      <c r="EK26" s="304">
        <v>999.5</v>
      </c>
      <c r="EL26" s="304">
        <v>1419.1799999999998</v>
      </c>
      <c r="EM26" s="304">
        <v>3194.62</v>
      </c>
      <c r="EN26" s="304">
        <v>461.64</v>
      </c>
      <c r="EO26" s="304"/>
      <c r="EP26" s="304"/>
      <c r="EQ26" s="304"/>
      <c r="ER26" s="304"/>
      <c r="ES26" s="304"/>
      <c r="ET26" s="304">
        <v>260</v>
      </c>
      <c r="EU26" s="304">
        <v>5103</v>
      </c>
      <c r="EV26" s="304">
        <v>3680.3199999999997</v>
      </c>
      <c r="EW26" s="304"/>
      <c r="EX26" s="304">
        <v>6333.45</v>
      </c>
      <c r="EY26" s="304">
        <v>34558.99</v>
      </c>
      <c r="EZ26" s="304">
        <v>5386.5400000000009</v>
      </c>
      <c r="FA26" s="304"/>
      <c r="FB26" s="304"/>
      <c r="FC26" s="304"/>
      <c r="FD26" s="304"/>
      <c r="FE26" s="304"/>
      <c r="FF26" s="304">
        <v>-956421.98</v>
      </c>
      <c r="FG26" s="304"/>
      <c r="FH26" s="304"/>
      <c r="FI26" s="304"/>
      <c r="FJ26" s="304">
        <v>-19645</v>
      </c>
      <c r="FK26" s="304"/>
      <c r="FL26" s="304"/>
      <c r="FM26" s="304"/>
      <c r="FN26" s="304"/>
      <c r="FO26" s="304">
        <v>-6227.5</v>
      </c>
      <c r="FP26" s="304">
        <v>-30027</v>
      </c>
      <c r="FQ26" s="304">
        <v>-16197</v>
      </c>
      <c r="FR26" s="304"/>
      <c r="FS26" s="304">
        <v>162.27000000000001</v>
      </c>
      <c r="FT26" s="304">
        <v>58974.91</v>
      </c>
      <c r="FU26" s="304">
        <v>-1239.8699999999999</v>
      </c>
      <c r="FV26" s="304"/>
      <c r="FW26" s="304">
        <v>-25502</v>
      </c>
      <c r="FX26" s="304">
        <v>3891.51</v>
      </c>
      <c r="FY26" s="304">
        <v>576.45000000000005</v>
      </c>
      <c r="FZ26" s="304">
        <v>-11871.24</v>
      </c>
      <c r="GA26" s="304"/>
      <c r="GB26" s="304">
        <v>-8870</v>
      </c>
      <c r="GC26" s="304"/>
      <c r="GD26" s="304">
        <v>-18160</v>
      </c>
      <c r="GE26" s="304">
        <v>992</v>
      </c>
      <c r="GF26" s="304"/>
      <c r="GG26" s="304"/>
      <c r="GH26" s="304">
        <v>1593.96</v>
      </c>
      <c r="GI26" s="304"/>
      <c r="GJ26" s="304">
        <v>27290.240000000005</v>
      </c>
      <c r="GK26" s="304">
        <v>16185.3</v>
      </c>
      <c r="GL26" s="304">
        <v>194</v>
      </c>
      <c r="GM26" s="304">
        <v>5203.9300000000039</v>
      </c>
      <c r="GN26" s="304">
        <v>261</v>
      </c>
      <c r="GO26" s="304">
        <v>2680.1800000000003</v>
      </c>
      <c r="GP26" s="304">
        <v>2854.7599999999998</v>
      </c>
      <c r="GQ26" s="304">
        <v>1984.5</v>
      </c>
      <c r="GR26" s="304">
        <v>925</v>
      </c>
      <c r="GS26" s="304">
        <v>1059.58</v>
      </c>
      <c r="GT26" s="304">
        <v>1546.5599999999997</v>
      </c>
      <c r="GU26" s="304"/>
      <c r="GV26" s="304"/>
      <c r="GW26" s="304"/>
      <c r="GX26" s="304"/>
      <c r="GY26" s="304"/>
      <c r="GZ26" s="304">
        <v>0</v>
      </c>
      <c r="HA26" s="304"/>
      <c r="HB26" s="304"/>
      <c r="HC26" s="304"/>
      <c r="HD26" s="304"/>
      <c r="HE26" s="304">
        <v>-20556.8</v>
      </c>
      <c r="HF26" s="304">
        <v>-5839.08</v>
      </c>
      <c r="HG26" s="304"/>
      <c r="HH26" s="304">
        <v>-533.52</v>
      </c>
      <c r="HI26" s="304"/>
      <c r="HJ26" s="304"/>
      <c r="HK26" s="304">
        <v>-17998.410000000007</v>
      </c>
      <c r="HL26" s="304">
        <v>-821.25</v>
      </c>
      <c r="HM26" s="304"/>
      <c r="HN26" s="304">
        <v>-8852.5399999999991</v>
      </c>
      <c r="HO26" s="304"/>
      <c r="HP26" s="304"/>
      <c r="HQ26" s="304"/>
      <c r="HR26" s="304"/>
      <c r="HS26" s="304"/>
      <c r="HT26" s="304"/>
      <c r="HU26" s="304"/>
    </row>
    <row r="27" spans="1:229">
      <c r="A27" s="116">
        <v>107593</v>
      </c>
      <c r="B27" s="304"/>
      <c r="C27" s="304">
        <v>514528.94</v>
      </c>
      <c r="D27" s="304">
        <v>4926.8100000000004</v>
      </c>
      <c r="E27" s="304">
        <v>2249.5</v>
      </c>
      <c r="F27" s="304">
        <v>149712.88</v>
      </c>
      <c r="G27" s="304">
        <v>69362.789999999994</v>
      </c>
      <c r="H27" s="304">
        <v>8572.85</v>
      </c>
      <c r="I27" s="304"/>
      <c r="J27" s="304">
        <v>2458.6800000000003</v>
      </c>
      <c r="K27" s="304">
        <v>1057.8200000000002</v>
      </c>
      <c r="L27" s="304"/>
      <c r="M27" s="304"/>
      <c r="N27" s="304"/>
      <c r="O27" s="304"/>
      <c r="P27" s="304"/>
      <c r="Q27" s="304"/>
      <c r="R27" s="304"/>
      <c r="S27" s="304"/>
      <c r="T27" s="304"/>
      <c r="U27" s="304"/>
      <c r="V27" s="304"/>
      <c r="W27" s="304"/>
      <c r="X27" s="304"/>
      <c r="Y27" s="304"/>
      <c r="Z27" s="304"/>
      <c r="AA27" s="304"/>
      <c r="AB27" s="304"/>
      <c r="AC27" s="304"/>
      <c r="AD27" s="304"/>
      <c r="AE27" s="304"/>
      <c r="AF27" s="304">
        <v>27429.18</v>
      </c>
      <c r="AG27" s="304">
        <v>1455.65</v>
      </c>
      <c r="AH27" s="304">
        <v>115.65999999999998</v>
      </c>
      <c r="AI27" s="304">
        <v>7656.77</v>
      </c>
      <c r="AJ27" s="304">
        <v>2928.19</v>
      </c>
      <c r="AK27" s="304"/>
      <c r="AL27" s="304"/>
      <c r="AM27" s="304"/>
      <c r="AN27" s="304">
        <v>241746.66</v>
      </c>
      <c r="AO27" s="304">
        <v>9169.9399999999987</v>
      </c>
      <c r="AP27" s="304">
        <v>2513.42</v>
      </c>
      <c r="AQ27" s="304">
        <v>66170.8</v>
      </c>
      <c r="AR27" s="304">
        <v>24140.799999999999</v>
      </c>
      <c r="AS27" s="304"/>
      <c r="AT27" s="304"/>
      <c r="AU27" s="304"/>
      <c r="AV27" s="304"/>
      <c r="AW27" s="304"/>
      <c r="AX27" s="304">
        <v>40584.720000000001</v>
      </c>
      <c r="AY27" s="304">
        <v>343.45</v>
      </c>
      <c r="AZ27" s="304">
        <v>30.62</v>
      </c>
      <c r="BA27" s="304"/>
      <c r="BB27" s="304">
        <v>10398.029999999997</v>
      </c>
      <c r="BC27" s="304">
        <v>4452.1200000000008</v>
      </c>
      <c r="BD27" s="304"/>
      <c r="BE27" s="304"/>
      <c r="BF27" s="304"/>
      <c r="BG27" s="304"/>
      <c r="BH27" s="304"/>
      <c r="BI27" s="304">
        <v>46234.040000000008</v>
      </c>
      <c r="BJ27" s="304">
        <v>644.67999999999995</v>
      </c>
      <c r="BK27" s="304">
        <v>91.42</v>
      </c>
      <c r="BL27" s="304">
        <v>12399.93</v>
      </c>
      <c r="BM27" s="304">
        <v>4789.0100000000011</v>
      </c>
      <c r="BN27" s="304">
        <v>435.11999999999995</v>
      </c>
      <c r="BO27" s="304">
        <v>9310.86</v>
      </c>
      <c r="BP27" s="304"/>
      <c r="BQ27" s="304">
        <v>3395.5700000000006</v>
      </c>
      <c r="BR27" s="304">
        <v>763.43</v>
      </c>
      <c r="BS27" s="304"/>
      <c r="BT27" s="304"/>
      <c r="BU27" s="304"/>
      <c r="BV27" s="304"/>
      <c r="BW27" s="304"/>
      <c r="BX27" s="304"/>
      <c r="BY27" s="304"/>
      <c r="BZ27" s="304"/>
      <c r="CA27" s="304"/>
      <c r="CB27" s="304"/>
      <c r="CC27" s="304"/>
      <c r="CD27" s="304"/>
      <c r="CE27" s="304">
        <v>1386.75</v>
      </c>
      <c r="CF27" s="304">
        <v>1990.18</v>
      </c>
      <c r="CG27" s="304">
        <v>-300</v>
      </c>
      <c r="CH27" s="304"/>
      <c r="CI27" s="304">
        <v>28328.87</v>
      </c>
      <c r="CJ27" s="304"/>
      <c r="CK27" s="304">
        <v>8177.130000000001</v>
      </c>
      <c r="CL27" s="304">
        <v>1000</v>
      </c>
      <c r="CM27" s="304">
        <v>-7341</v>
      </c>
      <c r="CN27" s="304"/>
      <c r="CO27" s="304"/>
      <c r="CP27" s="304"/>
      <c r="CQ27" s="304"/>
      <c r="CR27" s="304">
        <v>3268.4900000000002</v>
      </c>
      <c r="CS27" s="304">
        <v>12648.599999999999</v>
      </c>
      <c r="CT27" s="304">
        <v>5064.8700000000008</v>
      </c>
      <c r="CU27" s="304"/>
      <c r="CV27" s="304"/>
      <c r="CW27" s="304"/>
      <c r="CX27" s="304"/>
      <c r="CY27" s="304">
        <v>14958.5</v>
      </c>
      <c r="CZ27" s="304">
        <v>7007.95</v>
      </c>
      <c r="DA27" s="304">
        <v>335</v>
      </c>
      <c r="DB27" s="304">
        <v>1564.95</v>
      </c>
      <c r="DC27" s="304">
        <v>970.5</v>
      </c>
      <c r="DD27" s="304"/>
      <c r="DE27" s="304"/>
      <c r="DF27" s="304">
        <v>62.73</v>
      </c>
      <c r="DG27" s="304"/>
      <c r="DH27" s="304"/>
      <c r="DI27" s="304"/>
      <c r="DJ27" s="304"/>
      <c r="DK27" s="304"/>
      <c r="DL27" s="304">
        <v>419.35000000000014</v>
      </c>
      <c r="DM27" s="304"/>
      <c r="DN27" s="304">
        <v>54.99</v>
      </c>
      <c r="DO27" s="304"/>
      <c r="DP27" s="304"/>
      <c r="DQ27" s="304">
        <v>15139.48</v>
      </c>
      <c r="DR27" s="304">
        <v>903.39</v>
      </c>
      <c r="DS27" s="304"/>
      <c r="DT27" s="304">
        <v>4521</v>
      </c>
      <c r="DU27" s="304">
        <v>14906.88</v>
      </c>
      <c r="DV27" s="304">
        <v>488.92</v>
      </c>
      <c r="DW27" s="304"/>
      <c r="DX27" s="304">
        <v>703.28</v>
      </c>
      <c r="DY27" s="304">
        <v>656.5200000000001</v>
      </c>
      <c r="DZ27" s="304">
        <v>416.5</v>
      </c>
      <c r="EA27" s="304"/>
      <c r="EB27" s="304">
        <v>18897.62</v>
      </c>
      <c r="EC27" s="304"/>
      <c r="ED27" s="304">
        <v>37</v>
      </c>
      <c r="EE27" s="304">
        <v>501.71999999999991</v>
      </c>
      <c r="EF27" s="426"/>
      <c r="EG27" s="304"/>
      <c r="EH27" s="304">
        <v>2352</v>
      </c>
      <c r="EI27" s="426"/>
      <c r="EJ27" s="304">
        <v>0</v>
      </c>
      <c r="EK27" s="304">
        <v>5503.36</v>
      </c>
      <c r="EL27" s="304">
        <v>3874.34</v>
      </c>
      <c r="EM27" s="304">
        <v>798</v>
      </c>
      <c r="EN27" s="304">
        <v>4827.76</v>
      </c>
      <c r="EO27" s="304">
        <v>3641</v>
      </c>
      <c r="EP27" s="304"/>
      <c r="EQ27" s="304"/>
      <c r="ER27" s="304"/>
      <c r="ES27" s="304"/>
      <c r="ET27" s="304"/>
      <c r="EU27" s="304"/>
      <c r="EV27" s="304">
        <v>7130</v>
      </c>
      <c r="EW27" s="304">
        <v>6878.34</v>
      </c>
      <c r="EX27" s="304">
        <v>252.5</v>
      </c>
      <c r="EY27" s="304">
        <v>34805.509999999987</v>
      </c>
      <c r="EZ27" s="304">
        <v>26946.960000000003</v>
      </c>
      <c r="FA27" s="304"/>
      <c r="FB27" s="304"/>
      <c r="FC27" s="304"/>
      <c r="FD27" s="304"/>
      <c r="FE27" s="304"/>
      <c r="FF27" s="304">
        <v>-1068240.1399999999</v>
      </c>
      <c r="FG27" s="304"/>
      <c r="FH27" s="304"/>
      <c r="FI27" s="304">
        <v>-400</v>
      </c>
      <c r="FJ27" s="304">
        <v>-54299.5</v>
      </c>
      <c r="FK27" s="304"/>
      <c r="FL27" s="304"/>
      <c r="FM27" s="304">
        <v>-876</v>
      </c>
      <c r="FN27" s="304"/>
      <c r="FO27" s="304">
        <v>-6351.25</v>
      </c>
      <c r="FP27" s="304">
        <v>-40317</v>
      </c>
      <c r="FQ27" s="304">
        <v>-16321</v>
      </c>
      <c r="FR27" s="304"/>
      <c r="FS27" s="304"/>
      <c r="FT27" s="304">
        <v>21643.86</v>
      </c>
      <c r="FU27" s="304">
        <v>8353.61</v>
      </c>
      <c r="FV27" s="304"/>
      <c r="FW27" s="304">
        <v>-184797</v>
      </c>
      <c r="FX27" s="304">
        <v>4241.54</v>
      </c>
      <c r="FY27" s="304">
        <v>628.29999999999995</v>
      </c>
      <c r="FZ27" s="304">
        <v>-2956.42</v>
      </c>
      <c r="GA27" s="304"/>
      <c r="GB27" s="304">
        <v>-9961</v>
      </c>
      <c r="GC27" s="304"/>
      <c r="GD27" s="304">
        <v>-20476</v>
      </c>
      <c r="GE27" s="304">
        <v>1411</v>
      </c>
      <c r="GF27" s="304"/>
      <c r="GG27" s="304"/>
      <c r="GH27" s="304">
        <v>3242.36</v>
      </c>
      <c r="GI27" s="304">
        <v>5369.2599999999993</v>
      </c>
      <c r="GJ27" s="304">
        <v>25366.430000000004</v>
      </c>
      <c r="GK27" s="304"/>
      <c r="GL27" s="304">
        <v>216</v>
      </c>
      <c r="GM27" s="304">
        <v>6825.7900000000027</v>
      </c>
      <c r="GN27" s="304">
        <v>261</v>
      </c>
      <c r="GO27" s="304">
        <v>2685.96</v>
      </c>
      <c r="GP27" s="304">
        <v>3675.17</v>
      </c>
      <c r="GQ27" s="304">
        <v>2163</v>
      </c>
      <c r="GR27" s="304">
        <v>560</v>
      </c>
      <c r="GS27" s="304">
        <v>1097.32</v>
      </c>
      <c r="GT27" s="304">
        <v>2204.0399999999995</v>
      </c>
      <c r="GU27" s="304"/>
      <c r="GV27" s="304"/>
      <c r="GW27" s="304"/>
      <c r="GX27" s="304"/>
      <c r="GY27" s="304"/>
      <c r="GZ27" s="304"/>
      <c r="HA27" s="304">
        <v>-39907</v>
      </c>
      <c r="HB27" s="304">
        <v>-1858.14</v>
      </c>
      <c r="HC27" s="304">
        <v>-1539.9999999999998</v>
      </c>
      <c r="HD27" s="304"/>
      <c r="HE27" s="304">
        <v>-16997.36</v>
      </c>
      <c r="HF27" s="304">
        <v>-29139.740000000009</v>
      </c>
      <c r="HG27" s="304"/>
      <c r="HH27" s="304">
        <v>-2672.2500000000005</v>
      </c>
      <c r="HI27" s="304"/>
      <c r="HJ27" s="304">
        <v>-2754</v>
      </c>
      <c r="HK27" s="304">
        <v>-37528.410000000011</v>
      </c>
      <c r="HL27" s="304"/>
      <c r="HM27" s="304">
        <v>-10106.35</v>
      </c>
      <c r="HN27" s="304"/>
      <c r="HO27" s="304"/>
      <c r="HP27" s="304">
        <v>-5208</v>
      </c>
      <c r="HQ27" s="304">
        <v>-10.69</v>
      </c>
      <c r="HR27" s="304"/>
      <c r="HS27" s="304"/>
      <c r="HT27" s="304"/>
      <c r="HU27" s="304"/>
    </row>
    <row r="28" spans="1:229">
      <c r="A28" s="116">
        <v>107598</v>
      </c>
      <c r="B28" s="304"/>
      <c r="C28" s="304">
        <v>133530.79999999999</v>
      </c>
      <c r="D28" s="304">
        <v>9703.68</v>
      </c>
      <c r="E28" s="304">
        <v>9667</v>
      </c>
      <c r="F28" s="304">
        <v>53952.67</v>
      </c>
      <c r="G28" s="304">
        <v>24475.89</v>
      </c>
      <c r="H28" s="304">
        <v>6211.8100000000013</v>
      </c>
      <c r="I28" s="304"/>
      <c r="J28" s="304">
        <v>1781.5300000000002</v>
      </c>
      <c r="K28" s="304">
        <v>587.95000000000005</v>
      </c>
      <c r="L28" s="304"/>
      <c r="M28" s="304"/>
      <c r="N28" s="304"/>
      <c r="O28" s="304"/>
      <c r="P28" s="304"/>
      <c r="Q28" s="304"/>
      <c r="R28" s="304"/>
      <c r="S28" s="304"/>
      <c r="T28" s="304"/>
      <c r="U28" s="304"/>
      <c r="V28" s="304"/>
      <c r="W28" s="304"/>
      <c r="X28" s="304"/>
      <c r="Y28" s="304"/>
      <c r="Z28" s="304"/>
      <c r="AA28" s="304">
        <v>2223.38</v>
      </c>
      <c r="AB28" s="304">
        <v>6.22</v>
      </c>
      <c r="AC28" s="304"/>
      <c r="AD28" s="304">
        <v>588.56999999999994</v>
      </c>
      <c r="AE28" s="304">
        <v>264.58</v>
      </c>
      <c r="AF28" s="304">
        <v>6001.47</v>
      </c>
      <c r="AG28" s="304">
        <v>39.549999999999997</v>
      </c>
      <c r="AH28" s="304"/>
      <c r="AI28" s="304">
        <v>439.56</v>
      </c>
      <c r="AJ28" s="304">
        <v>658.5</v>
      </c>
      <c r="AK28" s="304"/>
      <c r="AL28" s="304"/>
      <c r="AM28" s="304"/>
      <c r="AN28" s="304">
        <v>50800.68</v>
      </c>
      <c r="AO28" s="304">
        <v>430.83000000000004</v>
      </c>
      <c r="AP28" s="304">
        <v>1577.9099999999999</v>
      </c>
      <c r="AQ28" s="304">
        <v>11671.62</v>
      </c>
      <c r="AR28" s="304">
        <v>5535.1400000000012</v>
      </c>
      <c r="AS28" s="304"/>
      <c r="AT28" s="304"/>
      <c r="AU28" s="304"/>
      <c r="AV28" s="304"/>
      <c r="AW28" s="304"/>
      <c r="AX28" s="304">
        <v>25790.120000000003</v>
      </c>
      <c r="AY28" s="304"/>
      <c r="AZ28" s="304">
        <v>102.97999999999999</v>
      </c>
      <c r="BA28" s="304"/>
      <c r="BB28" s="304">
        <v>6423.85</v>
      </c>
      <c r="BC28" s="304">
        <v>3094.8200000000011</v>
      </c>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v>1025</v>
      </c>
      <c r="CF28" s="304">
        <v>607.11</v>
      </c>
      <c r="CG28" s="304"/>
      <c r="CH28" s="304">
        <v>0</v>
      </c>
      <c r="CI28" s="304"/>
      <c r="CJ28" s="304"/>
      <c r="CK28" s="304">
        <v>7043.6</v>
      </c>
      <c r="CL28" s="304">
        <v>2290</v>
      </c>
      <c r="CM28" s="304"/>
      <c r="CN28" s="304"/>
      <c r="CO28" s="304"/>
      <c r="CP28" s="304"/>
      <c r="CQ28" s="304"/>
      <c r="CR28" s="304">
        <v>570</v>
      </c>
      <c r="CS28" s="304">
        <v>9014.7199999999993</v>
      </c>
      <c r="CT28" s="304"/>
      <c r="CU28" s="304"/>
      <c r="CV28" s="304"/>
      <c r="CW28" s="304"/>
      <c r="CX28" s="304">
        <v>9149</v>
      </c>
      <c r="CY28" s="304">
        <v>3923.05</v>
      </c>
      <c r="CZ28" s="304">
        <v>929.86999999999989</v>
      </c>
      <c r="DA28" s="304">
        <v>90</v>
      </c>
      <c r="DB28" s="304">
        <v>493.14</v>
      </c>
      <c r="DC28" s="304">
        <v>156.88</v>
      </c>
      <c r="DD28" s="304"/>
      <c r="DE28" s="304"/>
      <c r="DF28" s="304"/>
      <c r="DG28" s="304"/>
      <c r="DH28" s="304"/>
      <c r="DI28" s="304"/>
      <c r="DJ28" s="304"/>
      <c r="DK28" s="304"/>
      <c r="DL28" s="304"/>
      <c r="DM28" s="304"/>
      <c r="DN28" s="304">
        <v>1374.16</v>
      </c>
      <c r="DO28" s="304"/>
      <c r="DP28" s="304"/>
      <c r="DQ28" s="304"/>
      <c r="DR28" s="304">
        <v>179</v>
      </c>
      <c r="DS28" s="304">
        <v>95</v>
      </c>
      <c r="DT28" s="304">
        <v>1396</v>
      </c>
      <c r="DU28" s="304">
        <v>10475.36</v>
      </c>
      <c r="DV28" s="304">
        <v>81.720000000000013</v>
      </c>
      <c r="DW28" s="304"/>
      <c r="DX28" s="304">
        <v>892.9799999999999</v>
      </c>
      <c r="DY28" s="304"/>
      <c r="DZ28" s="304">
        <v>323</v>
      </c>
      <c r="EA28" s="304"/>
      <c r="EB28" s="304">
        <v>15400</v>
      </c>
      <c r="EC28" s="304"/>
      <c r="ED28" s="304"/>
      <c r="EE28" s="304">
        <v>708.09</v>
      </c>
      <c r="EF28" s="426"/>
      <c r="EG28" s="304"/>
      <c r="EH28" s="304">
        <v>5702.9</v>
      </c>
      <c r="EI28" s="426"/>
      <c r="EJ28" s="304"/>
      <c r="EK28" s="304"/>
      <c r="EL28" s="304">
        <v>326.76</v>
      </c>
      <c r="EM28" s="304"/>
      <c r="EN28" s="304"/>
      <c r="EO28" s="304">
        <v>2733</v>
      </c>
      <c r="EP28" s="304">
        <v>375</v>
      </c>
      <c r="EQ28" s="304"/>
      <c r="ER28" s="304"/>
      <c r="ES28" s="304"/>
      <c r="ET28" s="304"/>
      <c r="EU28" s="304"/>
      <c r="EV28" s="304">
        <v>2428.46</v>
      </c>
      <c r="EW28" s="304">
        <v>1502.55</v>
      </c>
      <c r="EX28" s="304">
        <v>174.5</v>
      </c>
      <c r="EY28" s="304"/>
      <c r="EZ28" s="304">
        <v>8673.77</v>
      </c>
      <c r="FA28" s="304"/>
      <c r="FB28" s="304">
        <v>651.41</v>
      </c>
      <c r="FC28" s="304"/>
      <c r="FD28" s="304"/>
      <c r="FE28" s="304"/>
      <c r="FF28" s="304">
        <v>-432788.01</v>
      </c>
      <c r="FG28" s="304"/>
      <c r="FH28" s="304"/>
      <c r="FI28" s="304">
        <v>-1250</v>
      </c>
      <c r="FJ28" s="304">
        <v>-18180</v>
      </c>
      <c r="FK28" s="304"/>
      <c r="FL28" s="304"/>
      <c r="FM28" s="304">
        <v>-11518.81</v>
      </c>
      <c r="FN28" s="304"/>
      <c r="FO28" s="304">
        <v>-4551.25</v>
      </c>
      <c r="FP28" s="304">
        <v>-6738</v>
      </c>
      <c r="FQ28" s="304">
        <v>-15051</v>
      </c>
      <c r="FR28" s="304"/>
      <c r="FS28" s="304">
        <v>-317554.07</v>
      </c>
      <c r="FT28" s="304"/>
      <c r="FU28" s="304">
        <v>-5598.83</v>
      </c>
      <c r="FV28" s="304"/>
      <c r="FW28" s="304">
        <v>-15437</v>
      </c>
      <c r="FX28" s="304">
        <v>926.55</v>
      </c>
      <c r="FY28" s="304">
        <v>137.25</v>
      </c>
      <c r="FZ28" s="304">
        <v>-18974.77</v>
      </c>
      <c r="GA28" s="304"/>
      <c r="GB28" s="304">
        <v>-3508</v>
      </c>
      <c r="GC28" s="304"/>
      <c r="GD28" s="304">
        <v>-6855</v>
      </c>
      <c r="GE28" s="304">
        <v>588</v>
      </c>
      <c r="GF28" s="304"/>
      <c r="GG28" s="304"/>
      <c r="GH28" s="304">
        <v>1141</v>
      </c>
      <c r="GI28" s="304">
        <v>562</v>
      </c>
      <c r="GJ28" s="304">
        <v>15010.849999999997</v>
      </c>
      <c r="GK28" s="304">
        <v>13071.9</v>
      </c>
      <c r="GL28" s="304">
        <v>623</v>
      </c>
      <c r="GM28" s="304">
        <v>5319.54</v>
      </c>
      <c r="GN28" s="304"/>
      <c r="GO28" s="304">
        <v>3249.2200000000003</v>
      </c>
      <c r="GP28" s="304">
        <v>1180.5900000000001</v>
      </c>
      <c r="GQ28" s="304">
        <v>790</v>
      </c>
      <c r="GR28" s="304">
        <v>560</v>
      </c>
      <c r="GS28" s="304">
        <v>739.9</v>
      </c>
      <c r="GT28" s="304">
        <v>461.28000000000003</v>
      </c>
      <c r="GU28" s="304"/>
      <c r="GV28" s="304"/>
      <c r="GW28" s="304"/>
      <c r="GX28" s="304"/>
      <c r="GY28" s="304"/>
      <c r="GZ28" s="304"/>
      <c r="HA28" s="304"/>
      <c r="HB28" s="304"/>
      <c r="HC28" s="304"/>
      <c r="HD28" s="304"/>
      <c r="HE28" s="304">
        <v>-692.5</v>
      </c>
      <c r="HF28" s="304">
        <v>-5058.9299999999994</v>
      </c>
      <c r="HG28" s="304"/>
      <c r="HH28" s="304">
        <v>-544.4899999999999</v>
      </c>
      <c r="HI28" s="304"/>
      <c r="HJ28" s="304">
        <v>-343</v>
      </c>
      <c r="HK28" s="304"/>
      <c r="HL28" s="304"/>
      <c r="HM28" s="304"/>
      <c r="HN28" s="304">
        <v>-2709.5099999999993</v>
      </c>
      <c r="HO28" s="304"/>
      <c r="HP28" s="304">
        <v>-9148.5399999999991</v>
      </c>
      <c r="HQ28" s="304"/>
      <c r="HR28" s="304">
        <v>-15240.25</v>
      </c>
      <c r="HS28" s="304"/>
      <c r="HT28" s="304"/>
      <c r="HU28" s="304"/>
    </row>
    <row r="29" spans="1:229">
      <c r="A29" s="116"/>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426"/>
      <c r="EG29" s="304"/>
      <c r="EH29" s="304"/>
      <c r="EI29" s="426"/>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row>
    <row r="30" spans="1:229">
      <c r="A30" s="116"/>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426"/>
      <c r="EG30" s="304"/>
      <c r="EH30" s="304"/>
      <c r="EI30" s="426"/>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row>
    <row r="31" spans="1:229">
      <c r="A31" s="116"/>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row>
    <row r="32" spans="1:229">
      <c r="A32" s="407" t="s">
        <v>1008</v>
      </c>
      <c r="C32" s="246"/>
    </row>
    <row r="33" spans="1:11">
      <c r="A33" s="167"/>
      <c r="C33" s="246"/>
    </row>
    <row r="34" spans="1:11">
      <c r="A34" s="167"/>
      <c r="C34" s="246"/>
      <c r="K34" s="434" t="s">
        <v>1031</v>
      </c>
    </row>
    <row r="35" spans="1:11">
      <c r="A35" s="167"/>
      <c r="C35" s="246"/>
    </row>
    <row r="36" spans="1:11">
      <c r="A36" s="167"/>
      <c r="C36" s="246"/>
    </row>
    <row r="37" spans="1:11">
      <c r="A37" s="167"/>
      <c r="C37" s="246"/>
    </row>
    <row r="38" spans="1:11">
      <c r="A38" s="167"/>
      <c r="C38" s="246"/>
    </row>
    <row r="39" spans="1:11">
      <c r="A39" s="167"/>
      <c r="C39" s="246"/>
    </row>
    <row r="40" spans="1:11">
      <c r="A40" s="167"/>
      <c r="C40" s="246"/>
    </row>
    <row r="41" spans="1:11">
      <c r="A41" s="167"/>
      <c r="C41" s="246"/>
    </row>
    <row r="42" spans="1:11">
      <c r="A42" s="167"/>
      <c r="C42" s="246"/>
    </row>
    <row r="43" spans="1:11">
      <c r="A43" s="167"/>
      <c r="C43" s="246"/>
    </row>
    <row r="44" spans="1:11">
      <c r="A44" s="167"/>
      <c r="C44" s="246"/>
    </row>
    <row r="45" spans="1:11">
      <c r="A45" s="167"/>
      <c r="C45" s="246"/>
    </row>
    <row r="46" spans="1:11">
      <c r="A46" s="167"/>
      <c r="C46" s="246"/>
    </row>
    <row r="47" spans="1:11">
      <c r="A47" s="167"/>
      <c r="C47" s="246"/>
    </row>
    <row r="48" spans="1:11">
      <c r="A48" s="167"/>
      <c r="C48" s="246"/>
    </row>
    <row r="49" spans="1:3">
      <c r="A49" s="167"/>
      <c r="C49" s="246"/>
    </row>
    <row r="50" spans="1:3">
      <c r="A50" s="167"/>
      <c r="C50" s="246"/>
    </row>
    <row r="51" spans="1:3">
      <c r="A51" s="167"/>
      <c r="C51" s="246"/>
    </row>
    <row r="52" spans="1:3">
      <c r="A52" s="167"/>
      <c r="C52" s="246"/>
    </row>
    <row r="53" spans="1:3">
      <c r="A53" s="167"/>
      <c r="C53" s="246"/>
    </row>
    <row r="54" spans="1:3">
      <c r="A54" s="167"/>
      <c r="C54" s="246"/>
    </row>
    <row r="55" spans="1:3">
      <c r="A55" s="167"/>
      <c r="C55" s="246"/>
    </row>
    <row r="56" spans="1:3">
      <c r="A56" s="167"/>
      <c r="C56" s="246"/>
    </row>
    <row r="57" spans="1:3">
      <c r="A57" s="167"/>
      <c r="C57" s="246"/>
    </row>
    <row r="58" spans="1:3">
      <c r="A58" s="167"/>
      <c r="C58" s="246"/>
    </row>
    <row r="59" spans="1:3">
      <c r="A59" s="167"/>
      <c r="C59" s="246"/>
    </row>
    <row r="60" spans="1:3">
      <c r="A60" s="167"/>
      <c r="C60" s="246"/>
    </row>
    <row r="61" spans="1:3">
      <c r="A61" s="167"/>
      <c r="C61" s="246"/>
    </row>
    <row r="62" spans="1:3">
      <c r="A62" s="167"/>
      <c r="C62" s="246"/>
    </row>
    <row r="63" spans="1:3">
      <c r="A63" s="167"/>
      <c r="C63" s="246"/>
    </row>
    <row r="64" spans="1:3">
      <c r="A64" s="167"/>
      <c r="C64" s="246"/>
    </row>
    <row r="65" spans="1:3">
      <c r="A65" s="167"/>
      <c r="C65" s="246"/>
    </row>
    <row r="66" spans="1:3">
      <c r="A66" s="167"/>
      <c r="C66" s="246"/>
    </row>
    <row r="67" spans="1:3">
      <c r="A67" s="167"/>
      <c r="C67" s="246"/>
    </row>
    <row r="68" spans="1:3">
      <c r="A68" s="167"/>
      <c r="C68" s="246"/>
    </row>
    <row r="69" spans="1:3">
      <c r="A69" s="167"/>
      <c r="C69" s="246"/>
    </row>
    <row r="70" spans="1:3">
      <c r="A70" s="167"/>
      <c r="C70" s="246"/>
    </row>
    <row r="71" spans="1:3">
      <c r="A71" s="167"/>
      <c r="C71" s="246"/>
    </row>
    <row r="72" spans="1:3">
      <c r="A72" s="167"/>
      <c r="C72" s="246"/>
    </row>
    <row r="73" spans="1:3">
      <c r="A73" s="167"/>
      <c r="C73" s="246"/>
    </row>
    <row r="74" spans="1:3">
      <c r="A74" s="167"/>
      <c r="C74" s="246"/>
    </row>
    <row r="75" spans="1:3">
      <c r="A75" s="167"/>
      <c r="C75" s="246"/>
    </row>
    <row r="76" spans="1:3">
      <c r="A76" s="167"/>
      <c r="C76" s="246"/>
    </row>
    <row r="77" spans="1:3">
      <c r="A77" s="167"/>
      <c r="C77" s="246"/>
    </row>
    <row r="78" spans="1:3">
      <c r="A78" s="167"/>
      <c r="C78" s="246"/>
    </row>
    <row r="79" spans="1:3">
      <c r="A79" s="167"/>
      <c r="C79" s="246"/>
    </row>
    <row r="80" spans="1:3">
      <c r="A80" s="167"/>
      <c r="C80" s="246"/>
    </row>
    <row r="81" spans="1:3">
      <c r="A81" s="167"/>
      <c r="C81" s="246"/>
    </row>
    <row r="82" spans="1:3">
      <c r="A82" s="167"/>
      <c r="C82" s="246"/>
    </row>
    <row r="83" spans="1:3">
      <c r="A83" s="167"/>
      <c r="C83" s="246"/>
    </row>
    <row r="84" spans="1:3">
      <c r="A84" s="167"/>
      <c r="C84" s="246"/>
    </row>
    <row r="85" spans="1:3">
      <c r="A85" s="167"/>
      <c r="C85" s="246"/>
    </row>
    <row r="86" spans="1:3">
      <c r="A86" s="167"/>
      <c r="C86" s="246"/>
    </row>
    <row r="87" spans="1:3">
      <c r="A87" s="167"/>
      <c r="C87" s="246"/>
    </row>
    <row r="88" spans="1:3">
      <c r="A88" s="167"/>
      <c r="C88" s="246"/>
    </row>
    <row r="89" spans="1:3">
      <c r="A89" s="167"/>
      <c r="C89" s="246"/>
    </row>
    <row r="90" spans="1:3">
      <c r="A90" s="167"/>
      <c r="C90" s="246"/>
    </row>
    <row r="91" spans="1:3">
      <c r="A91" s="167"/>
      <c r="C91" s="246"/>
    </row>
    <row r="92" spans="1:3">
      <c r="A92" s="167"/>
      <c r="C92" s="246"/>
    </row>
    <row r="93" spans="1:3">
      <c r="A93" s="167"/>
      <c r="C93" s="222"/>
    </row>
    <row r="94" spans="1:3">
      <c r="A94" s="167"/>
      <c r="C94" s="222"/>
    </row>
    <row r="95" spans="1:3">
      <c r="A95" s="167"/>
      <c r="C95" s="222"/>
    </row>
    <row r="96" spans="1:3">
      <c r="A96" s="167"/>
      <c r="C96" s="222"/>
    </row>
    <row r="97" spans="1:3">
      <c r="A97" s="167"/>
      <c r="C97" s="222"/>
    </row>
    <row r="98" spans="1:3">
      <c r="A98" s="167"/>
      <c r="C98" s="222"/>
    </row>
    <row r="99" spans="1:3">
      <c r="A99" s="167"/>
      <c r="C99" s="222"/>
    </row>
    <row r="100" spans="1:3">
      <c r="A100" s="167"/>
      <c r="C100" s="222"/>
    </row>
    <row r="101" spans="1:3">
      <c r="A101" s="167"/>
      <c r="C101" s="222"/>
    </row>
    <row r="102" spans="1:3">
      <c r="A102" s="167"/>
      <c r="C102" s="222"/>
    </row>
    <row r="103" spans="1:3">
      <c r="A103" s="167"/>
      <c r="C103" s="222"/>
    </row>
    <row r="104" spans="1:3">
      <c r="A104" s="167"/>
      <c r="C104" s="222"/>
    </row>
    <row r="105" spans="1:3">
      <c r="A105" s="167"/>
      <c r="C105" s="222"/>
    </row>
    <row r="106" spans="1:3">
      <c r="A106" s="167"/>
      <c r="C106" s="222"/>
    </row>
    <row r="107" spans="1:3">
      <c r="A107" s="167"/>
      <c r="C107" s="222"/>
    </row>
    <row r="108" spans="1:3">
      <c r="A108" s="167"/>
      <c r="C108" s="222"/>
    </row>
    <row r="109" spans="1:3">
      <c r="A109" s="167"/>
      <c r="C109" s="222"/>
    </row>
    <row r="110" spans="1:3">
      <c r="A110" s="167"/>
      <c r="C110" s="222"/>
    </row>
    <row r="111" spans="1:3">
      <c r="A111" s="167"/>
      <c r="C111" s="222"/>
    </row>
    <row r="112" spans="1:3">
      <c r="A112" s="167"/>
      <c r="C112" s="222"/>
    </row>
    <row r="113" spans="1:3">
      <c r="A113" s="167"/>
      <c r="C113" s="222"/>
    </row>
    <row r="114" spans="1:3">
      <c r="A114" s="167"/>
      <c r="C114" s="222"/>
    </row>
    <row r="115" spans="1:3">
      <c r="A115" s="167"/>
      <c r="C115" s="222"/>
    </row>
    <row r="116" spans="1:3">
      <c r="A116" s="167"/>
      <c r="C116" s="222"/>
    </row>
    <row r="117" spans="1:3">
      <c r="A117" s="167"/>
      <c r="C117" s="222"/>
    </row>
    <row r="118" spans="1:3">
      <c r="A118" s="167"/>
      <c r="C118" s="222"/>
    </row>
    <row r="119" spans="1:3">
      <c r="A119" s="167"/>
      <c r="C119" s="222"/>
    </row>
    <row r="120" spans="1:3">
      <c r="A120" s="167"/>
      <c r="C120" s="222"/>
    </row>
    <row r="121" spans="1:3">
      <c r="A121" s="167"/>
      <c r="C121" s="222"/>
    </row>
    <row r="122" spans="1:3">
      <c r="A122" s="167"/>
      <c r="C122" s="222"/>
    </row>
    <row r="123" spans="1:3">
      <c r="A123" s="167"/>
      <c r="C123" s="222"/>
    </row>
    <row r="124" spans="1:3">
      <c r="A124" s="167"/>
      <c r="C124" s="222"/>
    </row>
    <row r="125" spans="1:3">
      <c r="A125" s="167"/>
      <c r="C125" s="222"/>
    </row>
    <row r="126" spans="1:3">
      <c r="A126" s="167"/>
      <c r="C126" s="222"/>
    </row>
    <row r="127" spans="1:3">
      <c r="A127" s="167"/>
      <c r="C127" s="222"/>
    </row>
    <row r="128" spans="1:3">
      <c r="A128" s="167"/>
      <c r="C128" s="222"/>
    </row>
    <row r="129" spans="1:3">
      <c r="A129" s="167"/>
      <c r="C129" s="222"/>
    </row>
    <row r="130" spans="1:3">
      <c r="A130" s="167"/>
      <c r="C130" s="222"/>
    </row>
    <row r="131" spans="1:3">
      <c r="A131" s="167"/>
      <c r="C131" s="222"/>
    </row>
    <row r="132" spans="1:3">
      <c r="A132" s="167"/>
      <c r="C132" s="222"/>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M30"/>
  <sheetViews>
    <sheetView topLeftCell="G1" workbookViewId="0">
      <selection activeCell="A3" sqref="A3:GK27"/>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 min="115" max="115" width="9.140625" style="142"/>
  </cols>
  <sheetData>
    <row r="1" spans="1:195"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E03</v>
      </c>
      <c r="R1" s="46" t="str">
        <f>VLOOKUP(R2,'Sch Nums for Downloads'!$P$5:$Q$487,2,FALSE)</f>
        <v>E03</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E31</v>
      </c>
      <c r="AN1" s="46" t="str">
        <f>VLOOKUP(AN2,'Sch Nums for Downloads'!$P$5:$Q$487,2,FALSE)</f>
        <v>E31</v>
      </c>
      <c r="AO1" s="46" t="str">
        <f>VLOOKUP(AO2,'Sch Nums for Downloads'!$P$5:$Q$487,2,FALSE)</f>
        <v>E31</v>
      </c>
      <c r="AP1" s="46" t="str">
        <f>VLOOKUP(AP2,'Sch Nums for Downloads'!$P$5:$Q$487,2,FALSE)</f>
        <v>E31</v>
      </c>
      <c r="AQ1" s="46" t="str">
        <f>VLOOKUP(AQ2,'Sch Nums for Downloads'!$P$5:$Q$487,2,FALSE)</f>
        <v>E31</v>
      </c>
      <c r="AR1" s="46" t="str">
        <f>VLOOKUP(AR2,'Sch Nums for Downloads'!$P$5:$Q$487,2,FALSE)</f>
        <v>E07</v>
      </c>
      <c r="AS1" s="46" t="str">
        <f>VLOOKUP(AS2,'Sch Nums for Downloads'!$P$5:$Q$487,2,FALSE)</f>
        <v>E07</v>
      </c>
      <c r="AT1" s="46" t="str">
        <f>VLOOKUP(AT2,'Sch Nums for Downloads'!$P$5:$Q$487,2,FALSE)</f>
        <v>E07</v>
      </c>
      <c r="AU1" s="46" t="str">
        <f>VLOOKUP(AU2,'Sch Nums for Downloads'!$P$5:$Q$487,2,FALSE)</f>
        <v>E05</v>
      </c>
      <c r="AV1" s="46" t="str">
        <f>VLOOKUP(AV2,'Sch Nums for Downloads'!$P$5:$Q$487,2,FALSE)</f>
        <v>E05</v>
      </c>
      <c r="AW1" s="46" t="str">
        <f>VLOOKUP(AW2,'Sch Nums for Downloads'!$P$5:$Q$487,2,FALSE)</f>
        <v>E05</v>
      </c>
      <c r="AX1" s="46" t="str">
        <f>VLOOKUP(AX2,'Sch Nums for Downloads'!$P$5:$Q$487,2,FALSE)</f>
        <v>E28A</v>
      </c>
      <c r="AY1" s="46" t="str">
        <f>VLOOKUP(AY2,'Sch Nums for Downloads'!$P$5:$Q$487,2,FALSE)</f>
        <v>E05</v>
      </c>
      <c r="AZ1" s="46" t="str">
        <f>VLOOKUP(AZ2,'Sch Nums for Downloads'!$P$5:$Q$487,2,FALSE)</f>
        <v>E05</v>
      </c>
      <c r="BA1" s="46" t="str">
        <f>VLOOKUP(BA2,'Sch Nums for Downloads'!$P$5:$Q$487,2,FALSE)</f>
        <v>E04</v>
      </c>
      <c r="BB1" s="46" t="str">
        <f>VLOOKUP(BB2,'Sch Nums for Downloads'!$P$5:$Q$487,2,FALSE)</f>
        <v>E04</v>
      </c>
      <c r="BC1" s="46" t="str">
        <f>VLOOKUP(BC2,'Sch Nums for Downloads'!$P$5:$Q$487,2,FALSE)</f>
        <v>E04</v>
      </c>
      <c r="BD1" s="46" t="str">
        <f>VLOOKUP(BD2,'Sch Nums for Downloads'!$P$5:$Q$487,2,FALSE)</f>
        <v>E06</v>
      </c>
      <c r="BE1" s="46" t="str">
        <f>VLOOKUP(BE2,'Sch Nums for Downloads'!$P$5:$Q$487,2,FALSE)</f>
        <v>E06</v>
      </c>
      <c r="BF1" s="46" t="str">
        <f>VLOOKUP(BF2,'Sch Nums for Downloads'!$P$5:$Q$487,2,FALSE)</f>
        <v>E06</v>
      </c>
      <c r="BG1" s="46" t="str">
        <f>VLOOKUP(BG2,'Sch Nums for Downloads'!$P$5:$Q$487,2,FALSE)</f>
        <v>E06</v>
      </c>
      <c r="BH1" s="46" t="str">
        <f>VLOOKUP(BH2,'Sch Nums for Downloads'!$P$5:$Q$487,2,FALSE)</f>
        <v>E04</v>
      </c>
      <c r="BI1" s="46" t="str">
        <f>VLOOKUP(BI2,'Sch Nums for Downloads'!$P$5:$Q$487,2,FALSE)</f>
        <v>E04</v>
      </c>
      <c r="BJ1" s="46" t="str">
        <f>VLOOKUP(BJ2,'Sch Nums for Downloads'!$P$5:$Q$487,2,FALSE)</f>
        <v>E04</v>
      </c>
      <c r="BK1" s="46" t="str">
        <f>VLOOKUP(BK2,'Sch Nums for Downloads'!$P$5:$Q$487,2,FALSE)</f>
        <v>E04</v>
      </c>
      <c r="BL1" s="46" t="str">
        <f>VLOOKUP(BL2,'Sch Nums for Downloads'!$P$5:$Q$487,2,FALSE)</f>
        <v>E04</v>
      </c>
      <c r="BM1" s="46" t="str">
        <f>VLOOKUP(BM2,'Sch Nums for Downloads'!$P$5:$Q$487,2,FALSE)</f>
        <v>E07</v>
      </c>
      <c r="BN1" s="46" t="str">
        <f>VLOOKUP(BN2,'Sch Nums for Downloads'!$P$5:$Q$487,2,FALSE)</f>
        <v>E08</v>
      </c>
      <c r="BO1" s="46" t="str">
        <f>VLOOKUP(BO2,'Sch Nums for Downloads'!$P$5:$Q$487,2,FALSE)</f>
        <v>E08</v>
      </c>
      <c r="BP1" s="46" t="str">
        <f>VLOOKUP(BP2,'Sch Nums for Downloads'!$P$5:$Q$487,2,FALSE)</f>
        <v>E08</v>
      </c>
      <c r="BQ1" s="46" t="str">
        <f>VLOOKUP(BQ2,'Sch Nums for Downloads'!$P$5:$Q$487,2,FALSE)</f>
        <v>E08</v>
      </c>
      <c r="BR1" s="46" t="str">
        <f>VLOOKUP(BR2,'Sch Nums for Downloads'!$P$5:$Q$487,2,FALSE)</f>
        <v>E09</v>
      </c>
      <c r="BS1" s="46" t="str">
        <f>VLOOKUP(BS2,'Sch Nums for Downloads'!$P$5:$Q$487,2,FALSE)</f>
        <v>E11</v>
      </c>
      <c r="BT1" s="46" t="str">
        <f>VLOOKUP(BT2,'Sch Nums for Downloads'!$P$5:$Q$487,2,FALSE)</f>
        <v>E08</v>
      </c>
      <c r="BU1" s="46" t="str">
        <f>VLOOKUP(BU2,'Sch Nums for Downloads'!$P$5:$Q$487,2,FALSE)</f>
        <v>E08</v>
      </c>
      <c r="BV1" s="46" t="str">
        <f>VLOOKUP(BV2,'Sch Nums for Downloads'!$P$5:$Q$487,2,FALSE)</f>
        <v>E27</v>
      </c>
      <c r="BW1" s="46" t="str">
        <f>VLOOKUP(BW2,'Sch Nums for Downloads'!$P$5:$Q$487,2,FALSE)</f>
        <v>E12</v>
      </c>
      <c r="BX1" s="46" t="str">
        <f>VLOOKUP(BX2,'Sch Nums for Downloads'!$P$5:$Q$487,2,FALSE)</f>
        <v>E13</v>
      </c>
      <c r="BY1" s="46" t="str">
        <f>VLOOKUP(BY2,'Sch Nums for Downloads'!$P$5:$Q$487,2,FALSE)</f>
        <v>CE02</v>
      </c>
      <c r="BZ1" s="46" t="str">
        <f>VLOOKUP(BZ2,'Sch Nums for Downloads'!$P$5:$Q$487,2,FALSE)</f>
        <v>CE04A</v>
      </c>
      <c r="CA1" s="46" t="str">
        <f>VLOOKUP(CA2,'Sch Nums for Downloads'!$P$5:$Q$487,2,FALSE)</f>
        <v>CE04D</v>
      </c>
      <c r="CB1" s="46" t="str">
        <f>VLOOKUP(CB2,'Sch Nums for Downloads'!$P$5:$Q$487,2,FALSE)</f>
        <v>CE04E</v>
      </c>
      <c r="CC1" s="46" t="str">
        <f>VLOOKUP(CC2,'Sch Nums for Downloads'!$P$5:$Q$487,2,FALSE)</f>
        <v>CE02</v>
      </c>
      <c r="CD1" s="46" t="str">
        <f>VLOOKUP(CD2,'Sch Nums for Downloads'!$P$5:$Q$487,2,FALSE)</f>
        <v>E18</v>
      </c>
      <c r="CE1" s="46" t="str">
        <f>VLOOKUP(CE2,'Sch Nums for Downloads'!$P$5:$Q$487,2,FALSE)</f>
        <v>E16</v>
      </c>
      <c r="CF1" s="46" t="str">
        <f>VLOOKUP(CF2,'Sch Nums for Downloads'!$P$5:$Q$487,2,FALSE)</f>
        <v>E16</v>
      </c>
      <c r="CG1" s="46" t="str">
        <f>VLOOKUP(CG2,'Sch Nums for Downloads'!$P$5:$Q$487,2,FALSE)</f>
        <v>E16</v>
      </c>
      <c r="CH1" s="46" t="str">
        <f>VLOOKUP(CH2,'Sch Nums for Downloads'!$P$5:$Q$487,2,FALSE)</f>
        <v>E18</v>
      </c>
      <c r="CI1" s="46" t="str">
        <f>VLOOKUP(CI2,'Sch Nums for Downloads'!$P$5:$Q$487,2,FALSE)</f>
        <v>E18</v>
      </c>
      <c r="CJ1" s="46" t="str">
        <f>VLOOKUP(CJ2,'Sch Nums for Downloads'!$P$5:$Q$487,2,FALSE)</f>
        <v>E18</v>
      </c>
      <c r="CK1" s="46" t="str">
        <f>VLOOKUP(CK2,'Sch Nums for Downloads'!$P$5:$Q$487,2,FALSE)</f>
        <v>E17</v>
      </c>
      <c r="CL1" s="46" t="str">
        <f>VLOOKUP(CL2,'Sch Nums for Downloads'!$P$5:$Q$487,2,FALSE)</f>
        <v>E15</v>
      </c>
      <c r="CM1" s="46" t="str">
        <f>VLOOKUP(CM2,'Sch Nums for Downloads'!$P$5:$Q$487,2,FALSE)</f>
        <v>E18</v>
      </c>
      <c r="CN1" s="46" t="str">
        <f>VLOOKUP(CN2,'Sch Nums for Downloads'!$P$5:$Q$487,2,FALSE)</f>
        <v>E14</v>
      </c>
      <c r="CO1" s="46" t="str">
        <f>VLOOKUP(CO2,'Sch Nums for Downloads'!$P$5:$Q$487,2,FALSE)</f>
        <v>E18</v>
      </c>
      <c r="CP1" s="46" t="str">
        <f>VLOOKUP(CP2,'Sch Nums for Downloads'!$P$5:$Q$487,2,FALSE)</f>
        <v>E19</v>
      </c>
      <c r="CQ1" s="46" t="str">
        <f>VLOOKUP(CQ2,'Sch Nums for Downloads'!$P$5:$Q$487,2,FALSE)</f>
        <v>E08</v>
      </c>
      <c r="CR1" s="46" t="str">
        <f>VLOOKUP(CR2,'Sch Nums for Downloads'!$P$5:$Q$487,2,FALSE)</f>
        <v>E08</v>
      </c>
      <c r="CS1" s="46" t="str">
        <f>VLOOKUP(CS2,'Sch Nums for Downloads'!$P$5:$Q$487,2,FALSE)</f>
        <v>E23</v>
      </c>
      <c r="CT1" s="46" t="str">
        <f>VLOOKUP(CT2,'Sch Nums for Downloads'!$P$5:$Q$487,2,FALSE)</f>
        <v>E22</v>
      </c>
      <c r="CU1" s="46" t="str">
        <f>VLOOKUP(CU2,'Sch Nums for Downloads'!$P$5:$Q$487,2,FALSE)</f>
        <v>CE04A</v>
      </c>
      <c r="CV1" s="46" t="str">
        <f>VLOOKUP(CV2,'Sch Nums for Downloads'!$P$5:$Q$487,2,FALSE)</f>
        <v>CE04C</v>
      </c>
      <c r="CW1" s="46" t="str">
        <f>VLOOKUP(CW2,'Sch Nums for Downloads'!$P$5:$Q$487,2,FALSE)</f>
        <v>CE04D</v>
      </c>
      <c r="CX1" s="46" t="str">
        <f>VLOOKUP(CX2,'Sch Nums for Downloads'!$P$5:$Q$487,2,FALSE)</f>
        <v>CE04E</v>
      </c>
      <c r="CY1" s="46" t="str">
        <f>VLOOKUP(CY2,'Sch Nums for Downloads'!$P$5:$Q$487,2,FALSE)</f>
        <v>E19</v>
      </c>
      <c r="CZ1" s="46" t="str">
        <f>VLOOKUP(CZ2,'Sch Nums for Downloads'!$P$5:$Q$487,2,FALSE)</f>
        <v>E08</v>
      </c>
      <c r="DA1" s="46" t="str">
        <f>VLOOKUP(DA2,'Sch Nums for Downloads'!$P$5:$Q$487,2,FALSE)</f>
        <v>E19</v>
      </c>
      <c r="DB1" s="46" t="str">
        <f>VLOOKUP(DB2,'Sch Nums for Downloads'!$P$5:$Q$487,2,FALSE)</f>
        <v>E22</v>
      </c>
      <c r="DC1" s="46" t="str">
        <f>VLOOKUP(DC2,'Sch Nums for Downloads'!$P$5:$Q$487,2,FALSE)</f>
        <v>E22</v>
      </c>
      <c r="DD1" s="46" t="str">
        <f>VLOOKUP(DD2,'Sch Nums for Downloads'!$P$5:$Q$487,2,FALSE)</f>
        <v>E22</v>
      </c>
      <c r="DE1" s="46" t="str">
        <f>VLOOKUP(DE2,'Sch Nums for Downloads'!$P$5:$Q$487,2,FALSE)</f>
        <v>E19</v>
      </c>
      <c r="DF1" s="46" t="str">
        <f>VLOOKUP(DF2,'Sch Nums for Downloads'!$P$5:$Q$487,2,FALSE)</f>
        <v>E28A</v>
      </c>
      <c r="DG1" s="46" t="str">
        <f>VLOOKUP(DG2,'Sch Nums for Downloads'!$P$5:$Q$487,2,FALSE)</f>
        <v>E27</v>
      </c>
      <c r="DH1" s="46" t="str">
        <f>VLOOKUP(DH2,'Sch Nums for Downloads'!$P$5:$Q$487,2,FALSE)</f>
        <v>E21</v>
      </c>
      <c r="DI1" s="46" t="str">
        <f>VLOOKUP(DI2,'Sch Nums for Downloads'!$P$5:$Q$487,2,FALSE)</f>
        <v>E22</v>
      </c>
      <c r="DJ1" s="46" t="str">
        <f>VLOOKUP(DJ2,'Sch Nums for Downloads'!$P$5:$Q$487,2,FALSE)</f>
        <v>E22</v>
      </c>
      <c r="DK1" s="159" t="str">
        <f>VLOOKUP(DK2,'Sch Nums for Downloads'!$P$5:$Q$487,2,FALSE)</f>
        <v>E20</v>
      </c>
      <c r="DL1" s="46" t="str">
        <f>VLOOKUP(DL2,'Sch Nums for Downloads'!$P$5:$Q$487,2,FALSE)</f>
        <v>E20A</v>
      </c>
      <c r="DM1" s="46" t="str">
        <f>VLOOKUP(DM2,'Sch Nums for Downloads'!$P$5:$Q$487,2,FALSE)</f>
        <v>E20B</v>
      </c>
      <c r="DN1" s="46" t="str">
        <f>VLOOKUP(DN2,'Sch Nums for Downloads'!$P$5:$Q$487,2,FALSE)</f>
        <v>E20C</v>
      </c>
      <c r="DO1" s="46" t="str">
        <f>VLOOKUP(DO2,'Sch Nums for Downloads'!$P$5:$Q$487,2,FALSE)</f>
        <v>E20D</v>
      </c>
      <c r="DP1" s="46" t="str">
        <f>VLOOKUP(DP2,'Sch Nums for Downloads'!$P$5:$Q$487,2,FALSE)</f>
        <v>E20E</v>
      </c>
      <c r="DQ1" s="46" t="str">
        <f>VLOOKUP(DQ2,'Sch Nums for Downloads'!$P$5:$Q$487,2,FALSE)</f>
        <v>E20F</v>
      </c>
      <c r="DR1" s="46" t="str">
        <f>VLOOKUP(DR2,'Sch Nums for Downloads'!$P$5:$Q$487,2,FALSE)</f>
        <v>E20G</v>
      </c>
      <c r="DS1" s="46" t="str">
        <f>VLOOKUP(DS2,'Sch Nums for Downloads'!$P$5:$Q$487,2,FALSE)</f>
        <v>E08</v>
      </c>
      <c r="DT1" s="46" t="str">
        <f>VLOOKUP(DT2,'Sch Nums for Downloads'!$P$5:$Q$487,2,FALSE)</f>
        <v>E08</v>
      </c>
      <c r="DU1" s="46" t="str">
        <f>VLOOKUP(DU2,'Sch Nums for Downloads'!$P$5:$Q$487,2,FALSE)</f>
        <v>E08</v>
      </c>
      <c r="DV1" s="46" t="str">
        <f>VLOOKUP(DV2,'Sch Nums for Downloads'!$P$5:$Q$487,2,FALSE)</f>
        <v>E22</v>
      </c>
      <c r="DW1" s="46" t="str">
        <f>VLOOKUP(DW2,'Sch Nums for Downloads'!$P$5:$Q$487,2,FALSE)</f>
        <v>E10</v>
      </c>
      <c r="DX1" s="46" t="str">
        <f>VLOOKUP(DX2,'Sch Nums for Downloads'!$P$5:$Q$487,2,FALSE)</f>
        <v>E23</v>
      </c>
      <c r="DY1" s="46" t="str">
        <f>VLOOKUP(DY2,'Sch Nums for Downloads'!$P$5:$Q$487,2,FALSE)</f>
        <v>E19</v>
      </c>
      <c r="DZ1" s="46" t="str">
        <f>VLOOKUP(DZ2,'Sch Nums for Downloads'!$P$5:$Q$487,2,FALSE)</f>
        <v>E25</v>
      </c>
      <c r="EA1" s="46" t="str">
        <f>VLOOKUP(EA2,'Sch Nums for Downloads'!$P$5:$Q$487,2,FALSE)</f>
        <v>E19</v>
      </c>
      <c r="EB1" s="46" t="str">
        <f>VLOOKUP(EB2,'Sch Nums for Downloads'!$P$5:$Q$487,2,FALSE)</f>
        <v>E32</v>
      </c>
      <c r="EC1" s="46" t="str">
        <f>VLOOKUP(EC2,'Sch Nums for Downloads'!$P$5:$Q$487,2,FALSE)</f>
        <v>E25</v>
      </c>
      <c r="ED1" s="46" t="str">
        <f>VLOOKUP(ED2,'Sch Nums for Downloads'!$P$5:$Q$487,2,FALSE)</f>
        <v>E22</v>
      </c>
      <c r="EE1" s="46" t="str">
        <f>VLOOKUP(EE2,'Sch Nums for Downloads'!$P$5:$Q$487,2,FALSE)</f>
        <v>I01</v>
      </c>
      <c r="EF1" s="46" t="str">
        <f>VLOOKUP(EF2,'Sch Nums for Downloads'!$P$5:$Q$487,2,FALSE)</f>
        <v>I01</v>
      </c>
      <c r="EG1" s="46" t="str">
        <f>VLOOKUP(EG2,'Sch Nums for Downloads'!$P$5:$Q$487,2,FALSE)</f>
        <v>I 08b</v>
      </c>
      <c r="EH1" s="46" t="str">
        <f>VLOOKUP(EH2,'Sch Nums for Downloads'!$P$5:$Q$487,2,FALSE)</f>
        <v>I07</v>
      </c>
      <c r="EI1" s="46" t="str">
        <f>VLOOKUP(EI2,'Sch Nums for Downloads'!$P$5:$Q$487,2,FALSE)</f>
        <v>I05</v>
      </c>
      <c r="EJ1" s="46" t="str">
        <f>VLOOKUP(EJ2,'Sch Nums for Downloads'!$P$5:$Q$487,2,FALSE)</f>
        <v>I01</v>
      </c>
      <c r="EK1" s="46" t="str">
        <f>VLOOKUP(EK2,'Sch Nums for Downloads'!$P$5:$Q$487,2,FALSE)</f>
        <v>I04</v>
      </c>
      <c r="EL1" s="46" t="str">
        <f>VLOOKUP(EL2,'Sch Nums for Downloads'!$P$5:$Q$487,2,FALSE)</f>
        <v>I06</v>
      </c>
      <c r="EM1" s="46" t="str">
        <f>VLOOKUP(EM2,'Sch Nums for Downloads'!$P$5:$Q$487,2,FALSE)</f>
        <v>I16</v>
      </c>
      <c r="EN1" s="46" t="str">
        <f>VLOOKUP(EN2,'Sch Nums for Downloads'!$P$5:$Q$487,2,FALSE)</f>
        <v>CI01</v>
      </c>
      <c r="EO1" s="46" t="str">
        <f>VLOOKUP(EO2,'Sch Nums for Downloads'!$P$5:$Q$487,2,FALSE)</f>
        <v>I06</v>
      </c>
      <c r="EP1" s="46" t="str">
        <f>VLOOKUP(EP2,'Sch Nums for Downloads'!$P$5:$Q$487,2,FALSE)</f>
        <v>I06</v>
      </c>
      <c r="EQ1" s="46" t="str">
        <f>VLOOKUP(EQ2,'Sch Nums for Downloads'!$P$5:$Q$487,2,FALSE)</f>
        <v>B01</v>
      </c>
      <c r="ER1" s="46" t="str">
        <f>VLOOKUP(ER2,'Sch Nums for Downloads'!$P$5:$Q$487,2,FALSE)</f>
        <v>B02</v>
      </c>
      <c r="ES1" s="46" t="str">
        <f>VLOOKUP(ES2,'Sch Nums for Downloads'!$P$5:$Q$487,2,FALSE)</f>
        <v>B03</v>
      </c>
      <c r="ET1" s="46" t="str">
        <f>VLOOKUP(ET2,'Sch Nums for Downloads'!$P$5:$Q$487,2,FALSE)</f>
        <v>B05</v>
      </c>
      <c r="EU1" s="46" t="str">
        <f>VLOOKUP(EU2,'Sch Nums for Downloads'!$P$5:$Q$487,2,FALSE)</f>
        <v>B06</v>
      </c>
      <c r="EV1" s="46" t="str">
        <f>VLOOKUP(EV2,'Sch Nums for Downloads'!$P$5:$Q$487,2,FALSE)</f>
        <v>I03</v>
      </c>
      <c r="EW1" s="46" t="str">
        <f>VLOOKUP(EW2,'Sch Nums for Downloads'!$P$5:$Q$487,2,FALSE)</f>
        <v>E23</v>
      </c>
      <c r="EX1" s="46" t="str">
        <f>VLOOKUP(EX2,'Sch Nums for Downloads'!$P$5:$Q$487,2,FALSE)</f>
        <v>E10</v>
      </c>
      <c r="EY1" s="46" t="str">
        <f>VLOOKUP(EY2,'Sch Nums for Downloads'!$P$5:$Q$487,2,FALSE)</f>
        <v>B 01_01</v>
      </c>
      <c r="EZ1" s="46" t="str">
        <f>VLOOKUP(EZ2,'Sch Nums for Downloads'!$P$5:$Q$487,2,FALSE)</f>
        <v>I01</v>
      </c>
      <c r="FA1" s="46" t="str">
        <f>VLOOKUP(FA2,'Sch Nums for Downloads'!$P$5:$Q$487,2,FALSE)</f>
        <v>I01</v>
      </c>
      <c r="FB1" s="46" t="str">
        <f>VLOOKUP(FB2,'Sch Nums for Downloads'!$P$5:$Q$487,2,FALSE)</f>
        <v>E09</v>
      </c>
      <c r="FC1" s="46" t="str">
        <f>VLOOKUP(FC2,'Sch Nums for Downloads'!$P$5:$Q$487,2,FALSE)</f>
        <v>E10</v>
      </c>
      <c r="FD1" s="46" t="str">
        <f>VLOOKUP(FD2,'Sch Nums for Downloads'!$P$5:$Q$487,2,FALSE)</f>
        <v>E12</v>
      </c>
      <c r="FE1" s="46" t="str">
        <f>VLOOKUP(FE2,'Sch Nums for Downloads'!$P$5:$Q$487,2,FALSE)</f>
        <v>E13</v>
      </c>
      <c r="FF1" s="46" t="str">
        <f>VLOOKUP(FF2,'Sch Nums for Downloads'!$P$5:$Q$487,2,FALSE)</f>
        <v>E14</v>
      </c>
      <c r="FG1" s="46" t="str">
        <f>VLOOKUP(FG2,'Sch Nums for Downloads'!$P$5:$Q$487,2,FALSE)</f>
        <v>E25</v>
      </c>
      <c r="FH1" s="46" t="str">
        <f>VLOOKUP(FH2,'Sch Nums for Downloads'!$P$5:$Q$487,2,FALSE)</f>
        <v>E27</v>
      </c>
      <c r="FI1" s="46" t="str">
        <f>VLOOKUP(FI2,'Sch Nums for Downloads'!$P$5:$Q$487,2,FALSE)</f>
        <v>E28A</v>
      </c>
      <c r="FJ1" s="46" t="str">
        <f>VLOOKUP(FJ2,'Sch Nums for Downloads'!$P$5:$Q$487,2,FALSE)</f>
        <v>E28A</v>
      </c>
      <c r="FK1" s="46" t="str">
        <f>VLOOKUP(FK2,'Sch Nums for Downloads'!$P$5:$Q$487,2,FALSE)</f>
        <v>E28A</v>
      </c>
      <c r="FL1" s="46" t="str">
        <f>VLOOKUP(FL2,'Sch Nums for Downloads'!$P$5:$Q$487,2,FALSE)</f>
        <v>E28A</v>
      </c>
      <c r="FM1" s="46" t="str">
        <f>VLOOKUP(FM2,'Sch Nums for Downloads'!$P$5:$Q$487,2,FALSE)</f>
        <v>E20G</v>
      </c>
      <c r="FN1" s="46" t="str">
        <f>VLOOKUP(FN2,'Sch Nums for Downloads'!$P$5:$Q$487,2,FALSE)</f>
        <v>E28A</v>
      </c>
      <c r="FO1" s="46" t="str">
        <f>VLOOKUP(FO2,'Sch Nums for Downloads'!$P$5:$Q$487,2,FALSE)</f>
        <v>E28A</v>
      </c>
      <c r="FP1" s="46" t="str">
        <f>VLOOKUP(FP2,'Sch Nums for Downloads'!$P$5:$Q$487,2,FALSE)</f>
        <v>E18</v>
      </c>
      <c r="FQ1" s="46" t="str">
        <f>VLOOKUP(FQ2,'Sch Nums for Downloads'!$P$5:$Q$487,2,FALSE)</f>
        <v>E19</v>
      </c>
      <c r="FR1" s="46" t="str">
        <f>VLOOKUP(FR2,'Sch Nums for Downloads'!$P$5:$Q$487,2,FALSE)</f>
        <v>E30</v>
      </c>
      <c r="FS1" s="46" t="str">
        <f>VLOOKUP(FS2,'Sch Nums for Downloads'!$P$5:$Q$487,2,FALSE)</f>
        <v>CI04</v>
      </c>
      <c r="FT1" s="46" t="str">
        <f>VLOOKUP(FT2,'Sch Nums for Downloads'!$P$5:$Q$487,2,FALSE)</f>
        <v>I05</v>
      </c>
      <c r="FU1" s="46" t="str">
        <f>VLOOKUP(FU2,'Sch Nums for Downloads'!$P$5:$Q$487,2,FALSE)</f>
        <v>I06</v>
      </c>
      <c r="FV1" s="46" t="str">
        <f>VLOOKUP(FV2,'Sch Nums for Downloads'!$P$5:$Q$487,2,FALSE)</f>
        <v>I07</v>
      </c>
      <c r="FW1" s="46" t="str">
        <f>VLOOKUP(FW2,'Sch Nums for Downloads'!$P$5:$Q$487,2,FALSE)</f>
        <v>I10</v>
      </c>
      <c r="FX1" s="46" t="str">
        <f>VLOOKUP(FX2,'Sch Nums for Downloads'!$P$5:$Q$487,2,FALSE)</f>
        <v>I13</v>
      </c>
      <c r="FY1" s="46" t="str">
        <f>VLOOKUP(FY2,'Sch Nums for Downloads'!$P$5:$Q$487,2,FALSE)</f>
        <v>I12</v>
      </c>
      <c r="FZ1" s="46" t="str">
        <f>VLOOKUP(FZ2,'Sch Nums for Downloads'!$P$5:$Q$487,2,FALSE)</f>
        <v>CI01</v>
      </c>
      <c r="GA1" s="46" t="str">
        <f>VLOOKUP(GA2,'Sch Nums for Downloads'!$P$5:$Q$487,2,FALSE)</f>
        <v>I12</v>
      </c>
      <c r="GB1" s="46" t="str">
        <f>VLOOKUP(GB2,'Sch Nums for Downloads'!$P$5:$Q$487,2,FALSE)</f>
        <v>I11</v>
      </c>
      <c r="GC1" s="46" t="str">
        <f>VLOOKUP(GC2,'Sch Nums for Downloads'!$P$5:$Q$487,2,FALSE)</f>
        <v>I09</v>
      </c>
      <c r="GD1" s="46" t="str">
        <f>VLOOKUP(GD2,'Sch Nums for Downloads'!$P$5:$Q$487,2,FALSE)</f>
        <v>I 08b</v>
      </c>
      <c r="GE1" s="46" t="str">
        <f>VLOOKUP(GE2,'Sch Nums for Downloads'!$P$5:$Q$487,2,FALSE)</f>
        <v>I 08a</v>
      </c>
      <c r="GF1" s="46" t="str">
        <f>VLOOKUP(GF2,'Sch Nums for Downloads'!$P$5:$Q$487,2,FALSE)</f>
        <v>I 08b</v>
      </c>
      <c r="GG1" s="46" t="str">
        <f>VLOOKUP(GG2,'Sch Nums for Downloads'!$P$5:$Q$487,2,FALSE)</f>
        <v>I 08b</v>
      </c>
      <c r="GH1" s="46" t="str">
        <f>VLOOKUP(GH2,'Sch Nums for Downloads'!$P$5:$Q$487,2,FALSE)</f>
        <v>I 08b</v>
      </c>
      <c r="GI1" s="46" t="str">
        <f>VLOOKUP(GI2,'Sch Nums for Downloads'!$P$5:$Q$487,2,FALSE)</f>
        <v>I 08b</v>
      </c>
      <c r="GJ1" s="46" t="str">
        <f>VLOOKUP(GJ2,'Sch Nums for Downloads'!$P$5:$Q$487,2,FALSE)</f>
        <v>I17</v>
      </c>
      <c r="GK1" s="46" t="str">
        <f>VLOOKUP(GK2,'Sch Nums for Downloads'!$P$5:$Q$487,2,FALSE)</f>
        <v>I 08b</v>
      </c>
    </row>
    <row r="2" spans="1:195"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10154</v>
      </c>
      <c r="P2" s="408">
        <v>10158</v>
      </c>
      <c r="Q2" s="408">
        <v>10159</v>
      </c>
      <c r="R2" s="408">
        <v>10161</v>
      </c>
      <c r="S2" s="408">
        <v>10181</v>
      </c>
      <c r="T2" s="408">
        <v>10182</v>
      </c>
      <c r="U2" s="408">
        <v>10184</v>
      </c>
      <c r="V2" s="408">
        <v>10188</v>
      </c>
      <c r="W2" s="408">
        <v>10189</v>
      </c>
      <c r="X2" s="408">
        <v>10191</v>
      </c>
      <c r="Y2" s="408">
        <v>10192</v>
      </c>
      <c r="Z2" s="408">
        <v>10194</v>
      </c>
      <c r="AA2" s="408">
        <v>10198</v>
      </c>
      <c r="AB2" s="408">
        <v>10199</v>
      </c>
      <c r="AC2" s="408">
        <v>10201</v>
      </c>
      <c r="AD2" s="408">
        <v>10202</v>
      </c>
      <c r="AE2" s="408">
        <v>10204</v>
      </c>
      <c r="AF2" s="408">
        <v>10208</v>
      </c>
      <c r="AG2" s="408">
        <v>10209</v>
      </c>
      <c r="AH2" s="408">
        <v>10231</v>
      </c>
      <c r="AI2" s="408">
        <v>10232</v>
      </c>
      <c r="AJ2" s="408">
        <v>10234</v>
      </c>
      <c r="AK2" s="408">
        <v>10238</v>
      </c>
      <c r="AL2" s="408">
        <v>10239</v>
      </c>
      <c r="AM2" s="408">
        <v>10241</v>
      </c>
      <c r="AN2" s="408">
        <v>10242</v>
      </c>
      <c r="AO2" s="408">
        <v>10244</v>
      </c>
      <c r="AP2" s="408">
        <v>10248</v>
      </c>
      <c r="AQ2" s="408">
        <v>10249</v>
      </c>
      <c r="AR2" s="408">
        <v>10821</v>
      </c>
      <c r="AS2" s="408">
        <v>10828</v>
      </c>
      <c r="AT2" s="408">
        <v>10829</v>
      </c>
      <c r="AU2" s="408">
        <v>10831</v>
      </c>
      <c r="AV2" s="408">
        <v>10832</v>
      </c>
      <c r="AW2" s="408">
        <v>10834</v>
      </c>
      <c r="AX2" s="408">
        <v>10835</v>
      </c>
      <c r="AY2" s="408">
        <v>10838</v>
      </c>
      <c r="AZ2" s="408">
        <v>10839</v>
      </c>
      <c r="BA2" s="408">
        <v>10841</v>
      </c>
      <c r="BB2" s="408">
        <v>10848</v>
      </c>
      <c r="BC2" s="408">
        <v>10849</v>
      </c>
      <c r="BD2" s="408">
        <v>10851</v>
      </c>
      <c r="BE2" s="408">
        <v>10854</v>
      </c>
      <c r="BF2" s="408">
        <v>10858</v>
      </c>
      <c r="BG2" s="408">
        <v>10859</v>
      </c>
      <c r="BH2" s="408">
        <v>10861</v>
      </c>
      <c r="BI2" s="408">
        <v>10862</v>
      </c>
      <c r="BJ2" s="408">
        <v>10864</v>
      </c>
      <c r="BK2" s="408">
        <v>10868</v>
      </c>
      <c r="BL2" s="408">
        <v>10869</v>
      </c>
      <c r="BM2" s="408">
        <v>11010</v>
      </c>
      <c r="BN2" s="408">
        <v>11050</v>
      </c>
      <c r="BO2" s="408">
        <v>11080</v>
      </c>
      <c r="BP2" s="408">
        <v>11100</v>
      </c>
      <c r="BQ2" s="408">
        <v>11120</v>
      </c>
      <c r="BR2" s="408">
        <v>11150</v>
      </c>
      <c r="BS2" s="408">
        <v>11170</v>
      </c>
      <c r="BT2" s="408">
        <v>11770</v>
      </c>
      <c r="BU2" s="408">
        <v>11775</v>
      </c>
      <c r="BV2" s="408">
        <v>13035</v>
      </c>
      <c r="BW2" s="408">
        <v>20060</v>
      </c>
      <c r="BX2" s="408">
        <v>20110</v>
      </c>
      <c r="BY2" s="408">
        <v>20130</v>
      </c>
      <c r="BZ2" s="408">
        <v>20141</v>
      </c>
      <c r="CA2" s="408">
        <v>20144</v>
      </c>
      <c r="CB2" s="408">
        <v>20145</v>
      </c>
      <c r="CC2" s="408">
        <v>20190</v>
      </c>
      <c r="CD2" s="408">
        <v>20200</v>
      </c>
      <c r="CE2" s="408">
        <v>21010</v>
      </c>
      <c r="CF2" s="408">
        <v>21020</v>
      </c>
      <c r="CG2" s="408">
        <v>21030</v>
      </c>
      <c r="CH2" s="408">
        <v>22000</v>
      </c>
      <c r="CI2" s="408">
        <v>22030</v>
      </c>
      <c r="CJ2" s="408">
        <v>22050</v>
      </c>
      <c r="CK2" s="408">
        <v>22400</v>
      </c>
      <c r="CL2" s="408">
        <v>22700</v>
      </c>
      <c r="CM2" s="408">
        <v>23020</v>
      </c>
      <c r="CN2" s="408">
        <v>25020</v>
      </c>
      <c r="CO2" s="408">
        <v>25030</v>
      </c>
      <c r="CP2" s="408">
        <v>30160</v>
      </c>
      <c r="CQ2" s="408">
        <v>33000</v>
      </c>
      <c r="CR2" s="408">
        <v>33020</v>
      </c>
      <c r="CS2" s="408">
        <v>34010</v>
      </c>
      <c r="CT2" s="408">
        <v>40000</v>
      </c>
      <c r="CU2" s="408">
        <v>40002</v>
      </c>
      <c r="CV2" s="408">
        <v>40004</v>
      </c>
      <c r="CW2" s="408">
        <v>40005</v>
      </c>
      <c r="CX2" s="408">
        <v>40006</v>
      </c>
      <c r="CY2" s="408">
        <v>40280</v>
      </c>
      <c r="CZ2" s="408">
        <v>40450</v>
      </c>
      <c r="DA2" s="408">
        <v>40510</v>
      </c>
      <c r="DB2" s="408">
        <v>40540</v>
      </c>
      <c r="DC2" s="408">
        <v>41500</v>
      </c>
      <c r="DD2" s="408">
        <v>42000</v>
      </c>
      <c r="DE2" s="408">
        <v>42040</v>
      </c>
      <c r="DF2" s="408">
        <v>43010</v>
      </c>
      <c r="DG2" s="408">
        <v>43040</v>
      </c>
      <c r="DH2" s="408">
        <v>43120</v>
      </c>
      <c r="DI2" s="408">
        <v>44000</v>
      </c>
      <c r="DJ2" s="408">
        <v>44100</v>
      </c>
      <c r="DK2" s="427">
        <v>44280</v>
      </c>
      <c r="DL2" s="408">
        <v>44281</v>
      </c>
      <c r="DM2" s="408">
        <v>44282</v>
      </c>
      <c r="DN2" s="408">
        <v>44601</v>
      </c>
      <c r="DO2" s="408">
        <v>44602</v>
      </c>
      <c r="DP2" s="408">
        <v>44603</v>
      </c>
      <c r="DQ2" s="408">
        <v>44604</v>
      </c>
      <c r="DR2" s="408">
        <v>44605</v>
      </c>
      <c r="DS2" s="408">
        <v>45010</v>
      </c>
      <c r="DT2" s="408">
        <v>45011</v>
      </c>
      <c r="DU2" s="408">
        <v>45040</v>
      </c>
      <c r="DV2" s="408">
        <v>47710</v>
      </c>
      <c r="DW2" s="408">
        <v>47733</v>
      </c>
      <c r="DX2" s="408">
        <v>47735</v>
      </c>
      <c r="DY2" s="408">
        <v>47740</v>
      </c>
      <c r="DZ2" s="408">
        <v>47780</v>
      </c>
      <c r="EA2" s="408">
        <v>47820</v>
      </c>
      <c r="EB2" s="408">
        <v>47850</v>
      </c>
      <c r="EC2" s="408">
        <v>57040</v>
      </c>
      <c r="ED2" s="408">
        <v>61840</v>
      </c>
      <c r="EE2" s="408">
        <v>73000</v>
      </c>
      <c r="EF2" s="408">
        <v>73002</v>
      </c>
      <c r="EG2" s="408">
        <v>73003</v>
      </c>
      <c r="EH2" s="408">
        <v>73004</v>
      </c>
      <c r="EI2" s="408">
        <v>73007</v>
      </c>
      <c r="EJ2" s="408">
        <v>73012</v>
      </c>
      <c r="EK2" s="408">
        <v>73016</v>
      </c>
      <c r="EL2" s="408">
        <v>73023</v>
      </c>
      <c r="EM2" s="408">
        <v>73030</v>
      </c>
      <c r="EN2" s="408">
        <v>73031</v>
      </c>
      <c r="EO2" s="408">
        <v>73032</v>
      </c>
      <c r="EP2" s="408">
        <v>73033</v>
      </c>
      <c r="EQ2" s="408">
        <v>73037</v>
      </c>
      <c r="ER2" s="408">
        <v>73038</v>
      </c>
      <c r="ES2" s="408">
        <v>73039</v>
      </c>
      <c r="ET2" s="408">
        <v>73041</v>
      </c>
      <c r="EU2" s="408">
        <v>73042</v>
      </c>
      <c r="EV2" s="408">
        <v>73050</v>
      </c>
      <c r="EW2" s="408">
        <v>73051</v>
      </c>
      <c r="EX2" s="408">
        <v>73052</v>
      </c>
      <c r="EY2" s="408">
        <v>73056</v>
      </c>
      <c r="EZ2" s="408">
        <v>73066</v>
      </c>
      <c r="FA2" s="408">
        <v>73068</v>
      </c>
      <c r="FB2" s="408">
        <v>73621</v>
      </c>
      <c r="FC2" s="408">
        <v>73622</v>
      </c>
      <c r="FD2" s="408">
        <v>73624</v>
      </c>
      <c r="FE2" s="408">
        <v>73625</v>
      </c>
      <c r="FF2" s="408">
        <v>73626</v>
      </c>
      <c r="FG2" s="408">
        <v>73627</v>
      </c>
      <c r="FH2" s="408">
        <v>73628</v>
      </c>
      <c r="FI2" s="408">
        <v>73629</v>
      </c>
      <c r="FJ2" s="408">
        <v>73630</v>
      </c>
      <c r="FK2" s="408">
        <v>73631</v>
      </c>
      <c r="FL2" s="408">
        <v>73632</v>
      </c>
      <c r="FM2" s="408">
        <v>73633</v>
      </c>
      <c r="FN2" s="408">
        <v>73634</v>
      </c>
      <c r="FO2" s="408">
        <v>73635</v>
      </c>
      <c r="FP2" s="408">
        <v>73636</v>
      </c>
      <c r="FQ2" s="408">
        <v>73650</v>
      </c>
      <c r="FR2" s="408">
        <v>75500</v>
      </c>
      <c r="FS2" s="408">
        <v>79101</v>
      </c>
      <c r="FT2" s="408">
        <v>80001</v>
      </c>
      <c r="FU2" s="408">
        <v>80006</v>
      </c>
      <c r="FV2" s="408">
        <v>80907</v>
      </c>
      <c r="FW2" s="408">
        <v>81101</v>
      </c>
      <c r="FX2" s="408">
        <v>81304</v>
      </c>
      <c r="FY2" s="408">
        <v>81305</v>
      </c>
      <c r="FZ2" s="408">
        <v>81306</v>
      </c>
      <c r="GA2" s="408">
        <v>81315</v>
      </c>
      <c r="GB2" s="408">
        <v>81409</v>
      </c>
      <c r="GC2" s="408">
        <v>82000</v>
      </c>
      <c r="GD2" s="408">
        <v>82300</v>
      </c>
      <c r="GE2" s="408">
        <v>82306</v>
      </c>
      <c r="GF2" s="408">
        <v>82312</v>
      </c>
      <c r="GG2" s="408">
        <v>82520</v>
      </c>
      <c r="GH2" s="408">
        <v>82538</v>
      </c>
      <c r="GI2" s="408">
        <v>82700</v>
      </c>
      <c r="GJ2" s="408">
        <v>82716</v>
      </c>
      <c r="GK2" s="408">
        <v>83003</v>
      </c>
      <c r="GM2" s="408" t="s">
        <v>1004</v>
      </c>
    </row>
    <row r="3" spans="1:195">
      <c r="A3" s="116">
        <v>107603</v>
      </c>
      <c r="B3" s="304"/>
      <c r="C3" s="304">
        <v>693925.23</v>
      </c>
      <c r="D3" s="304">
        <v>57996.89</v>
      </c>
      <c r="E3" s="304">
        <v>53531.459999999977</v>
      </c>
      <c r="F3" s="304">
        <v>218031.77000000002</v>
      </c>
      <c r="G3" s="304">
        <v>99197.430000000008</v>
      </c>
      <c r="H3" s="304">
        <v>23168.32</v>
      </c>
      <c r="I3" s="304"/>
      <c r="J3" s="304">
        <v>6644.65</v>
      </c>
      <c r="K3" s="304">
        <v>2707.7500000000005</v>
      </c>
      <c r="L3" s="304"/>
      <c r="M3" s="304"/>
      <c r="N3" s="304"/>
      <c r="O3" s="304"/>
      <c r="P3" s="304"/>
      <c r="Q3" s="304"/>
      <c r="R3" s="304"/>
      <c r="S3" s="304">
        <v>4053.62</v>
      </c>
      <c r="T3" s="304">
        <v>34.19</v>
      </c>
      <c r="U3" s="304">
        <v>98.06</v>
      </c>
      <c r="V3" s="304">
        <v>1123.4099999999999</v>
      </c>
      <c r="W3" s="304">
        <v>447.9799999999999</v>
      </c>
      <c r="X3" s="304">
        <v>33487.530000000006</v>
      </c>
      <c r="Y3" s="304">
        <v>1285.5</v>
      </c>
      <c r="Z3" s="304">
        <v>353.07000000000005</v>
      </c>
      <c r="AA3" s="304">
        <v>9123.75</v>
      </c>
      <c r="AB3" s="304">
        <v>2864.76</v>
      </c>
      <c r="AC3" s="304"/>
      <c r="AD3" s="304"/>
      <c r="AE3" s="304"/>
      <c r="AF3" s="304"/>
      <c r="AG3" s="304"/>
      <c r="AH3" s="304">
        <v>298337.88999999996</v>
      </c>
      <c r="AI3" s="304">
        <v>7508.87</v>
      </c>
      <c r="AJ3" s="304">
        <v>2961.6700000000005</v>
      </c>
      <c r="AK3" s="304">
        <v>79485.920000000013</v>
      </c>
      <c r="AL3" s="304">
        <v>30301.11</v>
      </c>
      <c r="AM3" s="304">
        <v>72803.67</v>
      </c>
      <c r="AN3" s="304">
        <v>1162.3800000000001</v>
      </c>
      <c r="AO3" s="304">
        <v>4092.7799999999997</v>
      </c>
      <c r="AP3" s="304">
        <v>20563.370000000003</v>
      </c>
      <c r="AQ3" s="304">
        <v>6831.54</v>
      </c>
      <c r="AR3" s="304">
        <v>1556.93</v>
      </c>
      <c r="AS3" s="304">
        <v>411.02</v>
      </c>
      <c r="AT3" s="304">
        <v>170.99</v>
      </c>
      <c r="AU3" s="304">
        <v>80365.289999999979</v>
      </c>
      <c r="AV3" s="304">
        <v>1354.85</v>
      </c>
      <c r="AW3" s="304">
        <v>1555.59</v>
      </c>
      <c r="AX3" s="304">
        <v>2885</v>
      </c>
      <c r="AY3" s="304">
        <v>21984.539999999997</v>
      </c>
      <c r="AZ3" s="304">
        <v>9679.010000000002</v>
      </c>
      <c r="BA3" s="304"/>
      <c r="BB3" s="304"/>
      <c r="BC3" s="304"/>
      <c r="BD3" s="304"/>
      <c r="BE3" s="304"/>
      <c r="BF3" s="304"/>
      <c r="BG3" s="304"/>
      <c r="BH3" s="304">
        <v>5669.2999999999993</v>
      </c>
      <c r="BI3" s="304"/>
      <c r="BJ3" s="304"/>
      <c r="BK3" s="304"/>
      <c r="BL3" s="304">
        <v>135.59</v>
      </c>
      <c r="BM3" s="304"/>
      <c r="BN3" s="304">
        <v>121.38</v>
      </c>
      <c r="BO3" s="304"/>
      <c r="BP3" s="304"/>
      <c r="BQ3" s="304"/>
      <c r="BR3" s="304">
        <v>5097.7299999999996</v>
      </c>
      <c r="BS3" s="304">
        <v>16736.469999999998</v>
      </c>
      <c r="BT3" s="304"/>
      <c r="BU3" s="304"/>
      <c r="BV3" s="304">
        <v>30716.7</v>
      </c>
      <c r="BW3" s="304">
        <v>5971.1500000000005</v>
      </c>
      <c r="BX3" s="304">
        <v>4322.8700000000008</v>
      </c>
      <c r="BY3" s="304">
        <v>6055</v>
      </c>
      <c r="BZ3" s="304"/>
      <c r="CA3" s="304"/>
      <c r="CB3" s="304"/>
      <c r="CC3" s="304">
        <v>1601.27</v>
      </c>
      <c r="CD3" s="304">
        <v>2677.9500000000003</v>
      </c>
      <c r="CE3" s="304">
        <v>21883.47</v>
      </c>
      <c r="CF3" s="304">
        <v>9304.0499999999993</v>
      </c>
      <c r="CG3" s="304"/>
      <c r="CH3" s="304"/>
      <c r="CI3" s="304">
        <v>1556.8</v>
      </c>
      <c r="CJ3" s="304"/>
      <c r="CK3" s="304">
        <v>36855</v>
      </c>
      <c r="CL3" s="304">
        <v>6513.2599999999993</v>
      </c>
      <c r="CM3" s="304">
        <v>341</v>
      </c>
      <c r="CN3" s="304">
        <v>2906.21</v>
      </c>
      <c r="CO3" s="304">
        <v>1841.1799999999998</v>
      </c>
      <c r="CP3" s="304"/>
      <c r="CQ3" s="304">
        <v>-700</v>
      </c>
      <c r="CR3" s="304">
        <v>96.78</v>
      </c>
      <c r="CS3" s="304"/>
      <c r="CT3" s="304">
        <v>19.96</v>
      </c>
      <c r="CU3" s="304"/>
      <c r="CV3" s="304"/>
      <c r="CW3" s="304"/>
      <c r="CX3" s="304"/>
      <c r="CY3" s="304">
        <v>22.02</v>
      </c>
      <c r="CZ3" s="304">
        <v>6448</v>
      </c>
      <c r="DA3" s="304">
        <v>20405.43</v>
      </c>
      <c r="DB3" s="304">
        <v>173.16</v>
      </c>
      <c r="DC3" s="304">
        <v>384.5</v>
      </c>
      <c r="DD3" s="304">
        <v>1807.1200000000001</v>
      </c>
      <c r="DE3" s="304">
        <v>8487.48</v>
      </c>
      <c r="DF3" s="304">
        <v>97084.04</v>
      </c>
      <c r="DG3" s="304">
        <v>1442</v>
      </c>
      <c r="DH3" s="304"/>
      <c r="DI3" s="304">
        <v>53.5</v>
      </c>
      <c r="DJ3" s="304">
        <v>1551.7600000000002</v>
      </c>
      <c r="DK3" s="426"/>
      <c r="DL3" s="304">
        <v>2274.91</v>
      </c>
      <c r="DM3" s="304"/>
      <c r="DN3" s="304">
        <v>4775.12</v>
      </c>
      <c r="DO3" s="304">
        <v>1286.75</v>
      </c>
      <c r="DP3" s="304">
        <v>54.96</v>
      </c>
      <c r="DQ3" s="304">
        <v>1209.5300000000002</v>
      </c>
      <c r="DR3" s="304">
        <v>5034.5</v>
      </c>
      <c r="DS3" s="304"/>
      <c r="DT3" s="304">
        <v>120</v>
      </c>
      <c r="DU3" s="304">
        <v>90</v>
      </c>
      <c r="DV3" s="304">
        <v>758</v>
      </c>
      <c r="DW3" s="304"/>
      <c r="DX3" s="304">
        <v>10417.68</v>
      </c>
      <c r="DY3" s="304">
        <v>8192.2899999999991</v>
      </c>
      <c r="DZ3" s="304">
        <v>1855.6200000000003</v>
      </c>
      <c r="EA3" s="304">
        <v>31690.23</v>
      </c>
      <c r="EB3" s="304">
        <v>5277.28</v>
      </c>
      <c r="EC3" s="304"/>
      <c r="ED3" s="304"/>
      <c r="EE3" s="304">
        <v>-1712742.31</v>
      </c>
      <c r="EF3" s="304"/>
      <c r="EG3" s="304"/>
      <c r="EH3" s="304">
        <v>-825</v>
      </c>
      <c r="EI3" s="304">
        <v>-170745</v>
      </c>
      <c r="EJ3" s="304"/>
      <c r="EK3" s="304"/>
      <c r="EL3" s="304">
        <v>-3256.93</v>
      </c>
      <c r="EM3" s="304">
        <v>-191905.68</v>
      </c>
      <c r="EN3" s="304">
        <v>-7667.5</v>
      </c>
      <c r="EO3" s="304">
        <v>-23541</v>
      </c>
      <c r="EP3" s="304">
        <v>-17191</v>
      </c>
      <c r="EQ3" s="304">
        <v>-276000.90999999997</v>
      </c>
      <c r="ER3" s="304"/>
      <c r="ES3" s="304"/>
      <c r="ET3" s="304"/>
      <c r="EU3" s="304">
        <v>-15595</v>
      </c>
      <c r="EV3" s="304">
        <v>-103352</v>
      </c>
      <c r="EW3" s="304">
        <v>6424.08</v>
      </c>
      <c r="EX3" s="304">
        <v>951.6</v>
      </c>
      <c r="EY3" s="304">
        <v>-3401</v>
      </c>
      <c r="EZ3" s="304">
        <v>-16868</v>
      </c>
      <c r="FA3" s="304">
        <v>-35139</v>
      </c>
      <c r="FB3" s="304">
        <v>1448.75</v>
      </c>
      <c r="FC3" s="304"/>
      <c r="FD3" s="304">
        <v>1961.8</v>
      </c>
      <c r="FE3" s="304">
        <v>33.6</v>
      </c>
      <c r="FF3" s="304"/>
      <c r="FG3" s="304">
        <v>75205.17</v>
      </c>
      <c r="FH3" s="304">
        <v>-84</v>
      </c>
      <c r="FI3" s="304">
        <v>9597.0700000000052</v>
      </c>
      <c r="FJ3" s="304">
        <v>261</v>
      </c>
      <c r="FK3" s="304">
        <v>2904</v>
      </c>
      <c r="FL3" s="304">
        <v>4669</v>
      </c>
      <c r="FM3" s="304">
        <v>3276</v>
      </c>
      <c r="FN3" s="304">
        <v>925</v>
      </c>
      <c r="FO3" s="304">
        <v>1683.64</v>
      </c>
      <c r="FP3" s="304">
        <v>3212.2599999999998</v>
      </c>
      <c r="FQ3" s="304">
        <v>360</v>
      </c>
      <c r="FR3" s="304"/>
      <c r="FS3" s="304"/>
      <c r="FT3" s="304"/>
      <c r="FU3" s="304"/>
      <c r="FV3" s="304"/>
      <c r="FW3" s="304"/>
      <c r="FX3" s="304">
        <v>-10290.379999999999</v>
      </c>
      <c r="FY3" s="304">
        <v>-18449.659999999996</v>
      </c>
      <c r="FZ3" s="304"/>
      <c r="GA3" s="304"/>
      <c r="GB3" s="304">
        <v>-17764.05</v>
      </c>
      <c r="GC3" s="304">
        <v>-2444.5700000000002</v>
      </c>
      <c r="GD3" s="304"/>
      <c r="GE3" s="304">
        <v>-15072</v>
      </c>
      <c r="GF3" s="304">
        <v>-9710.1000000000058</v>
      </c>
      <c r="GG3">
        <v>-621</v>
      </c>
      <c r="GI3">
        <v>-315</v>
      </c>
      <c r="GJ3">
        <v>-24957.920000000006</v>
      </c>
      <c r="GK3">
        <v>-13168.43</v>
      </c>
    </row>
    <row r="4" spans="1:195">
      <c r="A4" s="116">
        <v>107605</v>
      </c>
      <c r="B4" s="304"/>
      <c r="C4" s="304">
        <v>160798.39999999999</v>
      </c>
      <c r="D4" s="304">
        <v>10639.119999999999</v>
      </c>
      <c r="E4" s="304">
        <v>8528</v>
      </c>
      <c r="F4" s="304">
        <v>49168.22</v>
      </c>
      <c r="G4" s="304">
        <v>22739.590000000004</v>
      </c>
      <c r="H4" s="304">
        <v>1291.08</v>
      </c>
      <c r="I4" s="304"/>
      <c r="J4" s="304">
        <v>370.26</v>
      </c>
      <c r="K4" s="304">
        <v>167.29999999999998</v>
      </c>
      <c r="L4" s="304"/>
      <c r="M4" s="304"/>
      <c r="N4" s="304"/>
      <c r="O4" s="304"/>
      <c r="P4" s="304"/>
      <c r="Q4" s="304"/>
      <c r="R4" s="304"/>
      <c r="S4" s="304">
        <v>3437.76</v>
      </c>
      <c r="T4" s="304"/>
      <c r="U4" s="304"/>
      <c r="V4" s="304">
        <v>907.53</v>
      </c>
      <c r="W4" s="304">
        <v>108.90999999999997</v>
      </c>
      <c r="X4" s="304">
        <v>9233.4399999999987</v>
      </c>
      <c r="Y4" s="304">
        <v>809.88</v>
      </c>
      <c r="Z4" s="304">
        <v>95.800000000000011</v>
      </c>
      <c r="AA4" s="304">
        <v>768.21999999999991</v>
      </c>
      <c r="AB4" s="304">
        <v>440.01</v>
      </c>
      <c r="AC4" s="304">
        <v>11395.119999999999</v>
      </c>
      <c r="AD4" s="304">
        <v>45.14</v>
      </c>
      <c r="AE4" s="304"/>
      <c r="AF4" s="304">
        <v>3022.07</v>
      </c>
      <c r="AG4" s="304">
        <v>1155.23</v>
      </c>
      <c r="AH4" s="304">
        <v>47955.73000000001</v>
      </c>
      <c r="AI4" s="304">
        <v>4717.92</v>
      </c>
      <c r="AJ4" s="304"/>
      <c r="AK4" s="304">
        <v>13750.79</v>
      </c>
      <c r="AL4" s="304">
        <v>4314.6400000000003</v>
      </c>
      <c r="AM4" s="304"/>
      <c r="AN4" s="304"/>
      <c r="AO4" s="304"/>
      <c r="AP4" s="304"/>
      <c r="AQ4" s="304"/>
      <c r="AR4" s="304"/>
      <c r="AS4" s="304"/>
      <c r="AT4" s="304"/>
      <c r="AU4" s="304">
        <v>27633.120000000003</v>
      </c>
      <c r="AV4" s="304">
        <v>1626.37</v>
      </c>
      <c r="AW4" s="304">
        <v>1283.8200000000002</v>
      </c>
      <c r="AX4" s="304"/>
      <c r="AY4" s="304">
        <v>8063.260000000002</v>
      </c>
      <c r="AZ4" s="304">
        <v>3724.9800000000009</v>
      </c>
      <c r="BA4" s="304"/>
      <c r="BB4" s="304"/>
      <c r="BC4" s="304"/>
      <c r="BD4" s="304"/>
      <c r="BE4" s="304"/>
      <c r="BF4" s="304"/>
      <c r="BG4" s="304"/>
      <c r="BH4" s="304">
        <v>10005.369999999999</v>
      </c>
      <c r="BI4" s="304"/>
      <c r="BJ4" s="304"/>
      <c r="BK4" s="304">
        <v>2641.3</v>
      </c>
      <c r="BL4" s="304">
        <v>640.93999999999994</v>
      </c>
      <c r="BM4" s="304"/>
      <c r="BN4" s="304"/>
      <c r="BO4" s="304"/>
      <c r="BP4" s="304"/>
      <c r="BQ4" s="304"/>
      <c r="BR4" s="304">
        <v>650</v>
      </c>
      <c r="BS4" s="304"/>
      <c r="BT4" s="304"/>
      <c r="BU4" s="304"/>
      <c r="BV4" s="304">
        <v>5721</v>
      </c>
      <c r="BW4" s="304">
        <v>7642.75</v>
      </c>
      <c r="BX4" s="304"/>
      <c r="BY4" s="304">
        <v>7528.75</v>
      </c>
      <c r="BZ4" s="304"/>
      <c r="CA4" s="304"/>
      <c r="CB4" s="304"/>
      <c r="CC4" s="304"/>
      <c r="CD4" s="304">
        <v>1320</v>
      </c>
      <c r="CE4" s="304">
        <v>5178.8</v>
      </c>
      <c r="CF4" s="304"/>
      <c r="CG4" s="304">
        <v>4005.3900000000003</v>
      </c>
      <c r="CH4" s="304"/>
      <c r="CI4" s="304"/>
      <c r="CJ4" s="304">
        <v>3244.5</v>
      </c>
      <c r="CK4" s="304">
        <v>5114.75</v>
      </c>
      <c r="CL4" s="304">
        <v>1712.21</v>
      </c>
      <c r="CM4" s="304">
        <v>173</v>
      </c>
      <c r="CN4" s="304">
        <v>1004.36</v>
      </c>
      <c r="CO4" s="304">
        <v>11.21</v>
      </c>
      <c r="CP4" s="304">
        <v>1998.5800000000002</v>
      </c>
      <c r="CQ4" s="304"/>
      <c r="CR4" s="304"/>
      <c r="CS4" s="304"/>
      <c r="CT4" s="304">
        <v>652.31999999999994</v>
      </c>
      <c r="CU4" s="304"/>
      <c r="CV4" s="304"/>
      <c r="CW4" s="304"/>
      <c r="CX4" s="304"/>
      <c r="CY4" s="304"/>
      <c r="CZ4" s="304">
        <v>1447</v>
      </c>
      <c r="DA4" s="304">
        <v>4076.3999999999996</v>
      </c>
      <c r="DB4" s="304">
        <v>118.78</v>
      </c>
      <c r="DC4" s="304"/>
      <c r="DD4" s="304">
        <v>95.15</v>
      </c>
      <c r="DE4" s="304">
        <v>993.66</v>
      </c>
      <c r="DF4" s="304">
        <v>4668.420000000001</v>
      </c>
      <c r="DG4" s="304">
        <v>10603.7</v>
      </c>
      <c r="DH4" s="304"/>
      <c r="DI4" s="304"/>
      <c r="DJ4" s="304">
        <v>316.14</v>
      </c>
      <c r="DK4" s="426"/>
      <c r="DL4" s="304">
        <v>160</v>
      </c>
      <c r="DM4" s="304"/>
      <c r="DN4" s="304">
        <v>2009.9299999999998</v>
      </c>
      <c r="DO4" s="304">
        <v>6615.6799999999994</v>
      </c>
      <c r="DP4" s="304"/>
      <c r="DQ4" s="304"/>
      <c r="DR4" s="304"/>
      <c r="DS4" s="304"/>
      <c r="DT4" s="304"/>
      <c r="DU4" s="304"/>
      <c r="DV4" s="304"/>
      <c r="DW4" s="304">
        <v>1636</v>
      </c>
      <c r="DX4" s="304">
        <v>1435.77</v>
      </c>
      <c r="DY4" s="304">
        <v>249</v>
      </c>
      <c r="DZ4" s="304">
        <v>0</v>
      </c>
      <c r="EA4" s="304">
        <v>123</v>
      </c>
      <c r="EB4" s="304"/>
      <c r="EC4" s="304"/>
      <c r="ED4" s="304"/>
      <c r="EE4" s="304">
        <v>-377214.03</v>
      </c>
      <c r="EF4" s="304"/>
      <c r="EG4" s="304"/>
      <c r="EH4" s="304"/>
      <c r="EI4" s="304">
        <v>-21525</v>
      </c>
      <c r="EJ4" s="304"/>
      <c r="EK4" s="304"/>
      <c r="EL4" s="304"/>
      <c r="EM4" s="304"/>
      <c r="EN4" s="304">
        <v>-4517.5</v>
      </c>
      <c r="EO4" s="304">
        <v>-6926</v>
      </c>
      <c r="EP4" s="304">
        <v>-15022</v>
      </c>
      <c r="EQ4" s="304">
        <v>-26866.28</v>
      </c>
      <c r="ER4" s="304"/>
      <c r="ES4" s="304">
        <v>-3479.05</v>
      </c>
      <c r="ET4" s="304"/>
      <c r="EU4" s="304"/>
      <c r="EV4" s="304">
        <v>-19261</v>
      </c>
      <c r="EW4" s="304">
        <v>885.37</v>
      </c>
      <c r="EX4" s="304">
        <v>131.15</v>
      </c>
      <c r="EY4" s="304">
        <v>-6353.25</v>
      </c>
      <c r="EZ4" s="304">
        <v>-3328</v>
      </c>
      <c r="FA4" s="304">
        <v>-6471</v>
      </c>
      <c r="FB4" s="304">
        <v>552.75</v>
      </c>
      <c r="FC4" s="304"/>
      <c r="FD4" s="304">
        <v>1141</v>
      </c>
      <c r="FE4" s="304"/>
      <c r="FF4" s="304"/>
      <c r="FG4" s="304">
        <v>12173.119999999999</v>
      </c>
      <c r="FH4" s="304">
        <v>36</v>
      </c>
      <c r="FI4" s="304">
        <v>5454.4000000000005</v>
      </c>
      <c r="FJ4" s="304"/>
      <c r="FK4" s="304">
        <v>3338.54</v>
      </c>
      <c r="FL4" s="304">
        <v>1313.99</v>
      </c>
      <c r="FM4" s="304">
        <v>2290</v>
      </c>
      <c r="FN4" s="304">
        <v>560</v>
      </c>
      <c r="FO4" s="304">
        <v>739.33</v>
      </c>
      <c r="FP4" s="304">
        <v>1068.8399999999999</v>
      </c>
      <c r="FQ4" s="304"/>
      <c r="FR4" s="304"/>
      <c r="FS4" s="304"/>
      <c r="FT4" s="304"/>
      <c r="FU4" s="304"/>
      <c r="FV4" s="304"/>
      <c r="FW4" s="304"/>
      <c r="FX4" s="304">
        <v>-1223.5800000000002</v>
      </c>
      <c r="FY4" s="304">
        <v>-938.17</v>
      </c>
      <c r="FZ4" s="304"/>
      <c r="GA4" s="304"/>
      <c r="GB4" s="304">
        <v>-4752</v>
      </c>
      <c r="GC4" s="304"/>
      <c r="GD4" s="304"/>
      <c r="GE4" s="304"/>
      <c r="GF4" s="304">
        <v>-6834.8700000000017</v>
      </c>
      <c r="GK4">
        <v>-1960.18</v>
      </c>
    </row>
    <row r="5" spans="1:195" s="107" customFormat="1">
      <c r="A5" s="116">
        <v>107609</v>
      </c>
      <c r="B5" s="304"/>
      <c r="C5" s="304">
        <v>212553.65</v>
      </c>
      <c r="D5" s="304">
        <v>273.30999999999995</v>
      </c>
      <c r="E5" s="304"/>
      <c r="F5" s="304">
        <v>61038.77</v>
      </c>
      <c r="G5" s="304">
        <v>27453.62</v>
      </c>
      <c r="H5" s="304">
        <v>1239.1599999999999</v>
      </c>
      <c r="I5" s="304"/>
      <c r="J5" s="304">
        <v>355.4</v>
      </c>
      <c r="K5" s="304">
        <v>160.67000000000002</v>
      </c>
      <c r="L5" s="304"/>
      <c r="M5" s="304"/>
      <c r="N5" s="304"/>
      <c r="O5" s="304"/>
      <c r="P5" s="304"/>
      <c r="Q5" s="304"/>
      <c r="R5" s="304"/>
      <c r="S5" s="304">
        <v>1667.48</v>
      </c>
      <c r="T5" s="304">
        <v>846.19</v>
      </c>
      <c r="U5" s="304">
        <v>92.84</v>
      </c>
      <c r="V5" s="304">
        <v>688.08000000000015</v>
      </c>
      <c r="W5" s="304">
        <v>313.68999999999994</v>
      </c>
      <c r="X5" s="304"/>
      <c r="Y5" s="304"/>
      <c r="Z5" s="304"/>
      <c r="AA5" s="304"/>
      <c r="AB5" s="304"/>
      <c r="AC5" s="304"/>
      <c r="AD5" s="304"/>
      <c r="AE5" s="304"/>
      <c r="AF5" s="304"/>
      <c r="AG5" s="304"/>
      <c r="AH5" s="304">
        <v>71211.25</v>
      </c>
      <c r="AI5" s="304">
        <v>3930.2599999999993</v>
      </c>
      <c r="AJ5" s="304">
        <v>1604.12</v>
      </c>
      <c r="AK5" s="304">
        <v>20271.810000000005</v>
      </c>
      <c r="AL5" s="304">
        <v>7861.3400000000011</v>
      </c>
      <c r="AM5" s="304"/>
      <c r="AN5" s="304"/>
      <c r="AO5" s="304"/>
      <c r="AP5" s="304"/>
      <c r="AQ5" s="304"/>
      <c r="AR5" s="304"/>
      <c r="AS5" s="304"/>
      <c r="AT5" s="304"/>
      <c r="AU5" s="304">
        <v>32617.34</v>
      </c>
      <c r="AV5" s="304">
        <v>3492.35</v>
      </c>
      <c r="AW5" s="304">
        <v>2683.25</v>
      </c>
      <c r="AX5" s="304"/>
      <c r="AY5" s="304">
        <v>10134.689999999999</v>
      </c>
      <c r="AZ5" s="304">
        <v>4510.92</v>
      </c>
      <c r="BA5" s="304"/>
      <c r="BB5" s="304"/>
      <c r="BC5" s="304"/>
      <c r="BD5" s="304"/>
      <c r="BE5" s="304"/>
      <c r="BF5" s="304"/>
      <c r="BG5" s="304"/>
      <c r="BH5" s="304"/>
      <c r="BI5" s="304"/>
      <c r="BJ5" s="304"/>
      <c r="BK5" s="304"/>
      <c r="BL5" s="304"/>
      <c r="BM5" s="304"/>
      <c r="BN5" s="304"/>
      <c r="BO5" s="304"/>
      <c r="BP5" s="304"/>
      <c r="BQ5" s="304"/>
      <c r="BR5" s="304">
        <v>2245.46</v>
      </c>
      <c r="BS5" s="304"/>
      <c r="BT5" s="304"/>
      <c r="BU5" s="304"/>
      <c r="BV5" s="304"/>
      <c r="BW5" s="304">
        <v>2583.0200000000009</v>
      </c>
      <c r="BX5" s="304">
        <v>4315.84</v>
      </c>
      <c r="BY5" s="304">
        <v>2328.75</v>
      </c>
      <c r="BZ5" s="304"/>
      <c r="CA5" s="304"/>
      <c r="CB5" s="304"/>
      <c r="CC5" s="304"/>
      <c r="CD5" s="304">
        <v>117.49000000000001</v>
      </c>
      <c r="CE5" s="304">
        <v>15401.65</v>
      </c>
      <c r="CF5" s="304"/>
      <c r="CG5" s="304"/>
      <c r="CH5" s="304"/>
      <c r="CI5" s="304"/>
      <c r="CJ5" s="304">
        <v>11250</v>
      </c>
      <c r="CK5" s="304">
        <v>4990</v>
      </c>
      <c r="CL5" s="304">
        <v>1152.5800000000002</v>
      </c>
      <c r="CM5" s="304"/>
      <c r="CN5" s="304">
        <v>497.59000000000015</v>
      </c>
      <c r="CO5" s="304">
        <v>1193.4299999999998</v>
      </c>
      <c r="CP5" s="304"/>
      <c r="CQ5" s="304"/>
      <c r="CR5" s="304">
        <v>11.969999999999999</v>
      </c>
      <c r="CS5" s="304"/>
      <c r="CT5" s="304">
        <v>173.84</v>
      </c>
      <c r="CU5" s="304"/>
      <c r="CV5" s="304"/>
      <c r="CW5" s="304"/>
      <c r="CX5" s="304"/>
      <c r="CY5" s="304">
        <v>258.49</v>
      </c>
      <c r="CZ5" s="304">
        <v>1655</v>
      </c>
      <c r="DA5" s="304">
        <v>22071.05</v>
      </c>
      <c r="DB5" s="304">
        <v>118.94999999999999</v>
      </c>
      <c r="DC5" s="304"/>
      <c r="DD5" s="304">
        <v>1438.34</v>
      </c>
      <c r="DE5" s="304">
        <v>1156.06</v>
      </c>
      <c r="DF5" s="304">
        <v>2990</v>
      </c>
      <c r="DG5" s="304">
        <v>28752.5</v>
      </c>
      <c r="DH5" s="304"/>
      <c r="DI5" s="304"/>
      <c r="DJ5" s="304"/>
      <c r="DK5" s="426"/>
      <c r="DL5" s="304">
        <v>2078.5</v>
      </c>
      <c r="DM5" s="304"/>
      <c r="DN5" s="304"/>
      <c r="DO5" s="304">
        <v>1124.4000000000001</v>
      </c>
      <c r="DP5" s="304"/>
      <c r="DQ5" s="304">
        <v>877.80000000000007</v>
      </c>
      <c r="DR5" s="304"/>
      <c r="DS5" s="304"/>
      <c r="DT5" s="304"/>
      <c r="DU5" s="304"/>
      <c r="DV5" s="304"/>
      <c r="DW5" s="304"/>
      <c r="DX5" s="304">
        <v>2303.91</v>
      </c>
      <c r="DY5" s="304">
        <v>524.79999999999995</v>
      </c>
      <c r="DZ5" s="304"/>
      <c r="EA5" s="304">
        <v>26771.579999999998</v>
      </c>
      <c r="EB5" s="304"/>
      <c r="EC5" s="304"/>
      <c r="ED5" s="304"/>
      <c r="EE5" s="304">
        <v>-511644.39</v>
      </c>
      <c r="EF5" s="304"/>
      <c r="EG5" s="304"/>
      <c r="EH5" s="304"/>
      <c r="EI5" s="304">
        <v>-3030</v>
      </c>
      <c r="EJ5" s="304"/>
      <c r="EK5" s="304"/>
      <c r="EL5" s="304">
        <v>-2400</v>
      </c>
      <c r="EM5" s="304"/>
      <c r="EN5" s="304">
        <v>-4798.75</v>
      </c>
      <c r="EO5" s="304">
        <v>-10279</v>
      </c>
      <c r="EP5" s="304">
        <v>-15264</v>
      </c>
      <c r="EQ5" s="304">
        <v>-83478.649999999994</v>
      </c>
      <c r="ER5" s="304"/>
      <c r="ES5" s="304"/>
      <c r="ET5" s="304"/>
      <c r="EU5" s="304"/>
      <c r="EV5" s="304">
        <v>0</v>
      </c>
      <c r="EW5" s="304">
        <v>1420.71</v>
      </c>
      <c r="EX5" s="304">
        <v>210.45</v>
      </c>
      <c r="EY5" s="304">
        <v>-5216.08</v>
      </c>
      <c r="EZ5" s="304">
        <v>-4049</v>
      </c>
      <c r="FA5" s="304">
        <v>-7984</v>
      </c>
      <c r="FB5" s="304">
        <v>1908</v>
      </c>
      <c r="FC5" s="304"/>
      <c r="FD5" s="304">
        <v>1201.8</v>
      </c>
      <c r="FE5" s="304"/>
      <c r="FF5" s="304">
        <v>19650.22</v>
      </c>
      <c r="FG5" s="304">
        <v>11948.88</v>
      </c>
      <c r="FH5" s="304">
        <v>2388</v>
      </c>
      <c r="FI5" s="304">
        <v>4940.9600000000028</v>
      </c>
      <c r="FJ5" s="304">
        <v>261</v>
      </c>
      <c r="FK5" s="304">
        <v>5189.38</v>
      </c>
      <c r="FL5" s="304">
        <v>1260.6300000000001</v>
      </c>
      <c r="FM5" s="304">
        <v>4790</v>
      </c>
      <c r="FN5" s="304">
        <v>610</v>
      </c>
      <c r="FO5" s="304">
        <v>793.18</v>
      </c>
      <c r="FP5" s="304"/>
      <c r="FQ5" s="304"/>
      <c r="FR5" s="304"/>
      <c r="FS5" s="304"/>
      <c r="FT5" s="304"/>
      <c r="FU5" s="304"/>
      <c r="FV5" s="304">
        <v>-10000</v>
      </c>
      <c r="FW5" s="304"/>
      <c r="FX5" s="304">
        <v>-298.88000000000005</v>
      </c>
      <c r="FY5" s="304">
        <v>-13710.019999999999</v>
      </c>
      <c r="FZ5" s="304"/>
      <c r="GA5" s="304">
        <v>-2107.04</v>
      </c>
      <c r="GB5" s="304"/>
      <c r="GC5" s="304">
        <v>1233.17</v>
      </c>
      <c r="GD5" s="304"/>
      <c r="GE5" s="304"/>
      <c r="GF5" s="304">
        <v>-5948.0600000000013</v>
      </c>
      <c r="GG5" s="304"/>
      <c r="GH5" s="304"/>
      <c r="GI5" s="304">
        <v>-6500</v>
      </c>
      <c r="GK5" s="107">
        <v>-5979.27</v>
      </c>
    </row>
    <row r="6" spans="1:195">
      <c r="A6" s="116">
        <v>107610</v>
      </c>
      <c r="B6" s="304"/>
      <c r="C6" s="304">
        <v>869588.24</v>
      </c>
      <c r="D6" s="304">
        <v>6853.8499999999995</v>
      </c>
      <c r="E6" s="304">
        <v>55742</v>
      </c>
      <c r="F6" s="304">
        <v>251891.94000000003</v>
      </c>
      <c r="G6" s="304">
        <v>116410.31999999999</v>
      </c>
      <c r="H6" s="304">
        <v>11923.09</v>
      </c>
      <c r="I6" s="304"/>
      <c r="J6" s="304">
        <v>3223.1099999999997</v>
      </c>
      <c r="K6" s="304">
        <v>1480.31</v>
      </c>
      <c r="L6" s="304"/>
      <c r="M6" s="304"/>
      <c r="N6" s="304"/>
      <c r="O6" s="304"/>
      <c r="P6" s="304"/>
      <c r="Q6" s="304"/>
      <c r="R6" s="304"/>
      <c r="S6" s="304">
        <v>27767.86</v>
      </c>
      <c r="T6" s="304">
        <v>353.64</v>
      </c>
      <c r="U6" s="304">
        <v>255.29000000000002</v>
      </c>
      <c r="V6" s="304">
        <v>5195.49</v>
      </c>
      <c r="W6" s="304">
        <v>3114.89</v>
      </c>
      <c r="X6" s="304">
        <v>50978.999999999993</v>
      </c>
      <c r="Y6" s="304">
        <v>2670.6299999999997</v>
      </c>
      <c r="Z6" s="304">
        <v>901.68</v>
      </c>
      <c r="AA6" s="304">
        <v>13854.449999999999</v>
      </c>
      <c r="AB6" s="304">
        <v>4234.0200000000004</v>
      </c>
      <c r="AC6" s="304">
        <v>7006.7499999999991</v>
      </c>
      <c r="AD6" s="304">
        <v>644.92000000000007</v>
      </c>
      <c r="AE6" s="304"/>
      <c r="AF6" s="304">
        <v>1970.9199999999998</v>
      </c>
      <c r="AG6" s="304">
        <v>986.93</v>
      </c>
      <c r="AH6" s="304">
        <v>521250.53</v>
      </c>
      <c r="AI6" s="304">
        <v>17145.59</v>
      </c>
      <c r="AJ6" s="304">
        <v>10781.28</v>
      </c>
      <c r="AK6" s="304">
        <v>140611.63999999998</v>
      </c>
      <c r="AL6" s="304">
        <v>59710.49</v>
      </c>
      <c r="AM6" s="304">
        <v>78490.12999999999</v>
      </c>
      <c r="AN6" s="304">
        <v>334.90999999999997</v>
      </c>
      <c r="AO6" s="304">
        <v>553.93999999999994</v>
      </c>
      <c r="AP6" s="304">
        <v>20047</v>
      </c>
      <c r="AQ6" s="304">
        <v>7578.9600000000009</v>
      </c>
      <c r="AR6" s="304"/>
      <c r="AS6" s="304"/>
      <c r="AT6" s="304"/>
      <c r="AU6" s="304">
        <v>120270.64000000001</v>
      </c>
      <c r="AV6" s="304">
        <v>1462.3000000000002</v>
      </c>
      <c r="AW6" s="304">
        <v>333.04</v>
      </c>
      <c r="AX6" s="304"/>
      <c r="AY6" s="304">
        <v>32569.700000000004</v>
      </c>
      <c r="AZ6" s="304">
        <v>15587.029999999995</v>
      </c>
      <c r="BA6" s="304"/>
      <c r="BB6" s="304"/>
      <c r="BC6" s="304"/>
      <c r="BD6" s="304"/>
      <c r="BE6" s="304"/>
      <c r="BF6" s="304"/>
      <c r="BG6" s="304"/>
      <c r="BH6" s="304">
        <v>35659.199999999997</v>
      </c>
      <c r="BI6" s="304">
        <v>703.8</v>
      </c>
      <c r="BJ6" s="304"/>
      <c r="BK6" s="304">
        <v>9599.7899999999972</v>
      </c>
      <c r="BL6" s="304">
        <v>4703.8799999999983</v>
      </c>
      <c r="BM6" s="304">
        <v>1765</v>
      </c>
      <c r="BN6" s="304">
        <v>220</v>
      </c>
      <c r="BO6" s="304"/>
      <c r="BP6" s="304">
        <v>299</v>
      </c>
      <c r="BQ6" s="304"/>
      <c r="BR6" s="304">
        <v>2780.29</v>
      </c>
      <c r="BS6" s="304"/>
      <c r="BT6" s="304"/>
      <c r="BU6" s="304"/>
      <c r="BV6" s="304"/>
      <c r="BW6" s="304">
        <v>8695.0799999999981</v>
      </c>
      <c r="BX6" s="304">
        <v>3316.65</v>
      </c>
      <c r="BY6" s="304">
        <v>3964.75</v>
      </c>
      <c r="BZ6" s="304"/>
      <c r="CA6" s="304"/>
      <c r="CB6" s="304"/>
      <c r="CC6" s="304"/>
      <c r="CD6" s="304">
        <v>2359.2199999999998</v>
      </c>
      <c r="CE6" s="304">
        <v>24458.830000000009</v>
      </c>
      <c r="CF6" s="304">
        <v>14547.720000000001</v>
      </c>
      <c r="CG6" s="304"/>
      <c r="CH6" s="304"/>
      <c r="CI6" s="304"/>
      <c r="CJ6" s="304"/>
      <c r="CK6" s="304">
        <v>20318</v>
      </c>
      <c r="CL6" s="304">
        <v>9236.2999999999993</v>
      </c>
      <c r="CM6" s="304"/>
      <c r="CN6" s="304">
        <v>7205.1599999999989</v>
      </c>
      <c r="CO6" s="304">
        <v>1508.84</v>
      </c>
      <c r="CP6" s="304"/>
      <c r="CQ6" s="304"/>
      <c r="CR6" s="304">
        <v>260.23999999999995</v>
      </c>
      <c r="CS6" s="304"/>
      <c r="CT6" s="304">
        <v>25903.84</v>
      </c>
      <c r="CU6" s="304"/>
      <c r="CV6" s="304">
        <v>4097.7</v>
      </c>
      <c r="CW6" s="304"/>
      <c r="CX6" s="304"/>
      <c r="CY6" s="304"/>
      <c r="CZ6" s="304">
        <v>8803</v>
      </c>
      <c r="DA6" s="304">
        <v>39862.899999999994</v>
      </c>
      <c r="DB6" s="304">
        <v>103.82</v>
      </c>
      <c r="DC6" s="304"/>
      <c r="DD6" s="304">
        <v>224.05</v>
      </c>
      <c r="DE6" s="304">
        <v>5903.7200000000012</v>
      </c>
      <c r="DF6" s="304">
        <v>12250.980000000001</v>
      </c>
      <c r="DG6" s="304">
        <v>104238.9</v>
      </c>
      <c r="DH6" s="304"/>
      <c r="DI6" s="304">
        <v>246.79000000000002</v>
      </c>
      <c r="DJ6" s="304">
        <v>931.01000000000022</v>
      </c>
      <c r="DK6" s="426"/>
      <c r="DL6" s="304">
        <v>6146.04</v>
      </c>
      <c r="DM6" s="304"/>
      <c r="DN6" s="304"/>
      <c r="DO6" s="304">
        <v>17.62</v>
      </c>
      <c r="DP6" s="304"/>
      <c r="DQ6" s="304"/>
      <c r="DR6" s="304"/>
      <c r="DS6" s="304">
        <v>527.88</v>
      </c>
      <c r="DT6" s="304"/>
      <c r="DU6" s="304"/>
      <c r="DV6" s="304"/>
      <c r="DW6" s="304"/>
      <c r="DX6" s="304">
        <v>13155.66</v>
      </c>
      <c r="DY6" s="304">
        <v>6742.7</v>
      </c>
      <c r="DZ6" s="304">
        <v>1966.13</v>
      </c>
      <c r="EA6" s="304">
        <v>29261.56</v>
      </c>
      <c r="EB6" s="304">
        <v>13271.2</v>
      </c>
      <c r="EC6" s="304">
        <v>87573.58</v>
      </c>
      <c r="ED6" s="304">
        <v>2.35</v>
      </c>
      <c r="EE6" s="304">
        <v>-2124323.6</v>
      </c>
      <c r="EF6" s="304"/>
      <c r="EG6" s="304"/>
      <c r="EH6" s="304">
        <v>-54239</v>
      </c>
      <c r="EI6" s="304">
        <v>-141920</v>
      </c>
      <c r="EJ6" s="304"/>
      <c r="EK6" s="304"/>
      <c r="EL6" s="304">
        <v>-3465.8599999999997</v>
      </c>
      <c r="EM6" s="304">
        <v>-123255.76999999999</v>
      </c>
      <c r="EN6" s="304">
        <v>-12348.130000000001</v>
      </c>
      <c r="EO6" s="304">
        <v>-70206</v>
      </c>
      <c r="EP6" s="304">
        <v>-32402</v>
      </c>
      <c r="EQ6" s="304"/>
      <c r="ER6" s="304">
        <v>171680.98</v>
      </c>
      <c r="ES6" s="304">
        <v>-2329.9699999999998</v>
      </c>
      <c r="ET6" s="304"/>
      <c r="EU6" s="304">
        <v>24303.18</v>
      </c>
      <c r="EV6" s="304">
        <v>-419519.75</v>
      </c>
      <c r="EW6" s="304">
        <v>8112.46</v>
      </c>
      <c r="EX6" s="304">
        <v>1201.7</v>
      </c>
      <c r="EY6" s="304"/>
      <c r="EZ6" s="304">
        <v>-20169</v>
      </c>
      <c r="FA6" s="304">
        <v>-41502</v>
      </c>
      <c r="FB6" s="304">
        <v>2485</v>
      </c>
      <c r="FC6" s="304"/>
      <c r="FD6" s="304">
        <v>6369.2000000000007</v>
      </c>
      <c r="FE6" s="304">
        <v>9276.7700000000023</v>
      </c>
      <c r="FF6" s="304">
        <v>66344.12</v>
      </c>
      <c r="FG6" s="304"/>
      <c r="FH6" s="304"/>
      <c r="FI6" s="304">
        <v>11671.120000000004</v>
      </c>
      <c r="FJ6" s="304">
        <v>522</v>
      </c>
      <c r="FK6" s="304">
        <v>2132.8199999999997</v>
      </c>
      <c r="FL6" s="304">
        <v>6383.19</v>
      </c>
      <c r="FM6" s="304">
        <v>9514.86</v>
      </c>
      <c r="FN6" s="304">
        <v>840</v>
      </c>
      <c r="FO6" s="304">
        <v>2174.9299999999998</v>
      </c>
      <c r="FP6" s="304">
        <v>3673.2600000000016</v>
      </c>
      <c r="FQ6" s="304"/>
      <c r="FR6" s="304"/>
      <c r="FS6" s="304"/>
      <c r="FT6" s="304"/>
      <c r="FU6" s="304"/>
      <c r="FV6" s="304"/>
      <c r="FW6" s="304"/>
      <c r="FX6" s="304">
        <v>-22615.73</v>
      </c>
      <c r="FY6" s="304">
        <v>-20524.690000000002</v>
      </c>
      <c r="FZ6" s="304"/>
      <c r="GA6" s="304"/>
      <c r="GB6" s="304"/>
      <c r="GC6" s="304">
        <v>-25365</v>
      </c>
      <c r="GD6" s="304">
        <v>-5258.75</v>
      </c>
      <c r="GE6" s="304"/>
      <c r="GF6" s="304">
        <v>-62467.380000000012</v>
      </c>
      <c r="GI6">
        <v>-5950</v>
      </c>
      <c r="GJ6">
        <v>-17432.039999999997</v>
      </c>
    </row>
    <row r="7" spans="1:195">
      <c r="A7" s="116">
        <v>107616</v>
      </c>
      <c r="B7" s="304"/>
      <c r="C7" s="304">
        <v>181702.84</v>
      </c>
      <c r="D7" s="304">
        <v>2537.11</v>
      </c>
      <c r="E7" s="304">
        <v>216.7</v>
      </c>
      <c r="F7" s="304">
        <v>52840.020000000004</v>
      </c>
      <c r="G7" s="304">
        <v>23882.93</v>
      </c>
      <c r="H7" s="304"/>
      <c r="I7" s="304"/>
      <c r="J7" s="304"/>
      <c r="K7" s="304"/>
      <c r="L7" s="304"/>
      <c r="M7" s="304"/>
      <c r="N7" s="304"/>
      <c r="O7" s="304"/>
      <c r="P7" s="304"/>
      <c r="Q7" s="304"/>
      <c r="R7" s="304"/>
      <c r="S7" s="304">
        <v>20094.329999999998</v>
      </c>
      <c r="T7" s="304">
        <v>597.36</v>
      </c>
      <c r="U7" s="304">
        <v>103.93</v>
      </c>
      <c r="V7" s="304">
        <v>5229.0399999999991</v>
      </c>
      <c r="W7" s="304">
        <v>2067.9499999999998</v>
      </c>
      <c r="X7" s="304">
        <v>9516.65</v>
      </c>
      <c r="Y7" s="304">
        <v>81.88</v>
      </c>
      <c r="Z7" s="304"/>
      <c r="AA7" s="304">
        <v>2533.8200000000002</v>
      </c>
      <c r="AB7" s="304">
        <v>459.90000000000003</v>
      </c>
      <c r="AC7" s="304"/>
      <c r="AD7" s="304"/>
      <c r="AE7" s="304"/>
      <c r="AF7" s="304"/>
      <c r="AG7" s="304"/>
      <c r="AH7" s="304">
        <v>81232.740000000005</v>
      </c>
      <c r="AI7" s="304">
        <v>1409.2800000000002</v>
      </c>
      <c r="AJ7" s="304">
        <v>748.57999999999993</v>
      </c>
      <c r="AK7" s="304">
        <v>21641.839999999997</v>
      </c>
      <c r="AL7" s="304">
        <v>9225.32</v>
      </c>
      <c r="AM7" s="304"/>
      <c r="AN7" s="304"/>
      <c r="AO7" s="304"/>
      <c r="AP7" s="304"/>
      <c r="AQ7" s="304"/>
      <c r="AR7" s="304"/>
      <c r="AS7" s="304"/>
      <c r="AT7" s="304"/>
      <c r="AU7" s="304">
        <v>24316.870000000003</v>
      </c>
      <c r="AV7" s="304">
        <v>73.45</v>
      </c>
      <c r="AW7" s="304">
        <v>106.47</v>
      </c>
      <c r="AX7" s="304"/>
      <c r="AY7" s="304">
        <v>6466.94</v>
      </c>
      <c r="AZ7" s="304">
        <v>2553.4900000000002</v>
      </c>
      <c r="BA7" s="304"/>
      <c r="BB7" s="304"/>
      <c r="BC7" s="304"/>
      <c r="BD7" s="304"/>
      <c r="BE7" s="304"/>
      <c r="BF7" s="304"/>
      <c r="BG7" s="304"/>
      <c r="BH7" s="304"/>
      <c r="BI7" s="304"/>
      <c r="BJ7" s="304"/>
      <c r="BK7" s="304"/>
      <c r="BL7" s="304"/>
      <c r="BM7" s="304"/>
      <c r="BN7" s="304"/>
      <c r="BO7" s="304"/>
      <c r="BP7" s="304"/>
      <c r="BQ7" s="304"/>
      <c r="BR7" s="304">
        <v>954.25</v>
      </c>
      <c r="BS7" s="304"/>
      <c r="BT7" s="304"/>
      <c r="BU7" s="304"/>
      <c r="BV7" s="304"/>
      <c r="BW7" s="304">
        <v>6173.7999999999993</v>
      </c>
      <c r="BX7" s="304"/>
      <c r="BY7" s="304"/>
      <c r="BZ7" s="304"/>
      <c r="CA7" s="304"/>
      <c r="CB7" s="304"/>
      <c r="CC7" s="304">
        <v>2286</v>
      </c>
      <c r="CD7" s="304"/>
      <c r="CE7" s="304">
        <v>6168.5299999999988</v>
      </c>
      <c r="CF7" s="304"/>
      <c r="CG7" s="304"/>
      <c r="CH7" s="304"/>
      <c r="CI7" s="304"/>
      <c r="CJ7" s="304"/>
      <c r="CK7" s="304">
        <v>928.14</v>
      </c>
      <c r="CL7" s="304">
        <v>1473.6200000000001</v>
      </c>
      <c r="CM7" s="304"/>
      <c r="CN7" s="304">
        <v>1147.1100000000001</v>
      </c>
      <c r="CO7" s="304"/>
      <c r="CP7" s="304"/>
      <c r="CQ7" s="304"/>
      <c r="CR7" s="304"/>
      <c r="CS7" s="304"/>
      <c r="CT7" s="304">
        <v>42.129999999999995</v>
      </c>
      <c r="CU7" s="304"/>
      <c r="CV7" s="304"/>
      <c r="CW7" s="304"/>
      <c r="CX7" s="304"/>
      <c r="CY7" s="304"/>
      <c r="CZ7" s="304"/>
      <c r="DA7" s="304">
        <v>4395.9999999999991</v>
      </c>
      <c r="DB7" s="304">
        <v>126.14</v>
      </c>
      <c r="DC7" s="304"/>
      <c r="DD7" s="304">
        <v>1817.2599999999998</v>
      </c>
      <c r="DE7" s="304">
        <v>769.1099999999999</v>
      </c>
      <c r="DF7" s="304">
        <v>5806</v>
      </c>
      <c r="DG7" s="304">
        <v>3670</v>
      </c>
      <c r="DH7" s="304"/>
      <c r="DI7" s="304">
        <v>13.68</v>
      </c>
      <c r="DJ7" s="304">
        <v>578.79</v>
      </c>
      <c r="DK7" s="426"/>
      <c r="DL7" s="304">
        <v>2199</v>
      </c>
      <c r="DM7" s="304"/>
      <c r="DN7" s="304"/>
      <c r="DO7" s="304">
        <v>1358.8000000000002</v>
      </c>
      <c r="DP7" s="304">
        <v>1150</v>
      </c>
      <c r="DQ7" s="304">
        <v>90</v>
      </c>
      <c r="DR7" s="304">
        <v>3412</v>
      </c>
      <c r="DS7" s="304"/>
      <c r="DT7" s="304"/>
      <c r="DU7" s="304"/>
      <c r="DV7" s="304">
        <v>55.900000000000006</v>
      </c>
      <c r="DW7" s="304">
        <v>1949.26</v>
      </c>
      <c r="DX7" s="304">
        <v>1702.89</v>
      </c>
      <c r="DY7" s="304">
        <v>12103.94</v>
      </c>
      <c r="DZ7" s="304">
        <v>17121.620000000003</v>
      </c>
      <c r="EA7" s="304">
        <v>9501.08</v>
      </c>
      <c r="EB7" s="304"/>
      <c r="EC7" s="304"/>
      <c r="ED7" s="304"/>
      <c r="EE7" s="304">
        <v>-425042.51</v>
      </c>
      <c r="EF7" s="304"/>
      <c r="EG7" s="304"/>
      <c r="EH7" s="304">
        <v>-400</v>
      </c>
      <c r="EI7" s="304">
        <v>-5245</v>
      </c>
      <c r="EJ7" s="304"/>
      <c r="EK7" s="304"/>
      <c r="EL7" s="304">
        <v>-6832.31</v>
      </c>
      <c r="EM7" s="304"/>
      <c r="EN7" s="304"/>
      <c r="EO7" s="304">
        <v>-3856</v>
      </c>
      <c r="EP7" s="304">
        <v>-15143</v>
      </c>
      <c r="EQ7" s="304">
        <v>-80744.259999999995</v>
      </c>
      <c r="ER7" s="304"/>
      <c r="ES7" s="304">
        <v>0</v>
      </c>
      <c r="ET7" s="304">
        <v>-2286.14</v>
      </c>
      <c r="EU7" s="304"/>
      <c r="EV7" s="304">
        <v>-33993</v>
      </c>
      <c r="EW7" s="304">
        <v>1050.0899999999999</v>
      </c>
      <c r="EX7" s="304">
        <v>155.55000000000001</v>
      </c>
      <c r="EY7" s="304">
        <v>-32122.12</v>
      </c>
      <c r="EZ7" s="304">
        <v>-3414</v>
      </c>
      <c r="FA7" s="304">
        <v>-6646</v>
      </c>
      <c r="FB7" s="304">
        <v>181</v>
      </c>
      <c r="FC7" s="304"/>
      <c r="FD7" s="304"/>
      <c r="FE7" s="304">
        <v>20.09</v>
      </c>
      <c r="FF7" s="304">
        <v>11432.020000000002</v>
      </c>
      <c r="FG7" s="304"/>
      <c r="FH7" s="304">
        <v>399.1</v>
      </c>
      <c r="FI7" s="304">
        <v>2976.3599999999997</v>
      </c>
      <c r="FJ7" s="304">
        <v>261</v>
      </c>
      <c r="FK7" s="304">
        <v>3208.26</v>
      </c>
      <c r="FL7" s="304">
        <v>1367.35</v>
      </c>
      <c r="FM7" s="304">
        <v>790</v>
      </c>
      <c r="FN7" s="304">
        <v>885</v>
      </c>
      <c r="FO7" s="304">
        <v>757.81</v>
      </c>
      <c r="FP7" s="304">
        <v>948.95000000000016</v>
      </c>
      <c r="FQ7" s="304"/>
      <c r="FR7" s="304"/>
      <c r="FS7" s="304"/>
      <c r="FT7" s="304"/>
      <c r="FU7" s="304"/>
      <c r="FV7" s="304"/>
      <c r="FW7" s="304"/>
      <c r="FX7" s="304">
        <v>-9779.4700000000012</v>
      </c>
      <c r="FY7" s="304">
        <v>-6008.7099999999973</v>
      </c>
      <c r="FZ7" s="304"/>
      <c r="GA7" s="304">
        <v>-852.74</v>
      </c>
      <c r="GB7" s="304"/>
      <c r="GC7" s="304">
        <v>-6579.18</v>
      </c>
      <c r="GD7" s="304"/>
      <c r="GE7" s="304"/>
      <c r="GF7" s="304">
        <v>-11759.439999999997</v>
      </c>
      <c r="GI7">
        <v>-425</v>
      </c>
      <c r="GK7">
        <v>-4071.09</v>
      </c>
    </row>
    <row r="8" spans="1:195" s="142" customFormat="1">
      <c r="A8" s="425">
        <v>107619</v>
      </c>
      <c r="B8" s="426"/>
      <c r="C8" s="426">
        <v>275427.51</v>
      </c>
      <c r="D8" s="426"/>
      <c r="E8" s="426"/>
      <c r="F8" s="426">
        <v>78992.63</v>
      </c>
      <c r="G8" s="426">
        <v>35639.30999999999</v>
      </c>
      <c r="H8" s="426"/>
      <c r="I8" s="426"/>
      <c r="J8" s="426"/>
      <c r="K8" s="426"/>
      <c r="L8" s="426"/>
      <c r="M8" s="426"/>
      <c r="N8" s="426"/>
      <c r="O8" s="426"/>
      <c r="P8" s="426"/>
      <c r="Q8" s="426"/>
      <c r="R8" s="426"/>
      <c r="S8" s="426"/>
      <c r="T8" s="426"/>
      <c r="U8" s="426"/>
      <c r="V8" s="426"/>
      <c r="W8" s="426"/>
      <c r="X8" s="426">
        <v>12791.599999999999</v>
      </c>
      <c r="Y8" s="426"/>
      <c r="Z8" s="426"/>
      <c r="AA8" s="426">
        <v>2048.13</v>
      </c>
      <c r="AB8" s="426">
        <v>918.56000000000017</v>
      </c>
      <c r="AC8" s="426"/>
      <c r="AD8" s="426"/>
      <c r="AE8" s="426"/>
      <c r="AF8" s="426"/>
      <c r="AG8" s="426"/>
      <c r="AH8" s="426">
        <v>48301.040000000008</v>
      </c>
      <c r="AI8" s="426"/>
      <c r="AJ8" s="426">
        <v>58.74</v>
      </c>
      <c r="AK8" s="426">
        <v>12766.579999999998</v>
      </c>
      <c r="AL8" s="426">
        <v>4760.74</v>
      </c>
      <c r="AM8" s="426">
        <v>24388.059999999998</v>
      </c>
      <c r="AN8" s="426"/>
      <c r="AO8" s="426">
        <v>40.409999999999997</v>
      </c>
      <c r="AP8" s="426">
        <v>6449.0299999999988</v>
      </c>
      <c r="AQ8" s="426">
        <v>2231.7600000000002</v>
      </c>
      <c r="AR8" s="426"/>
      <c r="AS8" s="426"/>
      <c r="AT8" s="426"/>
      <c r="AU8" s="426">
        <v>21030.14</v>
      </c>
      <c r="AV8" s="426">
        <v>53.56</v>
      </c>
      <c r="AW8" s="426"/>
      <c r="AX8" s="426"/>
      <c r="AY8" s="426">
        <v>5566.0099999999993</v>
      </c>
      <c r="AZ8" s="426">
        <v>2411.9799999999996</v>
      </c>
      <c r="BA8" s="426"/>
      <c r="BB8" s="426"/>
      <c r="BC8" s="426"/>
      <c r="BD8" s="426"/>
      <c r="BE8" s="426"/>
      <c r="BF8" s="426"/>
      <c r="BG8" s="426"/>
      <c r="BH8" s="426"/>
      <c r="BI8" s="426"/>
      <c r="BJ8" s="426"/>
      <c r="BK8" s="426"/>
      <c r="BL8" s="426"/>
      <c r="BM8" s="426"/>
      <c r="BN8" s="426"/>
      <c r="BO8" s="426"/>
      <c r="BP8" s="426"/>
      <c r="BQ8" s="426"/>
      <c r="BR8" s="426">
        <v>579</v>
      </c>
      <c r="BS8" s="426"/>
      <c r="BT8" s="426"/>
      <c r="BU8" s="426"/>
      <c r="BV8" s="426"/>
      <c r="BW8" s="426">
        <v>10274.469999999999</v>
      </c>
      <c r="BX8" s="426">
        <v>240</v>
      </c>
      <c r="BY8" s="426">
        <v>14931.12</v>
      </c>
      <c r="BZ8" s="426"/>
      <c r="CA8" s="426"/>
      <c r="CB8" s="426"/>
      <c r="CC8" s="426"/>
      <c r="CD8" s="426">
        <v>808</v>
      </c>
      <c r="CE8" s="426">
        <v>6419.87</v>
      </c>
      <c r="CF8" s="426">
        <v>2623.9</v>
      </c>
      <c r="CG8" s="426"/>
      <c r="CH8" s="426"/>
      <c r="CI8" s="426"/>
      <c r="CJ8" s="426"/>
      <c r="CK8" s="426">
        <v>6736.5</v>
      </c>
      <c r="CL8" s="426">
        <v>1477.4099999999999</v>
      </c>
      <c r="CM8" s="426"/>
      <c r="CN8" s="426">
        <v>896.35</v>
      </c>
      <c r="CO8" s="426"/>
      <c r="CP8" s="426"/>
      <c r="CQ8" s="426"/>
      <c r="CR8" s="426"/>
      <c r="CS8" s="426"/>
      <c r="CT8" s="426"/>
      <c r="CU8" s="426"/>
      <c r="CV8" s="426"/>
      <c r="CW8" s="426">
        <v>3269.3</v>
      </c>
      <c r="CX8" s="426"/>
      <c r="CY8" s="426">
        <v>8169.72</v>
      </c>
      <c r="CZ8" s="426">
        <v>1904</v>
      </c>
      <c r="DA8" s="426">
        <v>12149.329999999994</v>
      </c>
      <c r="DB8" s="426">
        <v>518.90000000000009</v>
      </c>
      <c r="DC8" s="426"/>
      <c r="DD8" s="426"/>
      <c r="DE8" s="426">
        <v>2033.22</v>
      </c>
      <c r="DF8" s="426">
        <v>8523.5</v>
      </c>
      <c r="DG8" s="426">
        <v>16613.5</v>
      </c>
      <c r="DH8" s="426"/>
      <c r="DI8" s="426"/>
      <c r="DJ8" s="426">
        <v>255.76</v>
      </c>
      <c r="DK8" s="426">
        <v>2900.4</v>
      </c>
      <c r="DL8" s="426"/>
      <c r="DM8" s="426"/>
      <c r="DN8" s="426"/>
      <c r="DO8" s="426"/>
      <c r="DP8" s="426">
        <v>2949.44</v>
      </c>
      <c r="DQ8" s="426"/>
      <c r="DR8" s="426"/>
      <c r="DS8" s="426"/>
      <c r="DT8" s="426"/>
      <c r="DU8" s="426"/>
      <c r="DV8" s="426"/>
      <c r="DW8" s="426"/>
      <c r="DX8" s="426">
        <v>2671.2</v>
      </c>
      <c r="DY8" s="426"/>
      <c r="DZ8" s="426">
        <v>24531.630000000012</v>
      </c>
      <c r="EA8" s="426">
        <v>4045.82</v>
      </c>
      <c r="EB8" s="426">
        <v>15440.38</v>
      </c>
      <c r="EC8" s="426"/>
      <c r="ED8" s="426"/>
      <c r="EE8" s="426">
        <v>-551000.66</v>
      </c>
      <c r="EF8" s="426"/>
      <c r="EG8" s="426"/>
      <c r="EH8" s="426"/>
      <c r="EI8" s="426">
        <v>-10605</v>
      </c>
      <c r="EJ8" s="426"/>
      <c r="EK8" s="426"/>
      <c r="EL8" s="426">
        <v>-175.2</v>
      </c>
      <c r="EM8" s="426">
        <v>-39264.310000000005</v>
      </c>
      <c r="EN8" s="426">
        <v>-4866.25</v>
      </c>
      <c r="EO8" s="426">
        <v>-13335</v>
      </c>
      <c r="EP8" s="426">
        <v>-15272</v>
      </c>
      <c r="EQ8" s="426">
        <v>-86162.68</v>
      </c>
      <c r="ER8" s="426"/>
      <c r="ES8" s="426">
        <v>-13388.78</v>
      </c>
      <c r="ET8" s="426"/>
      <c r="EU8" s="426">
        <v>-21818.03</v>
      </c>
      <c r="EV8" s="426">
        <v>-22969</v>
      </c>
      <c r="EW8" s="426">
        <v>1647.1999999999998</v>
      </c>
      <c r="EX8" s="426">
        <v>244</v>
      </c>
      <c r="EY8" s="426">
        <v>-12591.3</v>
      </c>
      <c r="EZ8" s="426">
        <v>-4635</v>
      </c>
      <c r="FA8" s="426">
        <v>-9225</v>
      </c>
      <c r="FB8" s="426">
        <v>785</v>
      </c>
      <c r="FC8" s="426">
        <v>759</v>
      </c>
      <c r="FD8" s="426">
        <v>1220.04</v>
      </c>
      <c r="FE8" s="426">
        <v>3776.3800000000006</v>
      </c>
      <c r="FF8" s="426">
        <v>16877.8</v>
      </c>
      <c r="FG8" s="426"/>
      <c r="FH8" s="426"/>
      <c r="FI8" s="426">
        <v>5977.2100000000009</v>
      </c>
      <c r="FJ8" s="426">
        <v>261</v>
      </c>
      <c r="FK8" s="426">
        <v>2643.12</v>
      </c>
      <c r="FL8" s="426">
        <v>1340.67</v>
      </c>
      <c r="FM8" s="426">
        <v>2580</v>
      </c>
      <c r="FN8" s="426">
        <v>945</v>
      </c>
      <c r="FO8" s="426">
        <v>824.8</v>
      </c>
      <c r="FP8" s="426">
        <v>1132.26</v>
      </c>
      <c r="FQ8" s="426"/>
      <c r="FR8" s="426"/>
      <c r="FS8" s="426"/>
      <c r="FT8" s="426"/>
      <c r="FU8" s="426"/>
      <c r="FV8" s="426"/>
      <c r="FW8" s="426"/>
      <c r="FX8" s="426">
        <v>-11363.63</v>
      </c>
      <c r="FY8" s="426">
        <v>-4365.8999999999987</v>
      </c>
      <c r="FZ8" s="426"/>
      <c r="GA8" s="426">
        <v>-577.51</v>
      </c>
      <c r="GB8" s="426"/>
      <c r="GC8" s="426">
        <v>-7395.1500000000005</v>
      </c>
      <c r="GD8" s="426"/>
      <c r="GE8" s="426"/>
      <c r="GF8" s="426">
        <v>0</v>
      </c>
      <c r="GI8" s="142">
        <v>-7725</v>
      </c>
      <c r="GJ8" s="142">
        <v>-4012.3400000000015</v>
      </c>
      <c r="GK8" s="142">
        <v>-6186.35</v>
      </c>
    </row>
    <row r="9" spans="1:195">
      <c r="A9" s="116">
        <v>107620</v>
      </c>
      <c r="B9" s="304"/>
      <c r="C9" s="304">
        <v>425766.27999999997</v>
      </c>
      <c r="D9" s="304">
        <v>19770.390000000003</v>
      </c>
      <c r="E9" s="304">
        <v>29661.870000000003</v>
      </c>
      <c r="F9" s="304">
        <v>79616.87</v>
      </c>
      <c r="G9" s="304">
        <v>41278.89</v>
      </c>
      <c r="H9" s="304">
        <v>26317.09</v>
      </c>
      <c r="I9" s="304"/>
      <c r="J9" s="304">
        <v>7379.6599999999989</v>
      </c>
      <c r="K9" s="304">
        <v>3230.45</v>
      </c>
      <c r="L9" s="304"/>
      <c r="M9" s="304">
        <v>25055.889999999996</v>
      </c>
      <c r="N9" s="304">
        <v>266.83999999999997</v>
      </c>
      <c r="O9" s="304">
        <v>666.76</v>
      </c>
      <c r="P9" s="304">
        <v>6861.1600000000017</v>
      </c>
      <c r="Q9" s="304">
        <v>3148.36</v>
      </c>
      <c r="R9" s="304"/>
      <c r="S9" s="304"/>
      <c r="T9" s="304"/>
      <c r="U9" s="304"/>
      <c r="V9" s="304"/>
      <c r="W9" s="304"/>
      <c r="X9" s="304">
        <v>12374.539999999999</v>
      </c>
      <c r="Y9" s="304">
        <v>2653.8500000000004</v>
      </c>
      <c r="Z9" s="304">
        <v>78.61</v>
      </c>
      <c r="AA9" s="304">
        <v>1510.3</v>
      </c>
      <c r="AB9" s="304">
        <v>106.85</v>
      </c>
      <c r="AC9" s="304">
        <v>71.650000000000006</v>
      </c>
      <c r="AD9" s="304"/>
      <c r="AE9" s="304"/>
      <c r="AF9" s="304"/>
      <c r="AG9" s="304">
        <v>6.42</v>
      </c>
      <c r="AH9" s="304">
        <v>133810.51000000004</v>
      </c>
      <c r="AI9" s="304">
        <v>1331.8</v>
      </c>
      <c r="AJ9" s="304">
        <v>9032.5399999999991</v>
      </c>
      <c r="AK9" s="304">
        <v>36016.19000000001</v>
      </c>
      <c r="AL9" s="304">
        <v>14910.069999999998</v>
      </c>
      <c r="AM9" s="304"/>
      <c r="AN9" s="304"/>
      <c r="AO9" s="304"/>
      <c r="AP9" s="304"/>
      <c r="AQ9" s="304"/>
      <c r="AR9" s="304"/>
      <c r="AS9" s="304"/>
      <c r="AT9" s="304"/>
      <c r="AU9" s="304">
        <v>36712.55000000001</v>
      </c>
      <c r="AV9" s="304">
        <v>326.74</v>
      </c>
      <c r="AW9" s="304">
        <v>487.83</v>
      </c>
      <c r="AX9" s="304"/>
      <c r="AY9" s="304">
        <v>5187.96</v>
      </c>
      <c r="AZ9" s="304">
        <v>3955.3700000000003</v>
      </c>
      <c r="BA9" s="304"/>
      <c r="BB9" s="304"/>
      <c r="BC9" s="304"/>
      <c r="BD9" s="304"/>
      <c r="BE9" s="304"/>
      <c r="BF9" s="304"/>
      <c r="BG9" s="304"/>
      <c r="BH9" s="304">
        <v>1522.9099999999999</v>
      </c>
      <c r="BI9" s="304"/>
      <c r="BJ9" s="304"/>
      <c r="BK9" s="304">
        <v>402</v>
      </c>
      <c r="BL9" s="304">
        <v>0.84</v>
      </c>
      <c r="BM9" s="304"/>
      <c r="BN9" s="304"/>
      <c r="BO9" s="304"/>
      <c r="BP9" s="304"/>
      <c r="BQ9" s="304"/>
      <c r="BR9" s="304">
        <v>3524</v>
      </c>
      <c r="BS9" s="304"/>
      <c r="BT9" s="304"/>
      <c r="BU9" s="304"/>
      <c r="BV9" s="304">
        <v>13462.060000000001</v>
      </c>
      <c r="BW9" s="304">
        <v>6684.12</v>
      </c>
      <c r="BX9" s="304">
        <v>4903.99</v>
      </c>
      <c r="BY9" s="304">
        <v>20000</v>
      </c>
      <c r="BZ9" s="304">
        <v>17658.2</v>
      </c>
      <c r="CA9" s="304"/>
      <c r="CB9" s="304"/>
      <c r="CC9" s="304"/>
      <c r="CD9" s="304"/>
      <c r="CE9" s="304">
        <v>7913.2699999999995</v>
      </c>
      <c r="CF9" s="304">
        <v>5145.1000000000013</v>
      </c>
      <c r="CG9" s="304"/>
      <c r="CH9" s="304"/>
      <c r="CI9" s="304">
        <v>927.4</v>
      </c>
      <c r="CJ9" s="304">
        <v>155</v>
      </c>
      <c r="CK9" s="304">
        <v>21332.25</v>
      </c>
      <c r="CL9" s="304">
        <v>6845.9999999999973</v>
      </c>
      <c r="CM9" s="304"/>
      <c r="CN9" s="304">
        <v>653</v>
      </c>
      <c r="CO9" s="304"/>
      <c r="CP9" s="304"/>
      <c r="CQ9" s="304"/>
      <c r="CR9" s="304">
        <v>53.56</v>
      </c>
      <c r="CS9" s="304"/>
      <c r="CT9" s="304"/>
      <c r="CU9" s="304"/>
      <c r="CV9" s="304"/>
      <c r="CW9" s="304"/>
      <c r="CX9" s="304"/>
      <c r="CY9" s="304"/>
      <c r="CZ9" s="304">
        <v>2691</v>
      </c>
      <c r="DA9" s="304">
        <v>27036.729999999996</v>
      </c>
      <c r="DB9" s="304">
        <v>148.07999999999998</v>
      </c>
      <c r="DC9" s="304"/>
      <c r="DD9" s="304">
        <v>1512.3100000000004</v>
      </c>
      <c r="DE9" s="304">
        <v>2265.5100000000002</v>
      </c>
      <c r="DF9" s="304">
        <v>4090</v>
      </c>
      <c r="DG9" s="304">
        <v>2840</v>
      </c>
      <c r="DH9" s="304"/>
      <c r="DI9" s="304"/>
      <c r="DJ9" s="304">
        <v>2444.3600000000006</v>
      </c>
      <c r="DK9" s="426"/>
      <c r="DL9" s="304">
        <v>3408.8499999999995</v>
      </c>
      <c r="DM9" s="304"/>
      <c r="DN9" s="304">
        <v>3170.5</v>
      </c>
      <c r="DO9" s="304">
        <v>7775.3899999999994</v>
      </c>
      <c r="DP9" s="304">
        <v>455</v>
      </c>
      <c r="DQ9" s="304">
        <v>314.04000000000002</v>
      </c>
      <c r="DR9" s="304">
        <v>3491.5</v>
      </c>
      <c r="DS9" s="304"/>
      <c r="DT9" s="304"/>
      <c r="DU9" s="304"/>
      <c r="DV9" s="304"/>
      <c r="DW9" s="304">
        <v>8332.42</v>
      </c>
      <c r="DX9" s="304">
        <v>3305.61</v>
      </c>
      <c r="DY9" s="304">
        <v>2792.57</v>
      </c>
      <c r="DZ9" s="304">
        <v>346.39999999999992</v>
      </c>
      <c r="EA9" s="304">
        <v>-311618.59999999998</v>
      </c>
      <c r="EB9" s="304"/>
      <c r="EC9" s="304"/>
      <c r="ED9" s="304"/>
      <c r="EE9" s="304">
        <v>-648219.94999999995</v>
      </c>
      <c r="EF9" s="304"/>
      <c r="EG9" s="304">
        <v>-363.48000000000008</v>
      </c>
      <c r="EH9" s="304">
        <v>-1956.35</v>
      </c>
      <c r="EI9" s="304">
        <v>-25471.989999999998</v>
      </c>
      <c r="EJ9" s="304"/>
      <c r="EK9" s="304"/>
      <c r="EL9" s="304"/>
      <c r="EM9" s="304"/>
      <c r="EN9" s="304">
        <v>-5282.5</v>
      </c>
      <c r="EO9" s="304">
        <v>-40221</v>
      </c>
      <c r="EP9" s="304">
        <v>-15316</v>
      </c>
      <c r="EQ9" s="304"/>
      <c r="ER9" s="304">
        <v>18991.82</v>
      </c>
      <c r="ES9" s="304">
        <v>-14922.26</v>
      </c>
      <c r="ET9" s="304"/>
      <c r="EU9" s="304"/>
      <c r="EV9" s="304">
        <v>-111878</v>
      </c>
      <c r="EW9" s="304">
        <v>2038.4099999999999</v>
      </c>
      <c r="EX9" s="304">
        <v>301.95</v>
      </c>
      <c r="EY9" s="304">
        <v>-12267.4</v>
      </c>
      <c r="EZ9" s="304">
        <v>-5624</v>
      </c>
      <c r="FA9" s="304">
        <v>-11321</v>
      </c>
      <c r="FB9" s="304">
        <v>1010</v>
      </c>
      <c r="FC9" s="304"/>
      <c r="FD9" s="304">
        <v>1338.6</v>
      </c>
      <c r="FE9" s="304">
        <v>548.16</v>
      </c>
      <c r="FF9" s="304">
        <v>26390.05</v>
      </c>
      <c r="FG9" s="304">
        <v>49476.65</v>
      </c>
      <c r="FH9" s="304">
        <v>1308</v>
      </c>
      <c r="FI9" s="304">
        <v>7311.5200000000013</v>
      </c>
      <c r="FJ9" s="304"/>
      <c r="FK9" s="304">
        <v>3400.58</v>
      </c>
      <c r="FL9" s="304">
        <v>2534.6</v>
      </c>
      <c r="FM9" s="304">
        <v>1039.5</v>
      </c>
      <c r="FN9" s="304">
        <v>560</v>
      </c>
      <c r="FO9" s="304">
        <v>859.78</v>
      </c>
      <c r="FP9" s="304">
        <v>1204.1999999999998</v>
      </c>
      <c r="FQ9" s="304"/>
      <c r="FR9" s="304"/>
      <c r="FS9" s="304"/>
      <c r="FT9" s="304"/>
      <c r="FU9" s="304"/>
      <c r="FV9" s="304"/>
      <c r="FW9" s="304"/>
      <c r="FX9" s="304"/>
      <c r="FY9" s="304">
        <v>-690.52</v>
      </c>
      <c r="FZ9" s="304">
        <v>-17248.680000000004</v>
      </c>
      <c r="GA9" s="304">
        <v>-946.93999999999994</v>
      </c>
      <c r="GB9" s="304">
        <v>-3261.3</v>
      </c>
      <c r="GC9" s="304"/>
      <c r="GD9" s="304"/>
      <c r="GE9" s="304"/>
      <c r="GF9" s="304">
        <v>0</v>
      </c>
      <c r="GI9">
        <v>-3714.9300000000003</v>
      </c>
      <c r="GK9">
        <v>-2777.66</v>
      </c>
    </row>
    <row r="10" spans="1:195">
      <c r="A10" s="116">
        <v>107633</v>
      </c>
      <c r="B10" s="304"/>
      <c r="C10" s="304">
        <v>206629.99999999997</v>
      </c>
      <c r="D10" s="304">
        <v>-3849.42</v>
      </c>
      <c r="E10" s="304"/>
      <c r="F10" s="304">
        <v>58157.51999999999</v>
      </c>
      <c r="G10" s="304">
        <v>27380.930000000004</v>
      </c>
      <c r="H10" s="304">
        <v>2967.85</v>
      </c>
      <c r="I10" s="304"/>
      <c r="J10" s="304">
        <v>851.2</v>
      </c>
      <c r="K10" s="304">
        <v>382.08</v>
      </c>
      <c r="L10" s="304"/>
      <c r="M10" s="304"/>
      <c r="N10" s="304"/>
      <c r="O10" s="304"/>
      <c r="P10" s="304"/>
      <c r="Q10" s="304"/>
      <c r="R10" s="304"/>
      <c r="S10" s="304">
        <v>12410.520000000002</v>
      </c>
      <c r="T10" s="304"/>
      <c r="U10" s="304">
        <v>2021.3400000000001</v>
      </c>
      <c r="V10" s="304">
        <v>3618.58</v>
      </c>
      <c r="W10" s="304">
        <v>1498.45</v>
      </c>
      <c r="X10" s="304">
        <v>5624.6400000000012</v>
      </c>
      <c r="Y10" s="304">
        <v>122.72999999999999</v>
      </c>
      <c r="Z10" s="304">
        <v>173.52</v>
      </c>
      <c r="AA10" s="304">
        <v>1562.99</v>
      </c>
      <c r="AB10" s="304">
        <v>272.21000000000004</v>
      </c>
      <c r="AC10" s="304"/>
      <c r="AD10" s="304"/>
      <c r="AE10" s="304"/>
      <c r="AF10" s="304"/>
      <c r="AG10" s="304"/>
      <c r="AH10" s="304">
        <v>61936.959999999999</v>
      </c>
      <c r="AI10" s="304">
        <v>119.57</v>
      </c>
      <c r="AJ10" s="304">
        <v>686.68000000000006</v>
      </c>
      <c r="AK10" s="304">
        <v>16426.53</v>
      </c>
      <c r="AL10" s="304">
        <v>6490.32</v>
      </c>
      <c r="AM10" s="304"/>
      <c r="AN10" s="304"/>
      <c r="AO10" s="304"/>
      <c r="AP10" s="304"/>
      <c r="AQ10" s="304"/>
      <c r="AR10" s="304"/>
      <c r="AS10" s="304"/>
      <c r="AT10" s="304"/>
      <c r="AU10" s="304">
        <v>21404.07</v>
      </c>
      <c r="AV10" s="304">
        <v>679.13000000000011</v>
      </c>
      <c r="AW10" s="304">
        <v>1240.2600000000002</v>
      </c>
      <c r="AX10" s="304"/>
      <c r="AY10" s="304">
        <v>6017.91</v>
      </c>
      <c r="AZ10" s="304">
        <v>1887.5</v>
      </c>
      <c r="BA10" s="304"/>
      <c r="BB10" s="304"/>
      <c r="BC10" s="304"/>
      <c r="BD10" s="304"/>
      <c r="BE10" s="304"/>
      <c r="BF10" s="304"/>
      <c r="BG10" s="304"/>
      <c r="BH10" s="304"/>
      <c r="BI10" s="304"/>
      <c r="BJ10" s="304"/>
      <c r="BK10" s="304"/>
      <c r="BL10" s="304"/>
      <c r="BM10" s="304"/>
      <c r="BN10" s="304"/>
      <c r="BO10" s="304"/>
      <c r="BP10" s="304"/>
      <c r="BQ10" s="304"/>
      <c r="BR10" s="304">
        <v>1567.5</v>
      </c>
      <c r="BS10" s="304"/>
      <c r="BT10" s="304"/>
      <c r="BU10" s="304"/>
      <c r="BV10" s="304"/>
      <c r="BW10" s="304">
        <v>3800.65</v>
      </c>
      <c r="BX10" s="304"/>
      <c r="BY10" s="304">
        <v>-2482.5</v>
      </c>
      <c r="BZ10" s="304"/>
      <c r="CA10" s="304"/>
      <c r="CB10" s="304"/>
      <c r="CC10" s="304"/>
      <c r="CD10" s="304">
        <v>717.13999999999987</v>
      </c>
      <c r="CE10" s="304">
        <v>3202.7099999999991</v>
      </c>
      <c r="CF10" s="304">
        <v>2252.34</v>
      </c>
      <c r="CG10" s="304"/>
      <c r="CH10" s="304"/>
      <c r="CI10" s="304">
        <v>160.59999999999997</v>
      </c>
      <c r="CJ10" s="304">
        <v>376.25</v>
      </c>
      <c r="CK10" s="304">
        <v>4191.6000000000004</v>
      </c>
      <c r="CL10" s="304">
        <v>982.2399999999999</v>
      </c>
      <c r="CM10" s="304">
        <v>256.18</v>
      </c>
      <c r="CN10" s="304">
        <v>8140.7799999999988</v>
      </c>
      <c r="CO10" s="304">
        <v>25.490000000000002</v>
      </c>
      <c r="CP10" s="304"/>
      <c r="CQ10" s="304"/>
      <c r="CR10" s="304"/>
      <c r="CS10" s="304"/>
      <c r="CT10" s="304"/>
      <c r="CU10" s="304"/>
      <c r="CV10" s="304"/>
      <c r="CW10" s="304">
        <v>5224.7</v>
      </c>
      <c r="CX10" s="304"/>
      <c r="CY10" s="304"/>
      <c r="CZ10" s="304">
        <v>1540</v>
      </c>
      <c r="DA10" s="304">
        <v>12593.820000000003</v>
      </c>
      <c r="DB10" s="304">
        <v>33.43</v>
      </c>
      <c r="DC10" s="304"/>
      <c r="DD10" s="304">
        <v>81.539999999999992</v>
      </c>
      <c r="DE10" s="304">
        <v>71.069999999999993</v>
      </c>
      <c r="DF10" s="304">
        <v>2400</v>
      </c>
      <c r="DG10" s="304">
        <v>8148.91</v>
      </c>
      <c r="DH10" s="304"/>
      <c r="DI10" s="304"/>
      <c r="DJ10" s="304">
        <v>1020.41</v>
      </c>
      <c r="DK10" s="426"/>
      <c r="DL10" s="304">
        <v>1669</v>
      </c>
      <c r="DM10" s="304"/>
      <c r="DN10" s="304"/>
      <c r="DO10" s="304"/>
      <c r="DP10" s="304">
        <v>20</v>
      </c>
      <c r="DQ10" s="304">
        <v>139.52000000000001</v>
      </c>
      <c r="DR10" s="304"/>
      <c r="DS10" s="304"/>
      <c r="DT10" s="304"/>
      <c r="DU10" s="304"/>
      <c r="DV10" s="304"/>
      <c r="DW10" s="304">
        <v>1790.6</v>
      </c>
      <c r="DX10" s="304">
        <v>1736.28</v>
      </c>
      <c r="DY10" s="304">
        <v>4536.079999999999</v>
      </c>
      <c r="DZ10" s="304"/>
      <c r="EA10" s="304">
        <v>6988.86</v>
      </c>
      <c r="EB10" s="304"/>
      <c r="EC10" s="304">
        <v>5906.64</v>
      </c>
      <c r="ED10" s="304"/>
      <c r="EE10" s="304">
        <v>-399618.55</v>
      </c>
      <c r="EF10" s="304"/>
      <c r="EG10" s="304"/>
      <c r="EH10" s="304"/>
      <c r="EI10" s="304">
        <v>-10605</v>
      </c>
      <c r="EJ10" s="304"/>
      <c r="EK10" s="304"/>
      <c r="EL10" s="304"/>
      <c r="EM10" s="304"/>
      <c r="EN10" s="304">
        <v>-4551.25</v>
      </c>
      <c r="EO10" s="304">
        <v>-6332</v>
      </c>
      <c r="EP10" s="304">
        <v>-15084</v>
      </c>
      <c r="EQ10" s="304">
        <v>-122424.21</v>
      </c>
      <c r="ER10" s="304"/>
      <c r="ES10" s="304">
        <v>-16965.71</v>
      </c>
      <c r="ET10" s="304"/>
      <c r="EU10" s="304"/>
      <c r="EV10" s="304">
        <v>-28061</v>
      </c>
      <c r="EW10" s="304">
        <v>1070.6799999999998</v>
      </c>
      <c r="EX10" s="304">
        <v>158.6</v>
      </c>
      <c r="EY10" s="304">
        <v>-38953.86</v>
      </c>
      <c r="EZ10" s="304">
        <v>-3592</v>
      </c>
      <c r="FA10" s="304">
        <v>-7027</v>
      </c>
      <c r="FB10" s="304">
        <v>206</v>
      </c>
      <c r="FC10" s="304"/>
      <c r="FD10" s="304">
        <v>1137.96</v>
      </c>
      <c r="FE10" s="304"/>
      <c r="FF10" s="304"/>
      <c r="FG10" s="304">
        <v>2794.32</v>
      </c>
      <c r="FH10" s="304">
        <v>616.1</v>
      </c>
      <c r="FI10" s="304">
        <v>3335.86</v>
      </c>
      <c r="FJ10" s="304">
        <v>261</v>
      </c>
      <c r="FK10" s="304">
        <v>2543.6</v>
      </c>
      <c r="FL10" s="304">
        <v>1167.25</v>
      </c>
      <c r="FM10" s="304">
        <v>790</v>
      </c>
      <c r="FN10" s="304">
        <v>560</v>
      </c>
      <c r="FO10" s="304">
        <v>760.12</v>
      </c>
      <c r="FP10" s="304">
        <v>488.84</v>
      </c>
      <c r="FQ10" s="304"/>
      <c r="FR10" s="304"/>
      <c r="FS10" s="304"/>
      <c r="FT10" s="304"/>
      <c r="FU10" s="304"/>
      <c r="FV10" s="304"/>
      <c r="FW10" s="304"/>
      <c r="FX10" s="304">
        <v>-11473.92</v>
      </c>
      <c r="FY10" s="304">
        <v>-4838.8500000000004</v>
      </c>
      <c r="FZ10" s="304"/>
      <c r="GA10" s="304">
        <v>-907.56999999999994</v>
      </c>
      <c r="GB10" s="304"/>
      <c r="GC10" s="304">
        <v>-1194.3899999999999</v>
      </c>
      <c r="GD10" s="304"/>
      <c r="GE10" s="304"/>
      <c r="GF10" s="304">
        <v>-6019.9299999999994</v>
      </c>
      <c r="GK10">
        <v>-8600.56</v>
      </c>
    </row>
    <row r="11" spans="1:195">
      <c r="A11" s="116">
        <v>107635</v>
      </c>
      <c r="B11" s="304"/>
      <c r="C11" s="304">
        <v>329754.94999999995</v>
      </c>
      <c r="D11" s="304">
        <v>7939.07</v>
      </c>
      <c r="E11" s="304">
        <v>1632.78</v>
      </c>
      <c r="F11" s="304">
        <v>100775.51</v>
      </c>
      <c r="G11" s="304">
        <v>44719.780000000006</v>
      </c>
      <c r="H11" s="304">
        <v>10855.900000000001</v>
      </c>
      <c r="I11" s="304"/>
      <c r="J11" s="304">
        <v>3024.46</v>
      </c>
      <c r="K11" s="304">
        <v>931.64999999999986</v>
      </c>
      <c r="L11" s="304"/>
      <c r="M11" s="304"/>
      <c r="N11" s="304"/>
      <c r="O11" s="304"/>
      <c r="P11" s="304"/>
      <c r="Q11" s="304"/>
      <c r="R11" s="304"/>
      <c r="S11" s="304"/>
      <c r="T11" s="304"/>
      <c r="U11" s="304"/>
      <c r="V11" s="304"/>
      <c r="W11" s="304"/>
      <c r="X11" s="304">
        <v>11358.51</v>
      </c>
      <c r="Y11" s="304">
        <v>72.540000000000006</v>
      </c>
      <c r="Z11" s="304"/>
      <c r="AA11" s="304">
        <v>2686.2700000000009</v>
      </c>
      <c r="AB11" s="304">
        <v>1254.1399999999999</v>
      </c>
      <c r="AC11" s="304"/>
      <c r="AD11" s="304"/>
      <c r="AE11" s="304"/>
      <c r="AF11" s="304"/>
      <c r="AG11" s="304"/>
      <c r="AH11" s="304">
        <v>88984.76</v>
      </c>
      <c r="AI11" s="304">
        <v>484.9</v>
      </c>
      <c r="AJ11" s="304">
        <v>6209.64</v>
      </c>
      <c r="AK11" s="304">
        <v>25258.839999999997</v>
      </c>
      <c r="AL11" s="304">
        <v>9557.98</v>
      </c>
      <c r="AM11" s="304"/>
      <c r="AN11" s="304"/>
      <c r="AO11" s="304"/>
      <c r="AP11" s="304"/>
      <c r="AQ11" s="304"/>
      <c r="AR11" s="304"/>
      <c r="AS11" s="304"/>
      <c r="AT11" s="304"/>
      <c r="AU11" s="304">
        <v>27625.859999999997</v>
      </c>
      <c r="AV11" s="304">
        <v>5866.54</v>
      </c>
      <c r="AW11" s="304">
        <v>869.89</v>
      </c>
      <c r="AX11" s="304">
        <v>3247.85</v>
      </c>
      <c r="AY11" s="304">
        <v>8992.880000000001</v>
      </c>
      <c r="AZ11" s="304">
        <v>3721.07</v>
      </c>
      <c r="BA11" s="304"/>
      <c r="BB11" s="304"/>
      <c r="BC11" s="304"/>
      <c r="BD11" s="304"/>
      <c r="BE11" s="304"/>
      <c r="BF11" s="304"/>
      <c r="BG11" s="304"/>
      <c r="BH11" s="304">
        <v>10342.910000000002</v>
      </c>
      <c r="BI11" s="304">
        <v>2511.5300000000002</v>
      </c>
      <c r="BJ11" s="304">
        <v>322.98</v>
      </c>
      <c r="BK11" s="304">
        <v>3478.7699999999995</v>
      </c>
      <c r="BL11" s="304">
        <v>1226.0100000000002</v>
      </c>
      <c r="BM11" s="304"/>
      <c r="BN11" s="304"/>
      <c r="BO11" s="304"/>
      <c r="BP11" s="304"/>
      <c r="BQ11" s="304"/>
      <c r="BR11" s="304">
        <v>2407.65</v>
      </c>
      <c r="BS11" s="304">
        <v>204.9</v>
      </c>
      <c r="BT11" s="304"/>
      <c r="BU11" s="304"/>
      <c r="BV11" s="304"/>
      <c r="BW11" s="304">
        <v>14623.539999999999</v>
      </c>
      <c r="BX11" s="304">
        <v>1451.3500000000001</v>
      </c>
      <c r="BY11" s="304">
        <v>-5590.35</v>
      </c>
      <c r="BZ11" s="304"/>
      <c r="CA11" s="304"/>
      <c r="CB11" s="304"/>
      <c r="CC11" s="304"/>
      <c r="CD11" s="304">
        <v>627.88</v>
      </c>
      <c r="CE11" s="304">
        <v>13136.96</v>
      </c>
      <c r="CF11" s="304"/>
      <c r="CG11" s="304"/>
      <c r="CH11" s="304">
        <v>2750</v>
      </c>
      <c r="CI11" s="304"/>
      <c r="CJ11" s="304">
        <v>15000</v>
      </c>
      <c r="CK11" s="304">
        <v>14190.31</v>
      </c>
      <c r="CL11" s="304">
        <v>1175.9199999999998</v>
      </c>
      <c r="CM11" s="304"/>
      <c r="CN11" s="304">
        <v>1439.4499999999998</v>
      </c>
      <c r="CO11" s="304">
        <v>2034.5400000000002</v>
      </c>
      <c r="CP11" s="304">
        <v>230</v>
      </c>
      <c r="CQ11" s="304"/>
      <c r="CR11" s="304"/>
      <c r="CS11" s="304"/>
      <c r="CT11" s="304">
        <v>880.41</v>
      </c>
      <c r="CU11" s="304"/>
      <c r="CV11" s="304"/>
      <c r="CW11" s="304">
        <v>1066</v>
      </c>
      <c r="CX11" s="304"/>
      <c r="CY11" s="304">
        <v>233.78</v>
      </c>
      <c r="CZ11" s="304">
        <v>2524</v>
      </c>
      <c r="DA11" s="304">
        <v>16347.229999999998</v>
      </c>
      <c r="DB11" s="304">
        <v>184.21999999999997</v>
      </c>
      <c r="DC11" s="304"/>
      <c r="DD11" s="304">
        <v>1413.19</v>
      </c>
      <c r="DE11" s="304">
        <v>1573.5900000000001</v>
      </c>
      <c r="DF11" s="304">
        <v>674.55000000000007</v>
      </c>
      <c r="DG11" s="304">
        <v>23413.41</v>
      </c>
      <c r="DH11" s="304"/>
      <c r="DI11" s="304">
        <v>208.98999999999998</v>
      </c>
      <c r="DJ11" s="304">
        <v>814.19</v>
      </c>
      <c r="DK11" s="426"/>
      <c r="DL11" s="304">
        <v>990.4000000000002</v>
      </c>
      <c r="DM11" s="304"/>
      <c r="DN11" s="304">
        <v>513.28</v>
      </c>
      <c r="DO11" s="304">
        <v>4872.57</v>
      </c>
      <c r="DP11" s="304">
        <v>790</v>
      </c>
      <c r="DQ11" s="304">
        <v>133.62</v>
      </c>
      <c r="DR11" s="304">
        <v>4847.5</v>
      </c>
      <c r="DS11" s="304"/>
      <c r="DT11" s="304"/>
      <c r="DU11" s="304"/>
      <c r="DV11" s="304"/>
      <c r="DW11" s="304">
        <v>22141</v>
      </c>
      <c r="DX11" s="304">
        <v>4607.82</v>
      </c>
      <c r="DY11" s="304">
        <v>2641.69</v>
      </c>
      <c r="DZ11" s="304">
        <v>179.04</v>
      </c>
      <c r="EA11" s="304">
        <v>25040.659999999996</v>
      </c>
      <c r="EB11" s="304"/>
      <c r="EC11" s="304"/>
      <c r="ED11" s="304"/>
      <c r="EE11" s="304">
        <v>-767077.97</v>
      </c>
      <c r="EF11" s="304"/>
      <c r="EG11" s="304"/>
      <c r="EH11" s="304"/>
      <c r="EI11" s="304">
        <v>-10955</v>
      </c>
      <c r="EJ11" s="304"/>
      <c r="EK11" s="304"/>
      <c r="EL11" s="304"/>
      <c r="EM11" s="304"/>
      <c r="EN11" s="304">
        <v>-5586.25</v>
      </c>
      <c r="EO11" s="304">
        <v>-22723</v>
      </c>
      <c r="EP11" s="304">
        <v>-15766</v>
      </c>
      <c r="EQ11" s="304">
        <v>-83793.53</v>
      </c>
      <c r="ER11" s="304"/>
      <c r="ES11" s="304">
        <v>-3613.19</v>
      </c>
      <c r="ET11" s="304"/>
      <c r="EU11" s="304"/>
      <c r="EV11" s="304">
        <v>-33433</v>
      </c>
      <c r="EW11" s="304">
        <v>2841.42</v>
      </c>
      <c r="EX11" s="304">
        <v>420.9</v>
      </c>
      <c r="EY11" s="304">
        <v>-4264.6499999999996</v>
      </c>
      <c r="EZ11" s="304">
        <v>-6795</v>
      </c>
      <c r="FA11" s="304">
        <v>-13779</v>
      </c>
      <c r="FB11" s="304">
        <v>2435.94</v>
      </c>
      <c r="FC11" s="304"/>
      <c r="FD11" s="304">
        <v>1420.68</v>
      </c>
      <c r="FE11" s="304"/>
      <c r="FF11" s="304"/>
      <c r="FG11" s="304">
        <v>27140.160000000003</v>
      </c>
      <c r="FH11" s="304">
        <v>1724</v>
      </c>
      <c r="FI11" s="304">
        <v>7820.9900000000016</v>
      </c>
      <c r="FJ11" s="304">
        <v>261</v>
      </c>
      <c r="FK11" s="304">
        <v>4862.84</v>
      </c>
      <c r="FL11" s="304">
        <v>1554.1100000000001</v>
      </c>
      <c r="FM11" s="304">
        <v>4367</v>
      </c>
      <c r="FN11" s="304">
        <v>925</v>
      </c>
      <c r="FO11" s="304">
        <v>946.36</v>
      </c>
      <c r="FP11" s="304"/>
      <c r="FQ11" s="304"/>
      <c r="FR11" s="304"/>
      <c r="FS11" s="304"/>
      <c r="FT11" s="304"/>
      <c r="FU11" s="304"/>
      <c r="FV11" s="304"/>
      <c r="FW11" s="304"/>
      <c r="FX11" s="304">
        <v>-4178.03</v>
      </c>
      <c r="FY11" s="304">
        <v>-5306.5700000000015</v>
      </c>
      <c r="FZ11" s="304"/>
      <c r="GA11" s="304">
        <v>-3209.2600000000007</v>
      </c>
      <c r="GB11" s="304">
        <v>-3015.5</v>
      </c>
      <c r="GC11" s="304">
        <v>106.17999999999999</v>
      </c>
      <c r="GD11" s="304"/>
      <c r="GE11" s="304"/>
      <c r="GF11" s="304"/>
      <c r="GK11">
        <v>-4005.3</v>
      </c>
    </row>
    <row r="12" spans="1:195">
      <c r="A12" s="116">
        <v>107640</v>
      </c>
      <c r="B12" s="304"/>
      <c r="C12" s="304">
        <v>384532.36</v>
      </c>
      <c r="D12" s="304">
        <v>1377.2</v>
      </c>
      <c r="E12" s="304"/>
      <c r="F12" s="304">
        <v>112779.5</v>
      </c>
      <c r="G12" s="304">
        <v>52369.929999999993</v>
      </c>
      <c r="H12" s="304">
        <v>4396.04</v>
      </c>
      <c r="I12" s="304"/>
      <c r="J12" s="304">
        <v>1260.8000000000002</v>
      </c>
      <c r="K12" s="304">
        <v>508.56000000000006</v>
      </c>
      <c r="L12" s="304"/>
      <c r="M12" s="304"/>
      <c r="N12" s="304"/>
      <c r="O12" s="304"/>
      <c r="P12" s="304"/>
      <c r="Q12" s="304"/>
      <c r="R12" s="304"/>
      <c r="S12" s="304"/>
      <c r="T12" s="304"/>
      <c r="U12" s="304"/>
      <c r="V12" s="304"/>
      <c r="W12" s="304"/>
      <c r="X12" s="304">
        <v>15555.239999999998</v>
      </c>
      <c r="Y12" s="304">
        <v>156.19</v>
      </c>
      <c r="Z12" s="304">
        <v>267.90000000000003</v>
      </c>
      <c r="AA12" s="304">
        <v>2534.91</v>
      </c>
      <c r="AB12" s="304">
        <v>731.66000000000008</v>
      </c>
      <c r="AC12" s="304"/>
      <c r="AD12" s="304"/>
      <c r="AE12" s="304"/>
      <c r="AF12" s="304"/>
      <c r="AG12" s="304"/>
      <c r="AH12" s="304">
        <v>99784.98000000001</v>
      </c>
      <c r="AI12" s="304">
        <v>759.7</v>
      </c>
      <c r="AJ12" s="304">
        <v>5040.75</v>
      </c>
      <c r="AK12" s="304">
        <v>27806.990000000005</v>
      </c>
      <c r="AL12" s="304">
        <v>10712.019999999999</v>
      </c>
      <c r="AM12" s="304"/>
      <c r="AN12" s="304"/>
      <c r="AO12" s="304"/>
      <c r="AP12" s="304"/>
      <c r="AQ12" s="304"/>
      <c r="AR12" s="304"/>
      <c r="AS12" s="304"/>
      <c r="AT12" s="304"/>
      <c r="AU12" s="304">
        <v>33306.97</v>
      </c>
      <c r="AV12" s="304">
        <v>56.23</v>
      </c>
      <c r="AW12" s="304"/>
      <c r="AX12" s="304"/>
      <c r="AY12" s="304">
        <v>8654.1299999999992</v>
      </c>
      <c r="AZ12" s="304">
        <v>3415.93</v>
      </c>
      <c r="BA12" s="304"/>
      <c r="BB12" s="304"/>
      <c r="BC12" s="304"/>
      <c r="BD12" s="304"/>
      <c r="BE12" s="304"/>
      <c r="BF12" s="304"/>
      <c r="BG12" s="304"/>
      <c r="BH12" s="304">
        <v>16198.420000000002</v>
      </c>
      <c r="BI12" s="304">
        <v>62.02</v>
      </c>
      <c r="BJ12" s="304">
        <v>202.70999999999998</v>
      </c>
      <c r="BK12" s="304">
        <v>4346.0999999999995</v>
      </c>
      <c r="BL12" s="304">
        <v>616.95000000000016</v>
      </c>
      <c r="BM12" s="304"/>
      <c r="BN12" s="304"/>
      <c r="BO12" s="304"/>
      <c r="BP12" s="304"/>
      <c r="BQ12" s="304"/>
      <c r="BR12" s="304">
        <v>3415.45</v>
      </c>
      <c r="BS12" s="304"/>
      <c r="BT12" s="304"/>
      <c r="BU12" s="304"/>
      <c r="BV12" s="304"/>
      <c r="BW12" s="304">
        <v>12722.900000000001</v>
      </c>
      <c r="BX12" s="304">
        <v>105.68</v>
      </c>
      <c r="BY12" s="304">
        <v>267</v>
      </c>
      <c r="BZ12" s="304"/>
      <c r="CA12" s="304"/>
      <c r="CB12" s="304"/>
      <c r="CC12" s="304"/>
      <c r="CD12" s="304">
        <v>620.23</v>
      </c>
      <c r="CE12" s="304">
        <v>6278.44</v>
      </c>
      <c r="CF12" s="304"/>
      <c r="CG12" s="304">
        <v>2833.6</v>
      </c>
      <c r="CH12" s="304"/>
      <c r="CI12" s="304">
        <v>501.72</v>
      </c>
      <c r="CJ12" s="304"/>
      <c r="CK12" s="304">
        <v>14221.5</v>
      </c>
      <c r="CL12" s="304">
        <v>1681.1200000000001</v>
      </c>
      <c r="CM12" s="304">
        <v>184.16</v>
      </c>
      <c r="CN12" s="304">
        <v>2225.85</v>
      </c>
      <c r="CO12" s="304">
        <v>363.94</v>
      </c>
      <c r="CP12" s="304">
        <v>12580</v>
      </c>
      <c r="CQ12" s="304"/>
      <c r="CR12" s="304">
        <v>326.61</v>
      </c>
      <c r="CS12" s="304"/>
      <c r="CT12" s="304">
        <v>2176.85</v>
      </c>
      <c r="CU12" s="304"/>
      <c r="CV12" s="304"/>
      <c r="CW12" s="304">
        <v>7145</v>
      </c>
      <c r="CX12" s="304"/>
      <c r="CY12" s="304">
        <v>42</v>
      </c>
      <c r="CZ12" s="304">
        <v>2839</v>
      </c>
      <c r="DA12" s="304">
        <v>17824.489999999994</v>
      </c>
      <c r="DB12" s="304">
        <v>54.56</v>
      </c>
      <c r="DC12" s="304"/>
      <c r="DD12" s="304">
        <v>3399.0899999999997</v>
      </c>
      <c r="DE12" s="304">
        <v>9658.2899999999991</v>
      </c>
      <c r="DF12" s="304">
        <v>300</v>
      </c>
      <c r="DG12" s="304">
        <v>10802</v>
      </c>
      <c r="DH12" s="304"/>
      <c r="DI12" s="304">
        <v>85</v>
      </c>
      <c r="DJ12" s="304"/>
      <c r="DK12" s="426">
        <v>0</v>
      </c>
      <c r="DL12" s="304">
        <v>3395.9199999999992</v>
      </c>
      <c r="DM12" s="304"/>
      <c r="DN12" s="304">
        <v>767.42000000000007</v>
      </c>
      <c r="DO12" s="304">
        <v>3739.6499999999996</v>
      </c>
      <c r="DP12" s="304">
        <v>2002</v>
      </c>
      <c r="DQ12" s="304">
        <v>102</v>
      </c>
      <c r="DR12" s="304">
        <v>2982</v>
      </c>
      <c r="DS12" s="304"/>
      <c r="DT12" s="304"/>
      <c r="DU12" s="304"/>
      <c r="DV12" s="304"/>
      <c r="DW12" s="304"/>
      <c r="DX12" s="304">
        <v>4641.21</v>
      </c>
      <c r="DY12" s="304">
        <v>625.88</v>
      </c>
      <c r="DZ12" s="304">
        <v>124.3</v>
      </c>
      <c r="EA12" s="304">
        <v>13122.39</v>
      </c>
      <c r="EB12" s="304"/>
      <c r="EC12" s="304"/>
      <c r="ED12" s="304"/>
      <c r="EE12" s="304">
        <v>-806066.08</v>
      </c>
      <c r="EF12" s="304"/>
      <c r="EG12" s="304"/>
      <c r="EH12" s="304"/>
      <c r="EI12" s="304">
        <v>-48795</v>
      </c>
      <c r="EJ12" s="304"/>
      <c r="EK12" s="304"/>
      <c r="EL12" s="304">
        <v>-876</v>
      </c>
      <c r="EM12" s="304"/>
      <c r="EN12" s="304">
        <v>-5552.5</v>
      </c>
      <c r="EO12" s="304">
        <v>-27447</v>
      </c>
      <c r="EP12" s="304">
        <v>-15763</v>
      </c>
      <c r="EQ12" s="304">
        <v>-115357.34</v>
      </c>
      <c r="ER12" s="304"/>
      <c r="ES12" s="304">
        <v>-1859.25</v>
      </c>
      <c r="ET12" s="304"/>
      <c r="EU12" s="304"/>
      <c r="EV12" s="304">
        <v>-17106</v>
      </c>
      <c r="EW12" s="304">
        <v>2862.01</v>
      </c>
      <c r="EX12" s="304">
        <v>423.95</v>
      </c>
      <c r="EY12" s="304">
        <v>-5087.55</v>
      </c>
      <c r="EZ12" s="304">
        <v>-7572</v>
      </c>
      <c r="FA12" s="304">
        <v>-15442</v>
      </c>
      <c r="FB12" s="304">
        <v>797.25</v>
      </c>
      <c r="FC12" s="304"/>
      <c r="FD12" s="304">
        <v>1399.4</v>
      </c>
      <c r="FE12" s="304">
        <v>3815.2199999999984</v>
      </c>
      <c r="FF12" s="304"/>
      <c r="FG12" s="304">
        <v>43831.72</v>
      </c>
      <c r="FH12" s="304">
        <v>1348</v>
      </c>
      <c r="FI12" s="304">
        <v>6866.8900000000012</v>
      </c>
      <c r="FJ12" s="304">
        <v>261</v>
      </c>
      <c r="FK12" s="304">
        <v>3015.1800000000003</v>
      </c>
      <c r="FL12" s="304">
        <v>2354.5100000000002</v>
      </c>
      <c r="FM12" s="304">
        <v>1459.5</v>
      </c>
      <c r="FN12" s="304">
        <v>610</v>
      </c>
      <c r="FO12" s="304">
        <v>961.09</v>
      </c>
      <c r="FP12" s="304">
        <v>1548.1400000000003</v>
      </c>
      <c r="FQ12" s="304"/>
      <c r="FR12" s="304"/>
      <c r="FS12" s="304"/>
      <c r="FT12" s="304"/>
      <c r="FU12" s="304"/>
      <c r="FV12" s="304"/>
      <c r="FW12" s="304"/>
      <c r="FX12" s="304">
        <v>-1446.0900000000001</v>
      </c>
      <c r="FY12" s="304">
        <v>-16439</v>
      </c>
      <c r="FZ12" s="304"/>
      <c r="GA12" s="304">
        <v>-1302.3900000000001</v>
      </c>
      <c r="GB12" s="304"/>
      <c r="GC12" s="304">
        <v>124.36999999999999</v>
      </c>
      <c r="GD12" s="304">
        <v>-5260.01</v>
      </c>
      <c r="GE12" s="304"/>
      <c r="GF12" s="304"/>
      <c r="GI12">
        <v>-37894</v>
      </c>
      <c r="GK12">
        <v>-6060.8</v>
      </c>
    </row>
    <row r="13" spans="1:195">
      <c r="A13" s="116">
        <v>107656</v>
      </c>
      <c r="B13" s="304"/>
      <c r="C13" s="304">
        <v>906853.70000000007</v>
      </c>
      <c r="D13" s="304">
        <v>23740.59</v>
      </c>
      <c r="E13" s="304">
        <v>25407.89</v>
      </c>
      <c r="F13" s="304">
        <v>266985.47000000003</v>
      </c>
      <c r="G13" s="304">
        <v>123995.12</v>
      </c>
      <c r="H13" s="304">
        <v>5505.7000000000007</v>
      </c>
      <c r="I13" s="304"/>
      <c r="J13" s="304">
        <v>1541.42</v>
      </c>
      <c r="K13" s="304">
        <v>451.65999999999997</v>
      </c>
      <c r="L13" s="304"/>
      <c r="M13" s="304"/>
      <c r="N13" s="304"/>
      <c r="O13" s="304"/>
      <c r="P13" s="304"/>
      <c r="Q13" s="304"/>
      <c r="R13" s="304"/>
      <c r="S13" s="304"/>
      <c r="T13" s="304"/>
      <c r="U13" s="304"/>
      <c r="V13" s="304"/>
      <c r="W13" s="304"/>
      <c r="X13" s="304">
        <v>38928.130000000005</v>
      </c>
      <c r="Y13" s="304">
        <v>2464.1</v>
      </c>
      <c r="Z13" s="304">
        <v>119.32</v>
      </c>
      <c r="AA13" s="304">
        <v>9925.6700000000019</v>
      </c>
      <c r="AB13" s="304">
        <v>3187.79</v>
      </c>
      <c r="AC13" s="304"/>
      <c r="AD13" s="304"/>
      <c r="AE13" s="304"/>
      <c r="AF13" s="304"/>
      <c r="AG13" s="304"/>
      <c r="AH13" s="304">
        <v>364268.85000000003</v>
      </c>
      <c r="AI13" s="304">
        <v>4394.99</v>
      </c>
      <c r="AJ13" s="304">
        <v>2651.72</v>
      </c>
      <c r="AK13" s="304">
        <v>94316.440000000017</v>
      </c>
      <c r="AL13" s="304">
        <v>37781.35</v>
      </c>
      <c r="AM13" s="304"/>
      <c r="AN13" s="304"/>
      <c r="AO13" s="304"/>
      <c r="AP13" s="304"/>
      <c r="AQ13" s="304"/>
      <c r="AR13" s="304"/>
      <c r="AS13" s="304"/>
      <c r="AT13" s="304"/>
      <c r="AU13" s="304">
        <v>64224.790000000008</v>
      </c>
      <c r="AV13" s="304"/>
      <c r="AW13" s="304">
        <v>15.249999999999993</v>
      </c>
      <c r="AX13" s="304"/>
      <c r="AY13" s="304">
        <v>16959.21</v>
      </c>
      <c r="AZ13" s="304">
        <v>7177.1900000000023</v>
      </c>
      <c r="BA13" s="304"/>
      <c r="BB13" s="304"/>
      <c r="BC13" s="304"/>
      <c r="BD13" s="304"/>
      <c r="BE13" s="304"/>
      <c r="BF13" s="304"/>
      <c r="BG13" s="304"/>
      <c r="BH13" s="304">
        <v>50249.51</v>
      </c>
      <c r="BI13" s="304">
        <v>617.20000000000005</v>
      </c>
      <c r="BJ13" s="304">
        <v>136.91999999999999</v>
      </c>
      <c r="BK13" s="304">
        <v>13464.669999999998</v>
      </c>
      <c r="BL13" s="304">
        <v>4974.67</v>
      </c>
      <c r="BM13" s="304"/>
      <c r="BN13" s="304"/>
      <c r="BO13" s="304"/>
      <c r="BP13" s="304"/>
      <c r="BQ13" s="304"/>
      <c r="BR13" s="304">
        <v>5661.63</v>
      </c>
      <c r="BS13" s="304"/>
      <c r="BT13" s="304">
        <v>0</v>
      </c>
      <c r="BU13" s="304"/>
      <c r="BV13" s="304"/>
      <c r="BW13" s="304">
        <v>13230.02</v>
      </c>
      <c r="BX13" s="304">
        <v>4550</v>
      </c>
      <c r="BY13" s="304"/>
      <c r="BZ13" s="304"/>
      <c r="CA13" s="304"/>
      <c r="CB13" s="304"/>
      <c r="CC13" s="304"/>
      <c r="CD13" s="304">
        <v>1352.2199999999998</v>
      </c>
      <c r="CE13" s="304">
        <v>21019.9</v>
      </c>
      <c r="CF13" s="304">
        <v>9955.0199999999986</v>
      </c>
      <c r="CG13" s="304"/>
      <c r="CH13" s="304"/>
      <c r="CI13" s="304"/>
      <c r="CJ13" s="304"/>
      <c r="CK13" s="304">
        <v>68482.81</v>
      </c>
      <c r="CL13" s="304">
        <v>7520.85</v>
      </c>
      <c r="CM13" s="304">
        <v>478</v>
      </c>
      <c r="CN13" s="304">
        <v>4830.7899999999991</v>
      </c>
      <c r="CO13" s="304">
        <v>1026.01</v>
      </c>
      <c r="CP13" s="304"/>
      <c r="CQ13" s="304"/>
      <c r="CR13" s="304">
        <v>146.33000000000001</v>
      </c>
      <c r="CS13" s="304"/>
      <c r="CT13" s="304">
        <v>1627.19</v>
      </c>
      <c r="CU13" s="304">
        <v>0</v>
      </c>
      <c r="CV13" s="304"/>
      <c r="CW13" s="304"/>
      <c r="CX13" s="304"/>
      <c r="CY13" s="304"/>
      <c r="CZ13" s="304">
        <v>7284</v>
      </c>
      <c r="DA13" s="304">
        <v>27496.67000000002</v>
      </c>
      <c r="DB13" s="304">
        <v>830.04</v>
      </c>
      <c r="DC13" s="304"/>
      <c r="DD13" s="304">
        <v>2857.4800000000005</v>
      </c>
      <c r="DE13" s="304">
        <v>15411.689999999997</v>
      </c>
      <c r="DF13" s="304">
        <v>8099.17</v>
      </c>
      <c r="DG13" s="304">
        <v>1696.4</v>
      </c>
      <c r="DH13" s="304"/>
      <c r="DI13" s="304"/>
      <c r="DJ13" s="304">
        <v>2620.29</v>
      </c>
      <c r="DK13" s="426"/>
      <c r="DL13" s="304">
        <v>13719.41</v>
      </c>
      <c r="DM13" s="304"/>
      <c r="DN13" s="304">
        <v>665</v>
      </c>
      <c r="DO13" s="304"/>
      <c r="DP13" s="304"/>
      <c r="DQ13" s="304"/>
      <c r="DR13" s="304">
        <v>5495</v>
      </c>
      <c r="DS13" s="304"/>
      <c r="DT13" s="304"/>
      <c r="DU13" s="304"/>
      <c r="DV13" s="304"/>
      <c r="DW13" s="304">
        <v>27932.58</v>
      </c>
      <c r="DX13" s="304">
        <v>14023.8</v>
      </c>
      <c r="DY13" s="304">
        <v>1916.5</v>
      </c>
      <c r="DZ13" s="304">
        <v>277.70999999999998</v>
      </c>
      <c r="EA13" s="304">
        <v>36658.020000000004</v>
      </c>
      <c r="EB13" s="304"/>
      <c r="EC13" s="304"/>
      <c r="ED13" s="304"/>
      <c r="EE13" s="304">
        <v>-2149582.81</v>
      </c>
      <c r="EF13" s="304"/>
      <c r="EG13" s="304"/>
      <c r="EH13" s="304"/>
      <c r="EI13" s="304">
        <v>-104055</v>
      </c>
      <c r="EJ13" s="304"/>
      <c r="EK13" s="304"/>
      <c r="EL13" s="304">
        <v>-1732.9299999999998</v>
      </c>
      <c r="EM13" s="304"/>
      <c r="EN13" s="304">
        <v>-8753.1299999999992</v>
      </c>
      <c r="EO13" s="304">
        <v>-57034</v>
      </c>
      <c r="EP13" s="304">
        <v>-17984</v>
      </c>
      <c r="EQ13" s="304">
        <v>-139401.19</v>
      </c>
      <c r="ER13" s="304"/>
      <c r="ES13" s="304">
        <v>-6762.83</v>
      </c>
      <c r="ET13" s="304"/>
      <c r="EU13" s="304"/>
      <c r="EV13" s="304">
        <v>-112126</v>
      </c>
      <c r="EW13" s="304">
        <v>8647.7999999999993</v>
      </c>
      <c r="EX13" s="304">
        <v>1281</v>
      </c>
      <c r="EY13" s="304">
        <v>-12288.95</v>
      </c>
      <c r="EZ13" s="304">
        <v>-19199</v>
      </c>
      <c r="FA13" s="304">
        <v>-39995</v>
      </c>
      <c r="FB13" s="304">
        <v>1209</v>
      </c>
      <c r="FC13" s="304"/>
      <c r="FD13" s="304">
        <v>3886.84</v>
      </c>
      <c r="FE13" s="304">
        <v>5801.48</v>
      </c>
      <c r="FF13" s="304">
        <v>507</v>
      </c>
      <c r="FG13" s="304">
        <v>89726.349999999991</v>
      </c>
      <c r="FH13" s="304">
        <v>1245</v>
      </c>
      <c r="FI13" s="304">
        <v>10947.369999999999</v>
      </c>
      <c r="FJ13" s="304">
        <v>261</v>
      </c>
      <c r="FK13" s="304">
        <v>4346.72</v>
      </c>
      <c r="FL13" s="304">
        <v>5102.55</v>
      </c>
      <c r="FM13" s="304">
        <v>3780</v>
      </c>
      <c r="FN13" s="304">
        <v>590</v>
      </c>
      <c r="FO13" s="304">
        <v>1572.4</v>
      </c>
      <c r="FP13" s="304">
        <v>2915.3799999999997</v>
      </c>
      <c r="FQ13" s="304"/>
      <c r="FR13" s="304"/>
      <c r="FS13" s="304"/>
      <c r="FT13" s="304">
        <v>-600</v>
      </c>
      <c r="FU13" s="304">
        <v>-400</v>
      </c>
      <c r="FV13" s="304"/>
      <c r="FW13" s="304">
        <v>-9249.75</v>
      </c>
      <c r="FX13" s="304">
        <v>-1327.1299999999997</v>
      </c>
      <c r="FY13" s="304">
        <v>-25061.299999999996</v>
      </c>
      <c r="FZ13" s="304"/>
      <c r="GA13" s="304">
        <v>-1536.5099999999998</v>
      </c>
      <c r="GB13" s="304">
        <v>-3570</v>
      </c>
      <c r="GC13" s="304">
        <v>117.56</v>
      </c>
      <c r="GD13" s="304"/>
      <c r="GE13" s="304">
        <v>-9487.5</v>
      </c>
      <c r="GF13" s="304"/>
      <c r="GI13">
        <v>-18839.599999999999</v>
      </c>
      <c r="GJ13">
        <v>0</v>
      </c>
      <c r="GK13">
        <v>-7992.76</v>
      </c>
    </row>
    <row r="14" spans="1:195">
      <c r="A14" s="116">
        <v>107657</v>
      </c>
      <c r="B14" s="304">
        <v>0</v>
      </c>
      <c r="C14" s="304">
        <v>589194.68000000005</v>
      </c>
      <c r="D14" s="304">
        <v>10294.85</v>
      </c>
      <c r="E14" s="304">
        <v>38712.15</v>
      </c>
      <c r="F14" s="304">
        <v>153935.66</v>
      </c>
      <c r="G14" s="304">
        <v>80693.099999999991</v>
      </c>
      <c r="H14" s="304">
        <v>5597.83</v>
      </c>
      <c r="I14" s="304"/>
      <c r="J14" s="304">
        <v>1470.7</v>
      </c>
      <c r="K14" s="304">
        <v>636.62</v>
      </c>
      <c r="L14" s="304">
        <v>0</v>
      </c>
      <c r="M14" s="304"/>
      <c r="N14" s="304"/>
      <c r="O14" s="304"/>
      <c r="P14" s="304"/>
      <c r="Q14" s="304"/>
      <c r="R14" s="304"/>
      <c r="S14" s="304">
        <v>29414.5</v>
      </c>
      <c r="T14" s="304">
        <v>992.25</v>
      </c>
      <c r="U14" s="304">
        <v>4034.93</v>
      </c>
      <c r="V14" s="304">
        <v>9092.119999999999</v>
      </c>
      <c r="W14" s="304">
        <v>2961.67</v>
      </c>
      <c r="X14" s="304">
        <v>34432</v>
      </c>
      <c r="Y14" s="304">
        <v>1494.6499999999996</v>
      </c>
      <c r="Z14" s="304">
        <v>327.36</v>
      </c>
      <c r="AA14" s="304">
        <v>7523.5599999999995</v>
      </c>
      <c r="AB14" s="304">
        <v>3841.9900000000002</v>
      </c>
      <c r="AC14" s="304"/>
      <c r="AD14" s="304"/>
      <c r="AE14" s="304"/>
      <c r="AF14" s="304"/>
      <c r="AG14" s="304"/>
      <c r="AH14" s="304">
        <v>222123.62999999998</v>
      </c>
      <c r="AI14" s="304">
        <v>8284.64</v>
      </c>
      <c r="AJ14" s="304">
        <v>7129.4900000000016</v>
      </c>
      <c r="AK14" s="304">
        <v>61225.659999999996</v>
      </c>
      <c r="AL14" s="304">
        <v>25313.06</v>
      </c>
      <c r="AM14" s="304">
        <v>59018.67</v>
      </c>
      <c r="AN14" s="304">
        <v>761.62</v>
      </c>
      <c r="AO14" s="304">
        <v>425.49</v>
      </c>
      <c r="AP14" s="304">
        <v>16170.119999999997</v>
      </c>
      <c r="AQ14" s="304">
        <v>6743.21</v>
      </c>
      <c r="AR14" s="304"/>
      <c r="AS14" s="304"/>
      <c r="AT14" s="304"/>
      <c r="AU14" s="304">
        <v>68430.470000000016</v>
      </c>
      <c r="AV14" s="304">
        <v>1153.4300000000003</v>
      </c>
      <c r="AW14" s="304">
        <v>1380.6</v>
      </c>
      <c r="AX14" s="304"/>
      <c r="AY14" s="304">
        <v>17783.11</v>
      </c>
      <c r="AZ14" s="304">
        <v>8097.3799999999992</v>
      </c>
      <c r="BA14" s="304"/>
      <c r="BB14" s="304"/>
      <c r="BC14" s="304"/>
      <c r="BD14" s="304">
        <v>0</v>
      </c>
      <c r="BE14" s="304">
        <v>0</v>
      </c>
      <c r="BF14" s="304"/>
      <c r="BG14" s="304">
        <v>0.13000000000002077</v>
      </c>
      <c r="BH14" s="304">
        <v>6102.6099999999988</v>
      </c>
      <c r="BI14" s="304">
        <v>76.11</v>
      </c>
      <c r="BJ14" s="304">
        <v>1021.01</v>
      </c>
      <c r="BK14" s="304">
        <v>1900.6299999999999</v>
      </c>
      <c r="BL14" s="304">
        <v>638.41000000000008</v>
      </c>
      <c r="BM14" s="304"/>
      <c r="BN14" s="304"/>
      <c r="BO14" s="304"/>
      <c r="BP14" s="304"/>
      <c r="BQ14" s="304">
        <v>15</v>
      </c>
      <c r="BR14" s="304">
        <v>12594.95</v>
      </c>
      <c r="BS14" s="304"/>
      <c r="BT14" s="304"/>
      <c r="BU14" s="304"/>
      <c r="BV14" s="304">
        <v>25260.89</v>
      </c>
      <c r="BW14" s="304">
        <v>26302.280000000002</v>
      </c>
      <c r="BX14" s="304">
        <v>30.1</v>
      </c>
      <c r="BY14" s="304">
        <v>3821</v>
      </c>
      <c r="BZ14" s="304"/>
      <c r="CA14" s="304"/>
      <c r="CB14" s="304"/>
      <c r="CC14" s="304"/>
      <c r="CD14" s="304">
        <v>7361.4999999999991</v>
      </c>
      <c r="CE14" s="304">
        <v>13992.919999999996</v>
      </c>
      <c r="CF14" s="304">
        <v>6963.0199999999995</v>
      </c>
      <c r="CG14" s="304">
        <v>981.62</v>
      </c>
      <c r="CH14" s="304"/>
      <c r="CI14" s="304"/>
      <c r="CJ14" s="304">
        <v>200</v>
      </c>
      <c r="CK14" s="304">
        <v>54721.25</v>
      </c>
      <c r="CL14" s="304">
        <v>3913.8999999999996</v>
      </c>
      <c r="CM14" s="304">
        <v>1771.3500000000001</v>
      </c>
      <c r="CN14" s="304">
        <v>2141.8200000000002</v>
      </c>
      <c r="CO14" s="304">
        <v>1609.3399999999997</v>
      </c>
      <c r="CP14" s="304">
        <v>3131.5</v>
      </c>
      <c r="CQ14" s="304"/>
      <c r="CR14" s="304">
        <v>255.18000000000015</v>
      </c>
      <c r="CS14" s="304">
        <v>388.67</v>
      </c>
      <c r="CT14" s="304"/>
      <c r="CU14" s="304"/>
      <c r="CV14" s="304"/>
      <c r="CW14" s="304"/>
      <c r="CX14" s="304">
        <v>950</v>
      </c>
      <c r="CY14" s="304"/>
      <c r="CZ14" s="304">
        <v>5336</v>
      </c>
      <c r="DA14" s="304">
        <v>34310.650000000031</v>
      </c>
      <c r="DB14" s="304">
        <v>658.7399999999999</v>
      </c>
      <c r="DC14" s="304"/>
      <c r="DD14" s="304">
        <v>3019.63</v>
      </c>
      <c r="DE14" s="304">
        <v>4889.5499999999993</v>
      </c>
      <c r="DF14" s="304"/>
      <c r="DG14" s="304">
        <v>10881.449999999999</v>
      </c>
      <c r="DH14" s="304">
        <v>0</v>
      </c>
      <c r="DI14" s="304">
        <v>44.550000000000004</v>
      </c>
      <c r="DJ14" s="304">
        <v>4741.2399999999989</v>
      </c>
      <c r="DK14" s="426"/>
      <c r="DL14" s="304">
        <v>4241.96</v>
      </c>
      <c r="DM14" s="304"/>
      <c r="DN14" s="304">
        <v>12457.7</v>
      </c>
      <c r="DO14" s="304">
        <v>9475.8499999999985</v>
      </c>
      <c r="DP14" s="304">
        <v>564.42000000000007</v>
      </c>
      <c r="DQ14" s="304"/>
      <c r="DR14" s="304"/>
      <c r="DS14" s="304"/>
      <c r="DT14" s="304"/>
      <c r="DU14" s="304"/>
      <c r="DV14" s="304"/>
      <c r="DW14" s="304">
        <v>13522.1</v>
      </c>
      <c r="DX14" s="304">
        <v>8481.06</v>
      </c>
      <c r="DY14" s="304">
        <v>427</v>
      </c>
      <c r="DZ14" s="304">
        <v>3359.93</v>
      </c>
      <c r="EA14" s="304">
        <v>47513.62</v>
      </c>
      <c r="EB14" s="304">
        <v>1923.6899999999998</v>
      </c>
      <c r="EC14" s="304"/>
      <c r="ED14" s="304">
        <v>54</v>
      </c>
      <c r="EE14" s="304">
        <v>-1394823.12</v>
      </c>
      <c r="EF14" s="304"/>
      <c r="EG14" s="304"/>
      <c r="EH14" s="304">
        <v>-63917.45</v>
      </c>
      <c r="EI14" s="304">
        <v>-53660</v>
      </c>
      <c r="EJ14" s="304">
        <v>75.489999999999995</v>
      </c>
      <c r="EK14" s="304"/>
      <c r="EL14" s="304">
        <v>-876</v>
      </c>
      <c r="EM14" s="304">
        <v>-106797.69</v>
      </c>
      <c r="EN14" s="304">
        <v>-6756.25</v>
      </c>
      <c r="EO14" s="304">
        <v>-42778</v>
      </c>
      <c r="EP14" s="304">
        <v>-16695</v>
      </c>
      <c r="EQ14" s="304">
        <v>-109689.47</v>
      </c>
      <c r="ER14" s="304"/>
      <c r="ES14" s="304">
        <v>-7321.07</v>
      </c>
      <c r="ET14" s="304"/>
      <c r="EU14" s="304">
        <v>-18167.82</v>
      </c>
      <c r="EV14" s="304">
        <v>-187337</v>
      </c>
      <c r="EW14" s="304">
        <v>5229.8599999999997</v>
      </c>
      <c r="EX14" s="304">
        <v>774.7</v>
      </c>
      <c r="EY14" s="304">
        <v>-12157.3</v>
      </c>
      <c r="EZ14" s="304">
        <v>-11643</v>
      </c>
      <c r="FA14" s="304">
        <v>-24018</v>
      </c>
      <c r="FB14" s="304">
        <v>1669</v>
      </c>
      <c r="FC14" s="304"/>
      <c r="FD14" s="304">
        <v>3348.76</v>
      </c>
      <c r="FE14" s="304">
        <v>7604.4299999999985</v>
      </c>
      <c r="FF14" s="304">
        <v>48420.400000000009</v>
      </c>
      <c r="FG14" s="304">
        <v>55774.080000000002</v>
      </c>
      <c r="FH14" s="304"/>
      <c r="FI14" s="304">
        <v>17208.009999999987</v>
      </c>
      <c r="FJ14" s="304">
        <v>261</v>
      </c>
      <c r="FK14" s="304">
        <v>2968.2799999999997</v>
      </c>
      <c r="FL14" s="304">
        <v>3788.56</v>
      </c>
      <c r="FM14" s="304">
        <v>6917</v>
      </c>
      <c r="FN14" s="304">
        <v>560</v>
      </c>
      <c r="FO14" s="304">
        <v>3922.76</v>
      </c>
      <c r="FP14" s="304">
        <v>2253.48</v>
      </c>
      <c r="FQ14" s="304">
        <v>140</v>
      </c>
      <c r="FR14" s="304"/>
      <c r="FS14" s="304"/>
      <c r="FT14" s="304"/>
      <c r="FU14" s="304"/>
      <c r="FV14" s="304"/>
      <c r="FW14" s="304">
        <v>-4250</v>
      </c>
      <c r="FX14" s="304">
        <v>-15684.4</v>
      </c>
      <c r="FY14" s="304">
        <v>-40235.940000000031</v>
      </c>
      <c r="FZ14" s="304"/>
      <c r="GA14" s="304">
        <v>-917.34999999999991</v>
      </c>
      <c r="GB14" s="304">
        <v>-1672</v>
      </c>
      <c r="GC14" s="304">
        <v>10605.939999999999</v>
      </c>
      <c r="GD14" s="304"/>
      <c r="GE14" s="304">
        <v>-3248.25</v>
      </c>
      <c r="GF14" s="304">
        <v>-43948.249999999971</v>
      </c>
      <c r="GI14">
        <v>-625</v>
      </c>
      <c r="GJ14">
        <v>-4275.1900000000005</v>
      </c>
      <c r="GK14">
        <v>-7107.37</v>
      </c>
    </row>
    <row r="15" spans="1:195">
      <c r="A15" s="116">
        <v>107665</v>
      </c>
      <c r="B15" s="304"/>
      <c r="C15" s="304">
        <v>260879.41000000003</v>
      </c>
      <c r="D15" s="304">
        <v>383.59000000000003</v>
      </c>
      <c r="E15" s="304">
        <v>1359.7</v>
      </c>
      <c r="F15" s="304">
        <v>74930.16</v>
      </c>
      <c r="G15" s="304">
        <v>34685.799999999996</v>
      </c>
      <c r="H15" s="304"/>
      <c r="I15" s="304"/>
      <c r="J15" s="304"/>
      <c r="K15" s="304"/>
      <c r="L15" s="304"/>
      <c r="M15" s="304"/>
      <c r="N15" s="304"/>
      <c r="O15" s="304"/>
      <c r="P15" s="304"/>
      <c r="Q15" s="304"/>
      <c r="R15" s="304"/>
      <c r="S15" s="304">
        <v>5157.6100000000015</v>
      </c>
      <c r="T15" s="304"/>
      <c r="U15" s="304">
        <v>20.209999999999997</v>
      </c>
      <c r="V15" s="304">
        <v>1366.8500000000004</v>
      </c>
      <c r="W15" s="304">
        <v>575.94000000000005</v>
      </c>
      <c r="X15" s="304">
        <v>10485.030000000001</v>
      </c>
      <c r="Y15" s="304">
        <v>92.670000000000016</v>
      </c>
      <c r="Z15" s="304">
        <v>38.56</v>
      </c>
      <c r="AA15" s="304">
        <v>1600.18</v>
      </c>
      <c r="AB15" s="304">
        <v>137.32</v>
      </c>
      <c r="AC15" s="304"/>
      <c r="AD15" s="304"/>
      <c r="AE15" s="304"/>
      <c r="AF15" s="304"/>
      <c r="AG15" s="304"/>
      <c r="AH15" s="304">
        <v>122188.12</v>
      </c>
      <c r="AI15" s="304">
        <v>1297.28</v>
      </c>
      <c r="AJ15" s="304">
        <v>3422.81</v>
      </c>
      <c r="AK15" s="304">
        <v>34106.89</v>
      </c>
      <c r="AL15" s="304">
        <v>12768.369999999999</v>
      </c>
      <c r="AM15" s="304"/>
      <c r="AN15" s="304"/>
      <c r="AO15" s="304"/>
      <c r="AP15" s="304"/>
      <c r="AQ15" s="304"/>
      <c r="AR15" s="304"/>
      <c r="AS15" s="304"/>
      <c r="AT15" s="304"/>
      <c r="AU15" s="304">
        <v>33152.039999999994</v>
      </c>
      <c r="AV15" s="304"/>
      <c r="AW15" s="304"/>
      <c r="AX15" s="304"/>
      <c r="AY15" s="304">
        <v>8752.0400000000009</v>
      </c>
      <c r="AZ15" s="304">
        <v>4290.2000000000007</v>
      </c>
      <c r="BA15" s="304"/>
      <c r="BB15" s="304"/>
      <c r="BC15" s="304"/>
      <c r="BD15" s="304"/>
      <c r="BE15" s="304"/>
      <c r="BF15" s="304"/>
      <c r="BG15" s="304"/>
      <c r="BH15" s="304"/>
      <c r="BI15" s="304"/>
      <c r="BJ15" s="304"/>
      <c r="BK15" s="304"/>
      <c r="BL15" s="304"/>
      <c r="BM15" s="304">
        <v>583.30999999999995</v>
      </c>
      <c r="BN15" s="304"/>
      <c r="BO15" s="304"/>
      <c r="BP15" s="304"/>
      <c r="BQ15" s="304"/>
      <c r="BR15" s="304">
        <v>6679.96</v>
      </c>
      <c r="BS15" s="304"/>
      <c r="BT15" s="304"/>
      <c r="BU15" s="304"/>
      <c r="BV15" s="304">
        <v>1080</v>
      </c>
      <c r="BW15" s="304">
        <v>3777.3599999999997</v>
      </c>
      <c r="BX15" s="304">
        <v>2221.19</v>
      </c>
      <c r="BY15" s="304">
        <v>6889.95</v>
      </c>
      <c r="BZ15" s="304"/>
      <c r="CA15" s="304"/>
      <c r="CB15" s="304"/>
      <c r="CC15" s="304"/>
      <c r="CD15" s="304">
        <v>1623.2299999999998</v>
      </c>
      <c r="CE15" s="304">
        <v>7233.2699999999995</v>
      </c>
      <c r="CF15" s="304"/>
      <c r="CG15" s="304">
        <v>1867.19</v>
      </c>
      <c r="CH15" s="304"/>
      <c r="CI15" s="304"/>
      <c r="CJ15" s="304"/>
      <c r="CK15" s="304">
        <v>3592.8</v>
      </c>
      <c r="CL15" s="304">
        <v>2023.6999999999998</v>
      </c>
      <c r="CM15" s="304">
        <v>390.97</v>
      </c>
      <c r="CN15" s="304">
        <v>17903.940000000002</v>
      </c>
      <c r="CO15" s="304">
        <v>379.09999999999997</v>
      </c>
      <c r="CP15" s="304">
        <v>2380</v>
      </c>
      <c r="CQ15" s="304"/>
      <c r="CR15" s="304"/>
      <c r="CS15" s="304"/>
      <c r="CT15" s="304"/>
      <c r="CU15" s="304"/>
      <c r="CV15" s="304"/>
      <c r="CW15" s="304">
        <v>6648</v>
      </c>
      <c r="CX15" s="304">
        <v>3406.66</v>
      </c>
      <c r="CY15" s="304">
        <v>296.27</v>
      </c>
      <c r="CZ15" s="304">
        <v>2190</v>
      </c>
      <c r="DA15" s="304">
        <v>7040.0899999999992</v>
      </c>
      <c r="DB15" s="304"/>
      <c r="DC15" s="304"/>
      <c r="DD15" s="304">
        <v>5158.119999999999</v>
      </c>
      <c r="DE15" s="304">
        <v>1846.1599999999999</v>
      </c>
      <c r="DF15" s="304">
        <v>1466</v>
      </c>
      <c r="DG15" s="304">
        <v>18636</v>
      </c>
      <c r="DH15" s="304"/>
      <c r="DI15" s="304"/>
      <c r="DJ15" s="304">
        <v>305.52000000000004</v>
      </c>
      <c r="DK15" s="426"/>
      <c r="DL15" s="304">
        <v>2545</v>
      </c>
      <c r="DM15" s="304"/>
      <c r="DN15" s="304">
        <v>2340.4</v>
      </c>
      <c r="DO15" s="304">
        <v>4616</v>
      </c>
      <c r="DP15" s="304"/>
      <c r="DQ15" s="304"/>
      <c r="DR15" s="304">
        <v>3102.11</v>
      </c>
      <c r="DS15" s="304"/>
      <c r="DT15" s="304"/>
      <c r="DU15" s="304"/>
      <c r="DV15" s="304"/>
      <c r="DW15" s="304"/>
      <c r="DX15" s="304">
        <v>3472.56</v>
      </c>
      <c r="DY15" s="304">
        <v>174.5</v>
      </c>
      <c r="DZ15" s="304">
        <v>830.93</v>
      </c>
      <c r="EA15" s="304">
        <v>7725.1299999999992</v>
      </c>
      <c r="EB15" s="304"/>
      <c r="EC15" s="304"/>
      <c r="ED15" s="304"/>
      <c r="EE15" s="304">
        <v>-646683.94999999995</v>
      </c>
      <c r="EF15" s="304"/>
      <c r="EG15" s="304"/>
      <c r="EH15" s="304">
        <v>-560</v>
      </c>
      <c r="EI15" s="304">
        <v>-14750</v>
      </c>
      <c r="EJ15" s="304"/>
      <c r="EK15" s="304"/>
      <c r="EL15" s="304"/>
      <c r="EM15" s="304"/>
      <c r="EN15" s="304">
        <v>-5102.5</v>
      </c>
      <c r="EO15" s="304">
        <v>-19401</v>
      </c>
      <c r="EP15" s="304">
        <v>-15457</v>
      </c>
      <c r="EQ15" s="304">
        <v>-210948.19</v>
      </c>
      <c r="ER15" s="304"/>
      <c r="ES15" s="304">
        <v>-11897.17</v>
      </c>
      <c r="ET15" s="304"/>
      <c r="EU15" s="304"/>
      <c r="EV15" s="304">
        <v>-28495</v>
      </c>
      <c r="EW15" s="304">
        <v>2141.3599999999997</v>
      </c>
      <c r="EX15" s="304">
        <v>317.2</v>
      </c>
      <c r="EY15" s="304"/>
      <c r="EZ15" s="304">
        <v>-5564</v>
      </c>
      <c r="FA15" s="304">
        <v>-11185</v>
      </c>
      <c r="FB15" s="304"/>
      <c r="FC15" s="304"/>
      <c r="FD15" s="304">
        <v>1296.04</v>
      </c>
      <c r="FE15" s="304"/>
      <c r="FF15" s="304"/>
      <c r="FG15" s="304">
        <v>23579.329999999998</v>
      </c>
      <c r="FH15" s="304">
        <v>1998.26</v>
      </c>
      <c r="FI15" s="304">
        <v>7341.18</v>
      </c>
      <c r="FJ15" s="304"/>
      <c r="FK15" s="304">
        <v>3179.2799999999997</v>
      </c>
      <c r="FL15" s="304">
        <v>1740.8700000000001</v>
      </c>
      <c r="FM15" s="304">
        <v>1092</v>
      </c>
      <c r="FN15" s="304">
        <v>560</v>
      </c>
      <c r="FO15" s="304">
        <v>870.88</v>
      </c>
      <c r="FP15" s="304">
        <v>1345.5600000000002</v>
      </c>
      <c r="FQ15" s="304"/>
      <c r="FR15" s="304"/>
      <c r="FS15" s="304"/>
      <c r="FT15" s="304"/>
      <c r="FU15" s="304"/>
      <c r="FV15" s="304"/>
      <c r="FW15" s="304"/>
      <c r="FX15" s="304"/>
      <c r="FY15" s="304">
        <v>-3030.5</v>
      </c>
      <c r="FZ15" s="304"/>
      <c r="GA15" s="304">
        <v>-1930</v>
      </c>
      <c r="GB15" s="304"/>
      <c r="GC15" s="304">
        <v>-395.99</v>
      </c>
      <c r="GD15" s="304"/>
      <c r="GE15" s="304"/>
      <c r="GF15" s="304">
        <v>-5612.5999999999985</v>
      </c>
      <c r="GH15">
        <v>0</v>
      </c>
      <c r="GI15">
        <v>-350</v>
      </c>
      <c r="GK15">
        <v>-11321.32</v>
      </c>
    </row>
    <row r="16" spans="1:195">
      <c r="A16" s="116">
        <v>107667</v>
      </c>
      <c r="B16" s="304"/>
      <c r="C16" s="304">
        <v>231578.68</v>
      </c>
      <c r="D16" s="304"/>
      <c r="E16" s="304"/>
      <c r="F16" s="304">
        <v>66416.789999999994</v>
      </c>
      <c r="G16" s="304">
        <v>30415.269999999997</v>
      </c>
      <c r="H16" s="304">
        <v>13830.660000000002</v>
      </c>
      <c r="I16" s="304"/>
      <c r="J16" s="304">
        <v>3966.6300000000006</v>
      </c>
      <c r="K16" s="304">
        <v>1006.63</v>
      </c>
      <c r="L16" s="304"/>
      <c r="M16" s="304"/>
      <c r="N16" s="304"/>
      <c r="O16" s="304"/>
      <c r="P16" s="304"/>
      <c r="Q16" s="304"/>
      <c r="R16" s="304"/>
      <c r="S16" s="304">
        <v>13736.66</v>
      </c>
      <c r="T16" s="304">
        <v>68.09</v>
      </c>
      <c r="U16" s="304">
        <v>26.52</v>
      </c>
      <c r="V16" s="304">
        <v>3651.2799999999997</v>
      </c>
      <c r="W16" s="304">
        <v>1279.2599999999998</v>
      </c>
      <c r="X16" s="304">
        <v>2857.1799999999994</v>
      </c>
      <c r="Y16" s="304">
        <v>7.7</v>
      </c>
      <c r="Z16" s="304"/>
      <c r="AA16" s="304">
        <v>756.26999999999987</v>
      </c>
      <c r="AB16" s="304">
        <v>335.55999999999995</v>
      </c>
      <c r="AC16" s="304"/>
      <c r="AD16" s="304"/>
      <c r="AE16" s="304"/>
      <c r="AF16" s="304"/>
      <c r="AG16" s="304"/>
      <c r="AH16" s="304">
        <v>64819.75</v>
      </c>
      <c r="AI16" s="304">
        <v>506.72999999999996</v>
      </c>
      <c r="AJ16" s="304">
        <v>1118.4199999999998</v>
      </c>
      <c r="AK16" s="304">
        <v>17233.84</v>
      </c>
      <c r="AL16" s="304">
        <v>5035.99</v>
      </c>
      <c r="AM16" s="304"/>
      <c r="AN16" s="304"/>
      <c r="AO16" s="304"/>
      <c r="AP16" s="304"/>
      <c r="AQ16" s="304"/>
      <c r="AR16" s="304"/>
      <c r="AS16" s="304"/>
      <c r="AT16" s="304"/>
      <c r="AU16" s="304">
        <v>27616.25</v>
      </c>
      <c r="AV16" s="304"/>
      <c r="AW16" s="304">
        <v>937.45000000000016</v>
      </c>
      <c r="AX16" s="304"/>
      <c r="AY16" s="304">
        <v>7538.0200000000013</v>
      </c>
      <c r="AZ16" s="304">
        <v>3532.4</v>
      </c>
      <c r="BA16" s="304"/>
      <c r="BB16" s="304"/>
      <c r="BC16" s="304"/>
      <c r="BD16" s="304"/>
      <c r="BE16" s="304"/>
      <c r="BF16" s="304"/>
      <c r="BG16" s="304"/>
      <c r="BH16" s="304">
        <v>6683.6200000000008</v>
      </c>
      <c r="BI16" s="304">
        <v>18.02</v>
      </c>
      <c r="BJ16" s="304"/>
      <c r="BK16" s="304">
        <v>1769.1700000000005</v>
      </c>
      <c r="BL16" s="304">
        <v>784.97</v>
      </c>
      <c r="BM16" s="304"/>
      <c r="BN16" s="304"/>
      <c r="BO16" s="304"/>
      <c r="BP16" s="304"/>
      <c r="BQ16" s="304"/>
      <c r="BR16" s="304">
        <v>2038.85</v>
      </c>
      <c r="BS16" s="304"/>
      <c r="BT16" s="304"/>
      <c r="BU16" s="304"/>
      <c r="BV16" s="304"/>
      <c r="BW16" s="304">
        <v>4159.88</v>
      </c>
      <c r="BX16" s="304">
        <v>2429.7600000000002</v>
      </c>
      <c r="BY16" s="304">
        <v>6925.36</v>
      </c>
      <c r="BZ16" s="304"/>
      <c r="CA16" s="304"/>
      <c r="CB16" s="304"/>
      <c r="CC16" s="304">
        <v>274987.16000000003</v>
      </c>
      <c r="CD16" s="304">
        <v>2693.76</v>
      </c>
      <c r="CE16" s="304">
        <v>12740.96</v>
      </c>
      <c r="CF16" s="304"/>
      <c r="CG16" s="304"/>
      <c r="CH16" s="304"/>
      <c r="CI16" s="304"/>
      <c r="CJ16" s="304"/>
      <c r="CK16" s="304">
        <v>8233.5</v>
      </c>
      <c r="CL16" s="304">
        <v>1712.7000000000003</v>
      </c>
      <c r="CM16" s="304"/>
      <c r="CN16" s="304">
        <v>833.91</v>
      </c>
      <c r="CO16" s="304">
        <v>674.91000000000008</v>
      </c>
      <c r="CP16" s="304"/>
      <c r="CQ16" s="304"/>
      <c r="CR16" s="304"/>
      <c r="CS16" s="304"/>
      <c r="CT16" s="304">
        <v>157.30000000000001</v>
      </c>
      <c r="CU16" s="304"/>
      <c r="CV16" s="304"/>
      <c r="CW16" s="304"/>
      <c r="CX16" s="304">
        <v>2365.67</v>
      </c>
      <c r="CY16" s="304">
        <v>60</v>
      </c>
      <c r="CZ16" s="304">
        <v>1746</v>
      </c>
      <c r="DA16" s="304">
        <v>4935.079999999999</v>
      </c>
      <c r="DB16" s="304">
        <v>59.349999999999994</v>
      </c>
      <c r="DC16" s="304"/>
      <c r="DD16" s="304">
        <v>2542.52</v>
      </c>
      <c r="DE16" s="304"/>
      <c r="DF16" s="304">
        <v>1588.56</v>
      </c>
      <c r="DG16" s="304">
        <v>6410</v>
      </c>
      <c r="DH16" s="304"/>
      <c r="DI16" s="304">
        <v>38.519999999999996</v>
      </c>
      <c r="DJ16" s="304">
        <v>1586.5600000000002</v>
      </c>
      <c r="DK16" s="426"/>
      <c r="DL16" s="304">
        <v>2557</v>
      </c>
      <c r="DM16" s="304"/>
      <c r="DN16" s="304">
        <v>4123.13</v>
      </c>
      <c r="DO16" s="304"/>
      <c r="DP16" s="304">
        <v>1185</v>
      </c>
      <c r="DQ16" s="304">
        <v>179.99</v>
      </c>
      <c r="DR16" s="304">
        <v>4102.5</v>
      </c>
      <c r="DS16" s="304"/>
      <c r="DT16" s="304"/>
      <c r="DU16" s="304"/>
      <c r="DV16" s="304"/>
      <c r="DW16" s="304">
        <v>1583.44</v>
      </c>
      <c r="DX16" s="304">
        <v>2871.54</v>
      </c>
      <c r="DY16" s="304">
        <v>7910.15</v>
      </c>
      <c r="DZ16" s="304">
        <v>10.35</v>
      </c>
      <c r="EA16" s="304">
        <v>14398.67</v>
      </c>
      <c r="EB16" s="304"/>
      <c r="EC16" s="304"/>
      <c r="ED16" s="304"/>
      <c r="EE16" s="304">
        <v>-558446.93000000005</v>
      </c>
      <c r="EF16" s="304"/>
      <c r="EG16" s="304"/>
      <c r="EH16" s="304"/>
      <c r="EI16" s="304">
        <v>-12820</v>
      </c>
      <c r="EJ16" s="304"/>
      <c r="EK16" s="304"/>
      <c r="EL16" s="304">
        <v>-16885</v>
      </c>
      <c r="EM16" s="304"/>
      <c r="EN16" s="304">
        <v>-4967.5</v>
      </c>
      <c r="EO16" s="304">
        <v>-14302</v>
      </c>
      <c r="EP16" s="304">
        <v>-15345</v>
      </c>
      <c r="EQ16" s="304">
        <v>-86482.25</v>
      </c>
      <c r="ER16" s="304"/>
      <c r="ES16" s="304">
        <v>-12895.87</v>
      </c>
      <c r="ET16" s="304">
        <v>-1049</v>
      </c>
      <c r="EU16" s="304"/>
      <c r="EV16" s="304">
        <v>-9563</v>
      </c>
      <c r="EW16" s="304">
        <v>1770.74</v>
      </c>
      <c r="EX16" s="304">
        <v>262.3</v>
      </c>
      <c r="EY16" s="304">
        <v>-3084</v>
      </c>
      <c r="EZ16" s="304">
        <v>-4894</v>
      </c>
      <c r="FA16" s="304">
        <v>-9772</v>
      </c>
      <c r="FB16" s="304">
        <v>709</v>
      </c>
      <c r="FC16" s="304"/>
      <c r="FD16" s="304">
        <v>1247.4000000000001</v>
      </c>
      <c r="FE16" s="304">
        <v>362</v>
      </c>
      <c r="FF16" s="304">
        <v>20444.71</v>
      </c>
      <c r="FG16" s="304">
        <v>18837.95</v>
      </c>
      <c r="FH16" s="304">
        <v>120</v>
      </c>
      <c r="FI16" s="304">
        <v>3009.79</v>
      </c>
      <c r="FJ16" s="304"/>
      <c r="FK16" s="304">
        <v>3439.16</v>
      </c>
      <c r="FL16" s="304">
        <v>1300.6500000000001</v>
      </c>
      <c r="FM16" s="304">
        <v>903</v>
      </c>
      <c r="FN16" s="304">
        <v>560</v>
      </c>
      <c r="FO16" s="304">
        <v>830.92</v>
      </c>
      <c r="FP16" s="304">
        <v>509.22</v>
      </c>
      <c r="FQ16" s="304"/>
      <c r="FR16" s="304"/>
      <c r="FS16" s="304"/>
      <c r="FT16" s="304"/>
      <c r="FU16" s="304"/>
      <c r="FV16" s="304"/>
      <c r="FW16" s="304"/>
      <c r="FX16" s="304">
        <v>-2179</v>
      </c>
      <c r="FY16" s="304">
        <v>-6641.7</v>
      </c>
      <c r="FZ16" s="304">
        <v>-272284.27</v>
      </c>
      <c r="GA16" s="304">
        <v>-1121.53</v>
      </c>
      <c r="GB16" s="304"/>
      <c r="GC16" s="304">
        <v>31.79</v>
      </c>
      <c r="GD16" s="304"/>
      <c r="GE16" s="304"/>
      <c r="GF16" s="304">
        <v>-25319.009999999966</v>
      </c>
      <c r="GI16">
        <v>-2470.8200000000002</v>
      </c>
      <c r="GK16">
        <v>-4568</v>
      </c>
    </row>
    <row r="17" spans="1:193">
      <c r="A17" s="116">
        <v>107671</v>
      </c>
      <c r="B17" s="304"/>
      <c r="C17" s="304">
        <v>150460.31</v>
      </c>
      <c r="D17" s="304"/>
      <c r="E17" s="304"/>
      <c r="F17" s="304">
        <v>43152.06</v>
      </c>
      <c r="G17" s="304">
        <v>19572.810000000001</v>
      </c>
      <c r="H17" s="304">
        <v>1046.29</v>
      </c>
      <c r="I17" s="304"/>
      <c r="J17" s="304">
        <v>300.07</v>
      </c>
      <c r="K17" s="304">
        <v>116.43</v>
      </c>
      <c r="L17" s="304"/>
      <c r="M17" s="304"/>
      <c r="N17" s="304"/>
      <c r="O17" s="304"/>
      <c r="P17" s="304"/>
      <c r="Q17" s="304"/>
      <c r="R17" s="304"/>
      <c r="S17" s="304">
        <v>5495.1400000000012</v>
      </c>
      <c r="T17" s="304"/>
      <c r="U17" s="304"/>
      <c r="V17" s="304">
        <v>1032.6099999999997</v>
      </c>
      <c r="W17" s="304">
        <v>152.77000000000001</v>
      </c>
      <c r="X17" s="304">
        <v>7301.58</v>
      </c>
      <c r="Y17" s="304">
        <v>18.3</v>
      </c>
      <c r="Z17" s="304"/>
      <c r="AA17" s="304">
        <v>1132.05</v>
      </c>
      <c r="AB17" s="304">
        <v>602.54999999999995</v>
      </c>
      <c r="AC17" s="304"/>
      <c r="AD17" s="304"/>
      <c r="AE17" s="304"/>
      <c r="AF17" s="304"/>
      <c r="AG17" s="304"/>
      <c r="AH17" s="304">
        <v>56196.800000000003</v>
      </c>
      <c r="AI17" s="304">
        <v>136.72</v>
      </c>
      <c r="AJ17" s="304">
        <v>1714.88</v>
      </c>
      <c r="AK17" s="304">
        <v>15345.919999999998</v>
      </c>
      <c r="AL17" s="304">
        <v>5974.9500000000007</v>
      </c>
      <c r="AM17" s="304"/>
      <c r="AN17" s="304"/>
      <c r="AO17" s="304"/>
      <c r="AP17" s="304"/>
      <c r="AQ17" s="304"/>
      <c r="AR17" s="304"/>
      <c r="AS17" s="304"/>
      <c r="AT17" s="304"/>
      <c r="AU17" s="304">
        <v>19257.140000000003</v>
      </c>
      <c r="AV17" s="304"/>
      <c r="AW17" s="304"/>
      <c r="AX17" s="304"/>
      <c r="AY17" s="304">
        <v>5083.6799999999985</v>
      </c>
      <c r="AZ17" s="304">
        <v>1486.25</v>
      </c>
      <c r="BA17" s="304">
        <v>136.85</v>
      </c>
      <c r="BB17" s="304"/>
      <c r="BC17" s="304"/>
      <c r="BD17" s="304"/>
      <c r="BE17" s="304"/>
      <c r="BF17" s="304"/>
      <c r="BG17" s="304"/>
      <c r="BH17" s="304">
        <v>7515.5000000000018</v>
      </c>
      <c r="BI17" s="304">
        <v>430.78</v>
      </c>
      <c r="BJ17" s="304"/>
      <c r="BK17" s="304">
        <v>2097.7199999999998</v>
      </c>
      <c r="BL17" s="304">
        <v>441.3599999999999</v>
      </c>
      <c r="BM17" s="304"/>
      <c r="BN17" s="304"/>
      <c r="BO17" s="304"/>
      <c r="BP17" s="304"/>
      <c r="BQ17" s="304"/>
      <c r="BR17" s="304">
        <v>743</v>
      </c>
      <c r="BS17" s="304"/>
      <c r="BT17" s="304"/>
      <c r="BU17" s="304"/>
      <c r="BV17" s="304"/>
      <c r="BW17" s="304">
        <v>573.71</v>
      </c>
      <c r="BX17" s="304"/>
      <c r="BY17" s="304"/>
      <c r="BZ17" s="304"/>
      <c r="CA17" s="304"/>
      <c r="CB17" s="304"/>
      <c r="CC17" s="304"/>
      <c r="CD17" s="304">
        <v>1316.23</v>
      </c>
      <c r="CE17" s="304">
        <v>9494.2700000000023</v>
      </c>
      <c r="CF17" s="304"/>
      <c r="CG17" s="304"/>
      <c r="CH17" s="304"/>
      <c r="CI17" s="304"/>
      <c r="CJ17" s="304"/>
      <c r="CK17" s="304">
        <v>698.6</v>
      </c>
      <c r="CL17" s="304">
        <v>871.58999999999992</v>
      </c>
      <c r="CM17" s="304"/>
      <c r="CN17" s="304">
        <v>426.28000000000003</v>
      </c>
      <c r="CO17" s="304"/>
      <c r="CP17" s="304"/>
      <c r="CQ17" s="304"/>
      <c r="CR17" s="304">
        <v>82.78</v>
      </c>
      <c r="CS17" s="304"/>
      <c r="CT17" s="304">
        <v>227.49</v>
      </c>
      <c r="CU17" s="304"/>
      <c r="CV17" s="304"/>
      <c r="CW17" s="304"/>
      <c r="CX17" s="304"/>
      <c r="CY17" s="304"/>
      <c r="CZ17" s="304"/>
      <c r="DA17" s="304">
        <v>5054.9800000000005</v>
      </c>
      <c r="DB17" s="304"/>
      <c r="DC17" s="304"/>
      <c r="DD17" s="304">
        <v>2739.43</v>
      </c>
      <c r="DE17" s="304"/>
      <c r="DF17" s="304">
        <v>676.1</v>
      </c>
      <c r="DG17" s="304">
        <v>21398.48</v>
      </c>
      <c r="DH17" s="304"/>
      <c r="DI17" s="304"/>
      <c r="DJ17" s="304">
        <v>379.54000000000013</v>
      </c>
      <c r="DK17" s="426"/>
      <c r="DL17" s="304">
        <v>2249</v>
      </c>
      <c r="DM17" s="304"/>
      <c r="DN17" s="304">
        <v>2359.36</v>
      </c>
      <c r="DO17" s="304"/>
      <c r="DP17" s="304">
        <v>2590</v>
      </c>
      <c r="DQ17" s="304"/>
      <c r="DR17" s="304">
        <v>1409</v>
      </c>
      <c r="DS17" s="304">
        <v>-41.4</v>
      </c>
      <c r="DT17" s="304"/>
      <c r="DU17" s="304"/>
      <c r="DV17" s="304">
        <v>19</v>
      </c>
      <c r="DW17" s="304"/>
      <c r="DX17" s="304">
        <v>1235.43</v>
      </c>
      <c r="DY17" s="304">
        <v>628</v>
      </c>
      <c r="DZ17" s="304">
        <v>1197.1099999999999</v>
      </c>
      <c r="EA17" s="304">
        <v>3580.2</v>
      </c>
      <c r="EB17" s="304"/>
      <c r="EC17" s="304"/>
      <c r="ED17" s="304"/>
      <c r="EE17" s="304">
        <v>-359778.73</v>
      </c>
      <c r="EF17" s="304">
        <v>-2259</v>
      </c>
      <c r="EG17" s="304"/>
      <c r="EH17" s="304"/>
      <c r="EI17" s="304">
        <v>-7110</v>
      </c>
      <c r="EJ17" s="304"/>
      <c r="EK17" s="304"/>
      <c r="EL17" s="304"/>
      <c r="EM17" s="304"/>
      <c r="EN17" s="304"/>
      <c r="EO17" s="304">
        <v>-6800</v>
      </c>
      <c r="EP17" s="304">
        <v>-14996</v>
      </c>
      <c r="EQ17" s="304"/>
      <c r="ER17" s="304">
        <v>67240.5</v>
      </c>
      <c r="ES17" s="304"/>
      <c r="ET17" s="304"/>
      <c r="EU17" s="304"/>
      <c r="EV17" s="304">
        <v>-4009</v>
      </c>
      <c r="EW17" s="304">
        <v>761.83</v>
      </c>
      <c r="EX17" s="304">
        <v>112.85</v>
      </c>
      <c r="EY17" s="304">
        <v>-6239.25</v>
      </c>
      <c r="EZ17" s="304">
        <v>-2928</v>
      </c>
      <c r="FA17" s="304">
        <v>-5623</v>
      </c>
      <c r="FB17" s="304"/>
      <c r="FC17" s="304"/>
      <c r="FD17" s="304"/>
      <c r="FE17" s="304"/>
      <c r="FF17" s="304"/>
      <c r="FG17" s="304">
        <v>9304.83</v>
      </c>
      <c r="FH17" s="304">
        <v>1863</v>
      </c>
      <c r="FI17" s="304">
        <v>4628.7100000000009</v>
      </c>
      <c r="FJ17" s="304"/>
      <c r="FK17" s="304">
        <v>3774.5</v>
      </c>
      <c r="FL17" s="304">
        <v>1140.57</v>
      </c>
      <c r="FM17" s="304">
        <v>2290</v>
      </c>
      <c r="FN17" s="304">
        <v>560</v>
      </c>
      <c r="FO17" s="304">
        <v>722.14</v>
      </c>
      <c r="FP17" s="304">
        <v>433.53999999999996</v>
      </c>
      <c r="FQ17" s="304"/>
      <c r="FR17" s="304"/>
      <c r="FS17" s="304"/>
      <c r="FT17" s="304"/>
      <c r="FU17" s="304"/>
      <c r="FV17" s="304"/>
      <c r="FW17" s="304"/>
      <c r="FX17" s="304">
        <v>-4399.8200000000006</v>
      </c>
      <c r="FY17" s="304">
        <v>-3558.2799999999997</v>
      </c>
      <c r="FZ17" s="304"/>
      <c r="GA17" s="304">
        <v>-1831.7000000000003</v>
      </c>
      <c r="GB17" s="304"/>
      <c r="GC17" s="304">
        <v>0</v>
      </c>
      <c r="GD17" s="304">
        <v>-1272.5</v>
      </c>
      <c r="GE17" s="304">
        <v>-100</v>
      </c>
      <c r="GF17" s="304">
        <v>-28001.079999999973</v>
      </c>
      <c r="GI17">
        <v>0</v>
      </c>
      <c r="GJ17">
        <v>0</v>
      </c>
    </row>
    <row r="18" spans="1:193">
      <c r="A18" s="116">
        <v>107672</v>
      </c>
      <c r="B18" s="304"/>
      <c r="C18" s="304">
        <v>231752.89000000004</v>
      </c>
      <c r="D18" s="304">
        <v>2471.2299999999991</v>
      </c>
      <c r="E18" s="304">
        <v>1770</v>
      </c>
      <c r="F18" s="304">
        <v>85320.61</v>
      </c>
      <c r="G18" s="304">
        <v>39314.279999999992</v>
      </c>
      <c r="H18" s="304">
        <v>4294.1000000000004</v>
      </c>
      <c r="I18" s="304">
        <v>14.200000000000003</v>
      </c>
      <c r="J18" s="304">
        <v>1231.53</v>
      </c>
      <c r="K18" s="304">
        <v>476.98999999999995</v>
      </c>
      <c r="L18" s="304"/>
      <c r="M18" s="304"/>
      <c r="N18" s="304"/>
      <c r="O18" s="304"/>
      <c r="P18" s="304"/>
      <c r="Q18" s="304"/>
      <c r="R18" s="304">
        <v>2711.2</v>
      </c>
      <c r="S18" s="304">
        <v>9308.1600000000017</v>
      </c>
      <c r="T18" s="304"/>
      <c r="U18" s="304"/>
      <c r="V18" s="304">
        <v>2457.23</v>
      </c>
      <c r="W18" s="304">
        <v>898.63999999999976</v>
      </c>
      <c r="X18" s="304">
        <v>20405.020000000004</v>
      </c>
      <c r="Y18" s="304">
        <v>67.53</v>
      </c>
      <c r="Z18" s="304"/>
      <c r="AA18" s="304">
        <v>5623.38</v>
      </c>
      <c r="AB18" s="304">
        <v>2161.4500000000003</v>
      </c>
      <c r="AC18" s="304"/>
      <c r="AD18" s="304"/>
      <c r="AE18" s="304"/>
      <c r="AF18" s="304"/>
      <c r="AG18" s="304"/>
      <c r="AH18" s="304">
        <v>100429.38</v>
      </c>
      <c r="AI18" s="304">
        <v>594.87</v>
      </c>
      <c r="AJ18" s="304">
        <v>263.97000000000003</v>
      </c>
      <c r="AK18" s="304">
        <v>29530.379999999997</v>
      </c>
      <c r="AL18" s="304">
        <v>11044.32</v>
      </c>
      <c r="AM18" s="304"/>
      <c r="AN18" s="304"/>
      <c r="AO18" s="304"/>
      <c r="AP18" s="304"/>
      <c r="AQ18" s="304"/>
      <c r="AR18" s="304"/>
      <c r="AS18" s="304"/>
      <c r="AT18" s="304"/>
      <c r="AU18" s="304">
        <v>38795.039999999994</v>
      </c>
      <c r="AV18" s="304"/>
      <c r="AW18" s="304">
        <v>67.36</v>
      </c>
      <c r="AX18" s="304"/>
      <c r="AY18" s="304">
        <v>10259.509999999998</v>
      </c>
      <c r="AZ18" s="304">
        <v>4578.54</v>
      </c>
      <c r="BA18" s="304"/>
      <c r="BB18" s="304"/>
      <c r="BC18" s="304"/>
      <c r="BD18" s="304"/>
      <c r="BE18" s="304"/>
      <c r="BF18" s="304"/>
      <c r="BG18" s="304"/>
      <c r="BH18" s="304"/>
      <c r="BI18" s="304"/>
      <c r="BJ18" s="304"/>
      <c r="BK18" s="304"/>
      <c r="BL18" s="304"/>
      <c r="BM18" s="304"/>
      <c r="BN18" s="304"/>
      <c r="BO18" s="304"/>
      <c r="BP18" s="304"/>
      <c r="BQ18" s="304"/>
      <c r="BR18" s="304">
        <v>3822.95</v>
      </c>
      <c r="BS18" s="304"/>
      <c r="BT18" s="304"/>
      <c r="BU18" s="304"/>
      <c r="BV18" s="304">
        <v>468</v>
      </c>
      <c r="BW18" s="304">
        <v>6396.3</v>
      </c>
      <c r="BX18" s="304">
        <v>934</v>
      </c>
      <c r="BY18" s="304"/>
      <c r="BZ18" s="304"/>
      <c r="CA18" s="304"/>
      <c r="CB18" s="304"/>
      <c r="CC18" s="304"/>
      <c r="CD18" s="304">
        <v>398</v>
      </c>
      <c r="CE18" s="304">
        <v>8058.9</v>
      </c>
      <c r="CF18" s="304">
        <v>6462.21</v>
      </c>
      <c r="CG18" s="304"/>
      <c r="CH18" s="304"/>
      <c r="CI18" s="304"/>
      <c r="CJ18" s="304"/>
      <c r="CK18" s="304">
        <v>1746.5</v>
      </c>
      <c r="CL18" s="304">
        <v>1788.9899999999996</v>
      </c>
      <c r="CM18" s="304"/>
      <c r="CN18" s="304">
        <v>1339.49</v>
      </c>
      <c r="CO18" s="304"/>
      <c r="CP18" s="304"/>
      <c r="CQ18" s="304"/>
      <c r="CR18" s="304"/>
      <c r="CS18" s="304"/>
      <c r="CT18" s="304">
        <v>380</v>
      </c>
      <c r="CU18" s="304"/>
      <c r="CV18" s="304"/>
      <c r="CW18" s="304"/>
      <c r="CX18" s="304"/>
      <c r="CY18" s="304">
        <v>26.71</v>
      </c>
      <c r="CZ18" s="304"/>
      <c r="DA18" s="304">
        <v>13976.88</v>
      </c>
      <c r="DB18" s="304">
        <v>270.5</v>
      </c>
      <c r="DC18" s="304"/>
      <c r="DD18" s="304">
        <v>493.71000000000004</v>
      </c>
      <c r="DE18" s="304">
        <v>3115.3</v>
      </c>
      <c r="DF18" s="304">
        <v>1497.45</v>
      </c>
      <c r="DG18" s="304">
        <v>6191.36</v>
      </c>
      <c r="DH18" s="304"/>
      <c r="DI18" s="304"/>
      <c r="DJ18" s="304">
        <v>826.11000000000013</v>
      </c>
      <c r="DK18" s="426"/>
      <c r="DL18" s="304">
        <v>1017.57</v>
      </c>
      <c r="DM18" s="304"/>
      <c r="DN18" s="304">
        <v>2173.85</v>
      </c>
      <c r="DO18" s="304"/>
      <c r="DP18" s="304">
        <v>84.550000000000011</v>
      </c>
      <c r="DQ18" s="304"/>
      <c r="DR18" s="304"/>
      <c r="DS18" s="304">
        <v>0</v>
      </c>
      <c r="DT18" s="304"/>
      <c r="DU18" s="304"/>
      <c r="DV18" s="304"/>
      <c r="DW18" s="304">
        <v>3636.06</v>
      </c>
      <c r="DX18" s="304">
        <v>3305.61</v>
      </c>
      <c r="DY18" s="304">
        <v>2478.7400000000002</v>
      </c>
      <c r="DZ18" s="304">
        <v>1072.1899999999998</v>
      </c>
      <c r="EA18" s="304">
        <v>25234.31</v>
      </c>
      <c r="EB18" s="304">
        <v>3120</v>
      </c>
      <c r="EC18" s="304"/>
      <c r="ED18" s="304"/>
      <c r="EE18" s="304">
        <v>-608575.01</v>
      </c>
      <c r="EF18" s="304"/>
      <c r="EG18" s="304">
        <v>-748.8</v>
      </c>
      <c r="EH18" s="304"/>
      <c r="EI18" s="304">
        <v>-7575</v>
      </c>
      <c r="EJ18" s="304"/>
      <c r="EK18" s="304"/>
      <c r="EL18" s="304"/>
      <c r="EM18" s="304"/>
      <c r="EN18" s="304"/>
      <c r="EO18" s="304">
        <v>-24220</v>
      </c>
      <c r="EP18" s="304">
        <v>-15415</v>
      </c>
      <c r="EQ18" s="304">
        <v>-66630.220000000016</v>
      </c>
      <c r="ER18" s="304"/>
      <c r="ES18" s="304">
        <v>0</v>
      </c>
      <c r="ET18" s="304"/>
      <c r="EU18" s="304">
        <v>0</v>
      </c>
      <c r="EV18" s="304">
        <v>-32404</v>
      </c>
      <c r="EW18" s="304">
        <v>2038.4099999999999</v>
      </c>
      <c r="EX18" s="304">
        <v>301.95</v>
      </c>
      <c r="EY18" s="304">
        <v>-5079.95</v>
      </c>
      <c r="EZ18" s="304">
        <v>-5272</v>
      </c>
      <c r="FA18" s="304">
        <v>-10566</v>
      </c>
      <c r="FB18" s="304">
        <v>422</v>
      </c>
      <c r="FC18" s="304"/>
      <c r="FD18" s="304">
        <v>2904.92</v>
      </c>
      <c r="FE18" s="304">
        <v>75</v>
      </c>
      <c r="FF18" s="304">
        <v>17821.580000000002</v>
      </c>
      <c r="FG18" s="304">
        <v>27860.98</v>
      </c>
      <c r="FH18" s="304">
        <v>2644.91</v>
      </c>
      <c r="FI18" s="304">
        <v>5579.3600000000024</v>
      </c>
      <c r="FJ18" s="304"/>
      <c r="FK18" s="304">
        <v>3619.58</v>
      </c>
      <c r="FL18" s="304">
        <v>1767.55</v>
      </c>
      <c r="FM18" s="304">
        <v>1039.5</v>
      </c>
      <c r="FN18" s="304">
        <v>560</v>
      </c>
      <c r="FO18" s="304">
        <v>859.78</v>
      </c>
      <c r="FP18" s="304">
        <v>644.37</v>
      </c>
      <c r="FQ18" s="304"/>
      <c r="FR18" s="304"/>
      <c r="FS18" s="304"/>
      <c r="FT18" s="304">
        <v>-1800</v>
      </c>
      <c r="FU18" s="304"/>
      <c r="FV18" s="304"/>
      <c r="FW18" s="304"/>
      <c r="FX18" s="304">
        <v>-12165.4</v>
      </c>
      <c r="FY18" s="304">
        <v>-18031.060000000009</v>
      </c>
      <c r="FZ18" s="304"/>
      <c r="GA18" s="304">
        <v>-1712.02</v>
      </c>
      <c r="GB18" s="304"/>
      <c r="GC18" s="304"/>
      <c r="GD18" s="304">
        <v>0</v>
      </c>
      <c r="GE18" s="304"/>
      <c r="GF18" s="304">
        <v>-24970.139999999996</v>
      </c>
      <c r="GI18">
        <v>-7178.04</v>
      </c>
      <c r="GJ18">
        <v>587.23999999999887</v>
      </c>
      <c r="GK18">
        <v>-3173.03</v>
      </c>
    </row>
    <row r="19" spans="1:193">
      <c r="A19" s="116">
        <v>107677</v>
      </c>
      <c r="B19" s="304"/>
      <c r="C19" s="304">
        <v>248884.25000000003</v>
      </c>
      <c r="D19" s="304"/>
      <c r="E19" s="304"/>
      <c r="F19" s="304">
        <v>72549.45</v>
      </c>
      <c r="G19" s="304">
        <v>33522.54</v>
      </c>
      <c r="H19" s="304">
        <v>7042.08</v>
      </c>
      <c r="I19" s="304"/>
      <c r="J19" s="304">
        <v>1327.9199999999998</v>
      </c>
      <c r="K19" s="304">
        <v>811.82000000000016</v>
      </c>
      <c r="L19" s="304"/>
      <c r="M19" s="304"/>
      <c r="N19" s="304"/>
      <c r="O19" s="304"/>
      <c r="P19" s="304"/>
      <c r="Q19" s="304"/>
      <c r="R19" s="304"/>
      <c r="S19" s="304">
        <v>6436.8900000000012</v>
      </c>
      <c r="T19" s="304"/>
      <c r="U19" s="304"/>
      <c r="V19" s="304">
        <v>1713.5700000000002</v>
      </c>
      <c r="W19" s="304">
        <v>750.49999999999989</v>
      </c>
      <c r="X19" s="304">
        <v>16521.09</v>
      </c>
      <c r="Y19" s="304"/>
      <c r="Z19" s="304">
        <v>1662.4599999999998</v>
      </c>
      <c r="AA19" s="304">
        <v>1538.0799999999997</v>
      </c>
      <c r="AB19" s="304">
        <v>902.41</v>
      </c>
      <c r="AC19" s="304"/>
      <c r="AD19" s="304"/>
      <c r="AE19" s="304"/>
      <c r="AF19" s="304"/>
      <c r="AG19" s="304"/>
      <c r="AH19" s="304">
        <v>45056.420000000006</v>
      </c>
      <c r="AI19" s="304"/>
      <c r="AJ19" s="304">
        <v>2070.5999999999995</v>
      </c>
      <c r="AK19" s="304">
        <v>12517.72</v>
      </c>
      <c r="AL19" s="304">
        <v>4430.4800000000005</v>
      </c>
      <c r="AM19" s="304"/>
      <c r="AN19" s="304"/>
      <c r="AO19" s="304"/>
      <c r="AP19" s="304"/>
      <c r="AQ19" s="304"/>
      <c r="AR19" s="304"/>
      <c r="AS19" s="304"/>
      <c r="AT19" s="304"/>
      <c r="AU19" s="304">
        <v>25597.429999999997</v>
      </c>
      <c r="AV19" s="304"/>
      <c r="AW19" s="304">
        <v>917.25</v>
      </c>
      <c r="AX19" s="304"/>
      <c r="AY19" s="304">
        <v>6999.6699999999992</v>
      </c>
      <c r="AZ19" s="304">
        <v>2697.4700000000003</v>
      </c>
      <c r="BA19" s="304"/>
      <c r="BB19" s="304"/>
      <c r="BC19" s="304"/>
      <c r="BD19" s="304"/>
      <c r="BE19" s="304"/>
      <c r="BF19" s="304"/>
      <c r="BG19" s="304"/>
      <c r="BH19" s="304"/>
      <c r="BI19" s="304"/>
      <c r="BJ19" s="304"/>
      <c r="BK19" s="304"/>
      <c r="BL19" s="304"/>
      <c r="BM19" s="304"/>
      <c r="BN19" s="304"/>
      <c r="BO19" s="304"/>
      <c r="BP19" s="304"/>
      <c r="BQ19" s="304"/>
      <c r="BR19" s="304">
        <v>810</v>
      </c>
      <c r="BS19" s="304"/>
      <c r="BT19" s="304"/>
      <c r="BU19" s="304"/>
      <c r="BV19" s="304">
        <v>5645</v>
      </c>
      <c r="BW19" s="304">
        <v>12662.63</v>
      </c>
      <c r="BX19" s="304"/>
      <c r="BY19" s="304"/>
      <c r="BZ19" s="304"/>
      <c r="CA19" s="304"/>
      <c r="CB19" s="304"/>
      <c r="CC19" s="304"/>
      <c r="CD19" s="304">
        <v>1595</v>
      </c>
      <c r="CE19" s="304">
        <v>12693.060000000001</v>
      </c>
      <c r="CF19" s="304"/>
      <c r="CG19" s="304"/>
      <c r="CH19" s="304"/>
      <c r="CI19" s="304"/>
      <c r="CJ19" s="304"/>
      <c r="CK19" s="304">
        <v>1821.35</v>
      </c>
      <c r="CL19" s="304">
        <v>886.30999999999926</v>
      </c>
      <c r="CM19" s="304"/>
      <c r="CN19" s="304">
        <v>763.16</v>
      </c>
      <c r="CO19" s="304">
        <v>379</v>
      </c>
      <c r="CP19" s="304">
        <v>0</v>
      </c>
      <c r="CQ19" s="304"/>
      <c r="CR19" s="304">
        <v>112.17999999999999</v>
      </c>
      <c r="CS19" s="304"/>
      <c r="CT19" s="304">
        <v>80</v>
      </c>
      <c r="CU19" s="304"/>
      <c r="CV19" s="304"/>
      <c r="CW19" s="304"/>
      <c r="CX19" s="304"/>
      <c r="CY19" s="304">
        <v>83.99</v>
      </c>
      <c r="CZ19" s="304"/>
      <c r="DA19" s="304">
        <v>11923.429999999998</v>
      </c>
      <c r="DB19" s="304">
        <v>73.040000000000006</v>
      </c>
      <c r="DC19" s="304"/>
      <c r="DD19" s="304">
        <v>283.19</v>
      </c>
      <c r="DE19" s="304">
        <v>2263.1999999999998</v>
      </c>
      <c r="DF19" s="304">
        <v>745.80000000000007</v>
      </c>
      <c r="DG19" s="304">
        <v>5357.6</v>
      </c>
      <c r="DH19" s="304"/>
      <c r="DI19" s="304">
        <v>1.55</v>
      </c>
      <c r="DJ19" s="304">
        <v>711.80000000000007</v>
      </c>
      <c r="DK19" s="426"/>
      <c r="DL19" s="304">
        <v>2814</v>
      </c>
      <c r="DM19" s="304"/>
      <c r="DN19" s="304">
        <v>66</v>
      </c>
      <c r="DO19" s="304">
        <v>3455</v>
      </c>
      <c r="DP19" s="304">
        <v>439</v>
      </c>
      <c r="DQ19" s="304"/>
      <c r="DR19" s="304">
        <v>2446</v>
      </c>
      <c r="DS19" s="304"/>
      <c r="DT19" s="304"/>
      <c r="DU19" s="304"/>
      <c r="DV19" s="304"/>
      <c r="DW19" s="304">
        <v>1728</v>
      </c>
      <c r="DX19" s="304">
        <v>2904.93</v>
      </c>
      <c r="DY19" s="304">
        <v>180</v>
      </c>
      <c r="DZ19" s="304"/>
      <c r="EA19" s="304">
        <v>23468.969999999998</v>
      </c>
      <c r="EB19" s="304"/>
      <c r="EC19" s="304"/>
      <c r="ED19" s="304"/>
      <c r="EE19" s="304">
        <v>-562951.39</v>
      </c>
      <c r="EF19" s="304"/>
      <c r="EG19" s="304"/>
      <c r="EH19" s="304">
        <v>-2025</v>
      </c>
      <c r="EI19" s="304">
        <v>-11490</v>
      </c>
      <c r="EJ19" s="304"/>
      <c r="EK19" s="304"/>
      <c r="EL19" s="304">
        <v>-7608.4</v>
      </c>
      <c r="EM19" s="304"/>
      <c r="EN19" s="304"/>
      <c r="EO19" s="304">
        <v>-12118</v>
      </c>
      <c r="EP19" s="304">
        <v>-15386</v>
      </c>
      <c r="EQ19" s="304">
        <v>-155210.31</v>
      </c>
      <c r="ER19" s="304"/>
      <c r="ES19" s="304">
        <v>-468.64</v>
      </c>
      <c r="ET19" s="304"/>
      <c r="EU19" s="304"/>
      <c r="EV19" s="304"/>
      <c r="EW19" s="304">
        <v>1791.33</v>
      </c>
      <c r="EX19" s="304">
        <v>265.35000000000002</v>
      </c>
      <c r="EY19" s="304">
        <v>-4910</v>
      </c>
      <c r="EZ19" s="304">
        <v>-4860</v>
      </c>
      <c r="FA19" s="304">
        <v>-9699</v>
      </c>
      <c r="FB19" s="304">
        <v>914.75</v>
      </c>
      <c r="FC19" s="304"/>
      <c r="FD19" s="304"/>
      <c r="FE19" s="304">
        <v>3562.2900000000009</v>
      </c>
      <c r="FF19" s="304">
        <v>18091.100000000006</v>
      </c>
      <c r="FG19" s="304">
        <v>16084.1</v>
      </c>
      <c r="FH19" s="304">
        <v>826</v>
      </c>
      <c r="FI19" s="304">
        <v>5848.0900000000029</v>
      </c>
      <c r="FJ19" s="304">
        <v>261</v>
      </c>
      <c r="FK19" s="304">
        <v>5289.5</v>
      </c>
      <c r="FL19" s="304">
        <v>1347.3400000000001</v>
      </c>
      <c r="FM19" s="304">
        <v>913.5</v>
      </c>
      <c r="FN19" s="304">
        <v>560</v>
      </c>
      <c r="FO19" s="304">
        <v>833.14</v>
      </c>
      <c r="FP19" s="304">
        <v>647.13</v>
      </c>
      <c r="FQ19" s="304">
        <v>180</v>
      </c>
      <c r="FR19" s="304"/>
      <c r="FS19" s="304"/>
      <c r="FT19" s="304"/>
      <c r="FU19" s="304"/>
      <c r="FV19" s="304"/>
      <c r="FW19" s="304"/>
      <c r="FX19" s="304">
        <v>-375</v>
      </c>
      <c r="FY19" s="304">
        <v>-20176.980000000003</v>
      </c>
      <c r="FZ19" s="304"/>
      <c r="GA19" s="304">
        <v>-1427.8799999999999</v>
      </c>
      <c r="GB19" s="304"/>
      <c r="GC19" s="304">
        <v>5.56</v>
      </c>
      <c r="GD19" s="304"/>
      <c r="GE19" s="304"/>
      <c r="GF19" s="304">
        <v>-10443.529999999999</v>
      </c>
      <c r="GI19">
        <v>-24602.01</v>
      </c>
      <c r="GK19">
        <v>-7446.21</v>
      </c>
    </row>
    <row r="20" spans="1:193">
      <c r="A20" s="116">
        <v>107678</v>
      </c>
      <c r="B20" s="304"/>
      <c r="C20" s="304">
        <v>497436.31</v>
      </c>
      <c r="D20" s="304">
        <v>18301.41</v>
      </c>
      <c r="E20" s="304">
        <v>34761.200000000026</v>
      </c>
      <c r="F20" s="304">
        <v>140188.38999999998</v>
      </c>
      <c r="G20" s="304">
        <v>70160.22</v>
      </c>
      <c r="H20" s="304">
        <v>28625.309999999998</v>
      </c>
      <c r="I20" s="304"/>
      <c r="J20" s="304">
        <v>46.64</v>
      </c>
      <c r="K20" s="304">
        <v>3663.0600000000004</v>
      </c>
      <c r="L20" s="304"/>
      <c r="M20" s="304"/>
      <c r="N20" s="304"/>
      <c r="O20" s="304"/>
      <c r="P20" s="304"/>
      <c r="Q20" s="304"/>
      <c r="R20" s="304"/>
      <c r="S20" s="304">
        <v>28157.030000000002</v>
      </c>
      <c r="T20" s="304">
        <v>580.74</v>
      </c>
      <c r="U20" s="304">
        <v>123.15</v>
      </c>
      <c r="V20" s="304">
        <v>7016.1699999999992</v>
      </c>
      <c r="W20" s="304">
        <v>3260.21</v>
      </c>
      <c r="X20" s="304">
        <v>8544.1500000000015</v>
      </c>
      <c r="Y20" s="304">
        <v>483.06999999999994</v>
      </c>
      <c r="Z20" s="304">
        <v>156.28</v>
      </c>
      <c r="AA20" s="304">
        <v>2438.66</v>
      </c>
      <c r="AB20" s="304">
        <v>99.990000000000009</v>
      </c>
      <c r="AC20" s="304"/>
      <c r="AD20" s="304"/>
      <c r="AE20" s="304"/>
      <c r="AF20" s="304"/>
      <c r="AG20" s="304"/>
      <c r="AH20" s="304">
        <v>152639.84</v>
      </c>
      <c r="AI20" s="304">
        <v>8892.8100000000013</v>
      </c>
      <c r="AJ20" s="304">
        <v>770.32</v>
      </c>
      <c r="AK20" s="304">
        <v>45233.159999999996</v>
      </c>
      <c r="AL20" s="304">
        <v>18021.580000000002</v>
      </c>
      <c r="AM20" s="304"/>
      <c r="AN20" s="304"/>
      <c r="AO20" s="304"/>
      <c r="AP20" s="304"/>
      <c r="AQ20" s="304"/>
      <c r="AR20" s="304"/>
      <c r="AS20" s="304"/>
      <c r="AT20" s="304"/>
      <c r="AU20" s="304">
        <v>43759.950000000012</v>
      </c>
      <c r="AV20" s="304"/>
      <c r="AW20" s="304">
        <v>1172.46</v>
      </c>
      <c r="AX20" s="304"/>
      <c r="AY20" s="304">
        <v>10157.44</v>
      </c>
      <c r="AZ20" s="304">
        <v>4608.6600000000008</v>
      </c>
      <c r="BA20" s="304"/>
      <c r="BB20" s="304"/>
      <c r="BC20" s="304"/>
      <c r="BD20" s="304"/>
      <c r="BE20" s="304"/>
      <c r="BF20" s="304"/>
      <c r="BG20" s="304"/>
      <c r="BH20" s="304">
        <v>31599.58</v>
      </c>
      <c r="BI20" s="304">
        <v>304.81</v>
      </c>
      <c r="BJ20" s="304">
        <v>587.99</v>
      </c>
      <c r="BK20" s="304">
        <v>8407.6799999999985</v>
      </c>
      <c r="BL20" s="304">
        <v>2622.04</v>
      </c>
      <c r="BM20" s="304"/>
      <c r="BN20" s="304"/>
      <c r="BO20" s="304"/>
      <c r="BP20" s="304"/>
      <c r="BQ20" s="304"/>
      <c r="BR20" s="304">
        <v>2163</v>
      </c>
      <c r="BS20" s="304"/>
      <c r="BT20" s="304"/>
      <c r="BU20" s="304">
        <v>37.619999999999997</v>
      </c>
      <c r="BV20" s="304">
        <v>119437.84000000003</v>
      </c>
      <c r="BW20" s="304">
        <v>3390.2099999999991</v>
      </c>
      <c r="BX20" s="304">
        <v>2385</v>
      </c>
      <c r="BY20" s="304">
        <v>12370.25</v>
      </c>
      <c r="BZ20" s="304"/>
      <c r="CA20" s="304">
        <v>8103</v>
      </c>
      <c r="CB20" s="304">
        <v>0</v>
      </c>
      <c r="CC20" s="304">
        <v>0</v>
      </c>
      <c r="CD20" s="304">
        <v>9530.7899999999991</v>
      </c>
      <c r="CE20" s="304">
        <v>12497.939999999997</v>
      </c>
      <c r="CF20" s="304">
        <v>9304.02</v>
      </c>
      <c r="CG20" s="304"/>
      <c r="CH20" s="304"/>
      <c r="CI20" s="304">
        <v>163.72</v>
      </c>
      <c r="CJ20" s="304"/>
      <c r="CK20" s="304">
        <v>15094.75</v>
      </c>
      <c r="CL20" s="304">
        <v>3156.5</v>
      </c>
      <c r="CM20" s="304"/>
      <c r="CN20" s="304">
        <v>2567.2899999999995</v>
      </c>
      <c r="CO20" s="304">
        <v>766.82</v>
      </c>
      <c r="CP20" s="304">
        <v>52.98</v>
      </c>
      <c r="CQ20" s="304"/>
      <c r="CR20" s="304">
        <v>3.9</v>
      </c>
      <c r="CS20" s="304"/>
      <c r="CT20" s="304">
        <v>17.48</v>
      </c>
      <c r="CU20" s="304"/>
      <c r="CV20" s="304"/>
      <c r="CW20" s="304"/>
      <c r="CX20" s="304"/>
      <c r="CY20" s="304">
        <v>15819.669999999998</v>
      </c>
      <c r="CZ20" s="304">
        <v>4398</v>
      </c>
      <c r="DA20" s="304">
        <v>28474.770000000019</v>
      </c>
      <c r="DB20" s="304">
        <v>72.430000000000007</v>
      </c>
      <c r="DC20" s="304"/>
      <c r="DD20" s="304">
        <v>220.39999999999998</v>
      </c>
      <c r="DE20" s="304">
        <v>5365.53</v>
      </c>
      <c r="DF20" s="304">
        <v>21619.489999999998</v>
      </c>
      <c r="DG20" s="304">
        <v>27943.75</v>
      </c>
      <c r="DH20" s="304"/>
      <c r="DI20" s="304"/>
      <c r="DJ20" s="304">
        <v>1476.1</v>
      </c>
      <c r="DK20" s="426"/>
      <c r="DL20" s="304">
        <v>7040.75</v>
      </c>
      <c r="DM20" s="304"/>
      <c r="DN20" s="304">
        <v>1722.56</v>
      </c>
      <c r="DO20" s="304">
        <v>1067</v>
      </c>
      <c r="DP20" s="304">
        <v>279.62</v>
      </c>
      <c r="DQ20" s="304">
        <v>5.99</v>
      </c>
      <c r="DR20" s="304"/>
      <c r="DS20" s="304"/>
      <c r="DT20" s="304"/>
      <c r="DU20" s="304"/>
      <c r="DV20" s="304"/>
      <c r="DW20" s="304"/>
      <c r="DX20" s="304">
        <v>6577.83</v>
      </c>
      <c r="DY20" s="304">
        <v>427.02</v>
      </c>
      <c r="DZ20" s="304">
        <v>23236.16</v>
      </c>
      <c r="EA20" s="304">
        <v>41369.25</v>
      </c>
      <c r="EB20" s="304"/>
      <c r="EC20" s="304"/>
      <c r="ED20" s="304">
        <v>8.8000000000000025</v>
      </c>
      <c r="EE20" s="304">
        <v>-1167459</v>
      </c>
      <c r="EF20" s="304">
        <v>-31623</v>
      </c>
      <c r="EG20" s="304"/>
      <c r="EH20" s="304"/>
      <c r="EI20" s="304">
        <v>-117845</v>
      </c>
      <c r="EJ20" s="304"/>
      <c r="EK20" s="304"/>
      <c r="EL20" s="304">
        <v>-15260</v>
      </c>
      <c r="EM20" s="304"/>
      <c r="EN20" s="304">
        <v>-6351.25</v>
      </c>
      <c r="EO20" s="304"/>
      <c r="EP20" s="304">
        <v>-16592</v>
      </c>
      <c r="EQ20" s="304">
        <v>-273622.06</v>
      </c>
      <c r="ER20" s="304"/>
      <c r="ES20" s="304">
        <v>-12734.62</v>
      </c>
      <c r="ET20" s="304"/>
      <c r="EU20" s="304"/>
      <c r="EV20" s="304">
        <v>-97946</v>
      </c>
      <c r="EW20" s="304">
        <v>4056.23</v>
      </c>
      <c r="EX20" s="304">
        <v>600.85</v>
      </c>
      <c r="EY20" s="304">
        <v>-24491.69</v>
      </c>
      <c r="EZ20" s="304">
        <v>-10507</v>
      </c>
      <c r="FA20" s="304">
        <v>-21657</v>
      </c>
      <c r="FB20" s="304"/>
      <c r="FC20" s="304"/>
      <c r="FD20" s="304">
        <v>3193.72</v>
      </c>
      <c r="FE20" s="304">
        <v>4312.0899999999992</v>
      </c>
      <c r="FF20" s="304"/>
      <c r="FG20" s="304"/>
      <c r="FH20" s="304">
        <v>162</v>
      </c>
      <c r="FI20" s="304">
        <v>6844.5300000000016</v>
      </c>
      <c r="FJ20" s="304">
        <v>261</v>
      </c>
      <c r="FK20" s="304">
        <v>5262.4</v>
      </c>
      <c r="FL20" s="304">
        <v>2841.42</v>
      </c>
      <c r="FM20" s="304">
        <v>4568.5</v>
      </c>
      <c r="FN20" s="304">
        <v>560</v>
      </c>
      <c r="FO20" s="304">
        <v>1077.3399999999999</v>
      </c>
      <c r="FP20" s="304">
        <v>731.73</v>
      </c>
      <c r="FQ20" s="304"/>
      <c r="FR20" s="304">
        <v>8103</v>
      </c>
      <c r="FS20" s="304">
        <v>-8103</v>
      </c>
      <c r="FT20" s="304"/>
      <c r="FU20" s="304"/>
      <c r="FV20" s="304"/>
      <c r="FW20" s="304"/>
      <c r="FX20" s="304"/>
      <c r="FY20" s="304">
        <v>-20334.7</v>
      </c>
      <c r="FZ20" s="304"/>
      <c r="GA20" s="304">
        <v>-2225</v>
      </c>
      <c r="GB20" s="304"/>
      <c r="GC20" s="304"/>
      <c r="GD20" s="304">
        <v>-737.5</v>
      </c>
      <c r="GE20" s="304"/>
      <c r="GF20" s="304">
        <v>-60437.8</v>
      </c>
      <c r="GI20">
        <v>-400</v>
      </c>
      <c r="GK20">
        <v>-13600.25</v>
      </c>
    </row>
    <row r="21" spans="1:193">
      <c r="A21" s="116">
        <v>107682</v>
      </c>
      <c r="B21" s="304"/>
      <c r="C21" s="304">
        <v>228792.97</v>
      </c>
      <c r="D21" s="304">
        <v>1879.5500000000002</v>
      </c>
      <c r="E21" s="304"/>
      <c r="F21" s="304">
        <v>68356.77</v>
      </c>
      <c r="G21" s="304">
        <v>31696.629999999997</v>
      </c>
      <c r="H21" s="304">
        <v>6670</v>
      </c>
      <c r="I21" s="304"/>
      <c r="J21" s="304">
        <v>1912.96</v>
      </c>
      <c r="K21" s="304">
        <v>739.26</v>
      </c>
      <c r="L21" s="304"/>
      <c r="M21" s="304"/>
      <c r="N21" s="304"/>
      <c r="O21" s="304"/>
      <c r="P21" s="304"/>
      <c r="Q21" s="304"/>
      <c r="R21" s="304"/>
      <c r="S21" s="304">
        <v>10604.050000000001</v>
      </c>
      <c r="T21" s="304"/>
      <c r="U21" s="304">
        <v>134.96</v>
      </c>
      <c r="V21" s="304">
        <v>1867.22</v>
      </c>
      <c r="W21" s="304">
        <v>282.75</v>
      </c>
      <c r="X21" s="304">
        <v>8177.98</v>
      </c>
      <c r="Y21" s="304">
        <v>3.98</v>
      </c>
      <c r="Z21" s="304"/>
      <c r="AA21" s="304">
        <v>2159.8500000000004</v>
      </c>
      <c r="AB21" s="304">
        <v>342.11000000000007</v>
      </c>
      <c r="AC21" s="304"/>
      <c r="AD21" s="304"/>
      <c r="AE21" s="304"/>
      <c r="AF21" s="304"/>
      <c r="AG21" s="304"/>
      <c r="AH21" s="304">
        <v>107360.56999999999</v>
      </c>
      <c r="AI21" s="304">
        <v>175.48999999999998</v>
      </c>
      <c r="AJ21" s="304">
        <v>2370.02</v>
      </c>
      <c r="AK21" s="304">
        <v>29134.37</v>
      </c>
      <c r="AL21" s="304">
        <v>12148.210000000001</v>
      </c>
      <c r="AM21" s="304"/>
      <c r="AN21" s="304"/>
      <c r="AO21" s="304"/>
      <c r="AP21" s="304"/>
      <c r="AQ21" s="304"/>
      <c r="AR21" s="304"/>
      <c r="AS21" s="304"/>
      <c r="AT21" s="304"/>
      <c r="AU21" s="304">
        <v>25089.94999999999</v>
      </c>
      <c r="AV21" s="304"/>
      <c r="AW21" s="304">
        <v>220.37</v>
      </c>
      <c r="AX21" s="304"/>
      <c r="AY21" s="304">
        <v>6681.71</v>
      </c>
      <c r="AZ21" s="304">
        <v>2631.32</v>
      </c>
      <c r="BA21" s="304"/>
      <c r="BB21" s="304"/>
      <c r="BC21" s="304"/>
      <c r="BD21" s="304"/>
      <c r="BE21" s="304"/>
      <c r="BF21" s="304"/>
      <c r="BG21" s="304"/>
      <c r="BH21" s="304">
        <v>5873.2799999999988</v>
      </c>
      <c r="BI21" s="304"/>
      <c r="BJ21" s="304"/>
      <c r="BK21" s="304"/>
      <c r="BL21" s="304">
        <v>130.42000000000002</v>
      </c>
      <c r="BM21" s="304"/>
      <c r="BN21" s="304"/>
      <c r="BO21" s="304"/>
      <c r="BP21" s="304"/>
      <c r="BQ21" s="304"/>
      <c r="BR21" s="304">
        <v>640</v>
      </c>
      <c r="BS21" s="304"/>
      <c r="BT21" s="304">
        <v>466.76</v>
      </c>
      <c r="BU21" s="304"/>
      <c r="BV21" s="304"/>
      <c r="BW21" s="304">
        <v>2735.8799999999997</v>
      </c>
      <c r="BX21" s="304">
        <v>382</v>
      </c>
      <c r="BY21" s="304">
        <v>2437.5</v>
      </c>
      <c r="BZ21" s="304"/>
      <c r="CA21" s="304"/>
      <c r="CB21" s="304"/>
      <c r="CC21" s="304"/>
      <c r="CD21" s="304">
        <v>256.48</v>
      </c>
      <c r="CE21" s="304">
        <v>8544.27</v>
      </c>
      <c r="CF21" s="304">
        <v>6580.69</v>
      </c>
      <c r="CG21" s="304"/>
      <c r="CH21" s="304">
        <v>3123</v>
      </c>
      <c r="CI21" s="304"/>
      <c r="CJ21" s="304"/>
      <c r="CK21" s="304">
        <v>16342.25</v>
      </c>
      <c r="CL21" s="304">
        <v>2223.5699999999997</v>
      </c>
      <c r="CM21" s="304">
        <v>172.5</v>
      </c>
      <c r="CN21" s="304">
        <v>435.13</v>
      </c>
      <c r="CO21" s="304">
        <v>208.16</v>
      </c>
      <c r="CP21" s="304"/>
      <c r="CQ21" s="304"/>
      <c r="CR21" s="304"/>
      <c r="CS21" s="304"/>
      <c r="CT21" s="304"/>
      <c r="CU21" s="304"/>
      <c r="CV21" s="304">
        <v>620</v>
      </c>
      <c r="CW21" s="304">
        <v>4152</v>
      </c>
      <c r="CX21" s="304"/>
      <c r="CY21" s="304"/>
      <c r="CZ21" s="304">
        <v>2019</v>
      </c>
      <c r="DA21" s="304">
        <v>10107.61</v>
      </c>
      <c r="DB21" s="304">
        <v>33.75</v>
      </c>
      <c r="DC21" s="304"/>
      <c r="DD21" s="304">
        <v>1407.5099999999998</v>
      </c>
      <c r="DE21" s="304">
        <v>345.24</v>
      </c>
      <c r="DF21" s="304">
        <v>3757.5</v>
      </c>
      <c r="DG21" s="304"/>
      <c r="DH21" s="304"/>
      <c r="DI21" s="304"/>
      <c r="DJ21" s="304">
        <v>992.32000000000016</v>
      </c>
      <c r="DK21" s="426"/>
      <c r="DL21" s="304">
        <v>2330</v>
      </c>
      <c r="DM21" s="304"/>
      <c r="DN21" s="304">
        <v>590.92000000000007</v>
      </c>
      <c r="DO21" s="304">
        <v>2325.9300000000003</v>
      </c>
      <c r="DP21" s="304"/>
      <c r="DQ21" s="304"/>
      <c r="DR21" s="304">
        <v>900</v>
      </c>
      <c r="DS21" s="304"/>
      <c r="DT21" s="304"/>
      <c r="DU21" s="304"/>
      <c r="DV21" s="304"/>
      <c r="DW21" s="304">
        <v>962</v>
      </c>
      <c r="DX21" s="304">
        <v>2404.08</v>
      </c>
      <c r="DY21" s="304">
        <v>85.6</v>
      </c>
      <c r="DZ21" s="304">
        <v>23.119999999999997</v>
      </c>
      <c r="EA21" s="304">
        <v>8595</v>
      </c>
      <c r="EB21" s="304"/>
      <c r="EC21" s="304"/>
      <c r="ED21" s="304"/>
      <c r="EE21" s="304">
        <v>-549419.07999999996</v>
      </c>
      <c r="EF21" s="304"/>
      <c r="EG21" s="304"/>
      <c r="EH21" s="304"/>
      <c r="EI21" s="304">
        <v>-20645</v>
      </c>
      <c r="EJ21" s="304"/>
      <c r="EK21" s="304"/>
      <c r="EL21" s="304"/>
      <c r="EM21" s="304">
        <v>-26853.159999999996</v>
      </c>
      <c r="EN21" s="304">
        <v>-4922.5</v>
      </c>
      <c r="EO21" s="304">
        <v>-11243</v>
      </c>
      <c r="EP21" s="304">
        <v>-15302</v>
      </c>
      <c r="EQ21" s="304">
        <v>-98684.15</v>
      </c>
      <c r="ER21" s="304"/>
      <c r="ES21" s="304">
        <v>-13339.53</v>
      </c>
      <c r="ET21" s="304"/>
      <c r="EU21" s="304">
        <v>-24927.5</v>
      </c>
      <c r="EV21" s="304">
        <v>-32787</v>
      </c>
      <c r="EW21" s="304">
        <v>1482.48</v>
      </c>
      <c r="EX21" s="304">
        <v>219.6</v>
      </c>
      <c r="EY21" s="304">
        <v>-15269.6</v>
      </c>
      <c r="EZ21" s="304">
        <v>-4408</v>
      </c>
      <c r="FA21" s="304">
        <v>-8748</v>
      </c>
      <c r="FB21" s="304">
        <v>63.75</v>
      </c>
      <c r="FC21" s="304"/>
      <c r="FD21" s="304">
        <v>1247.4000000000001</v>
      </c>
      <c r="FE21" s="304"/>
      <c r="FF21" s="304">
        <v>17235.789999999997</v>
      </c>
      <c r="FG21" s="304">
        <v>16710.670000000002</v>
      </c>
      <c r="FH21" s="304">
        <v>1329</v>
      </c>
      <c r="FI21" s="304">
        <v>6312.7600000000066</v>
      </c>
      <c r="FJ21" s="304"/>
      <c r="FK21" s="304">
        <v>5284.4</v>
      </c>
      <c r="FL21" s="304">
        <v>1507.42</v>
      </c>
      <c r="FM21" s="304">
        <v>3815</v>
      </c>
      <c r="FN21" s="304">
        <v>560</v>
      </c>
      <c r="FO21" s="304">
        <v>799.84</v>
      </c>
      <c r="FP21" s="304">
        <v>1189.3400000000001</v>
      </c>
      <c r="FQ21" s="304"/>
      <c r="FR21" s="304"/>
      <c r="FS21" s="304"/>
      <c r="FT21" s="304"/>
      <c r="FU21" s="304"/>
      <c r="FV21" s="304"/>
      <c r="FW21" s="304"/>
      <c r="FX21" s="304"/>
      <c r="FY21" s="304">
        <v>-7475.3200000000033</v>
      </c>
      <c r="FZ21" s="304"/>
      <c r="GA21" s="304">
        <v>-2778.7799999999997</v>
      </c>
      <c r="GB21" s="304"/>
      <c r="GC21" s="304">
        <v>130.32</v>
      </c>
      <c r="GD21" s="304"/>
      <c r="GE21" s="304"/>
      <c r="GF21" s="304">
        <v>-9517.7999999999975</v>
      </c>
      <c r="GJ21">
        <v>-1805.86</v>
      </c>
      <c r="GK21">
        <v>-5520.69</v>
      </c>
    </row>
    <row r="22" spans="1:193">
      <c r="A22" s="116">
        <v>107683</v>
      </c>
      <c r="B22" s="304"/>
      <c r="C22" s="304">
        <v>336288.25</v>
      </c>
      <c r="D22" s="304">
        <v>1496.56</v>
      </c>
      <c r="E22" s="304">
        <v>29910</v>
      </c>
      <c r="F22" s="304">
        <v>91072.37000000001</v>
      </c>
      <c r="G22" s="304">
        <v>43871.05</v>
      </c>
      <c r="H22" s="304">
        <v>905.97</v>
      </c>
      <c r="I22" s="304"/>
      <c r="J22" s="304">
        <v>259.83999999999997</v>
      </c>
      <c r="K22" s="304">
        <v>115.75000000000001</v>
      </c>
      <c r="L22" s="304"/>
      <c r="M22" s="304"/>
      <c r="N22" s="304"/>
      <c r="O22" s="304"/>
      <c r="P22" s="304"/>
      <c r="Q22" s="304"/>
      <c r="R22" s="304"/>
      <c r="S22" s="304"/>
      <c r="T22" s="304"/>
      <c r="U22" s="304"/>
      <c r="V22" s="304"/>
      <c r="W22" s="304"/>
      <c r="X22" s="304">
        <v>13009.96</v>
      </c>
      <c r="Y22" s="304">
        <v>147.86000000000001</v>
      </c>
      <c r="Z22" s="304"/>
      <c r="AA22" s="304">
        <v>3013.16</v>
      </c>
      <c r="AB22" s="304">
        <v>632.05999999999995</v>
      </c>
      <c r="AC22" s="304">
        <v>7990.32</v>
      </c>
      <c r="AD22" s="304"/>
      <c r="AE22" s="304">
        <v>8.74</v>
      </c>
      <c r="AF22" s="304">
        <v>2111.73</v>
      </c>
      <c r="AG22" s="304">
        <v>887.12</v>
      </c>
      <c r="AH22" s="304">
        <v>165490.81999999998</v>
      </c>
      <c r="AI22" s="304">
        <v>1409.8999999999999</v>
      </c>
      <c r="AJ22" s="304">
        <v>546.51</v>
      </c>
      <c r="AK22" s="304">
        <v>38654.560000000005</v>
      </c>
      <c r="AL22" s="304">
        <v>18564.989999999998</v>
      </c>
      <c r="AM22" s="304"/>
      <c r="AN22" s="304"/>
      <c r="AO22" s="304"/>
      <c r="AP22" s="304"/>
      <c r="AQ22" s="304"/>
      <c r="AR22" s="304"/>
      <c r="AS22" s="304"/>
      <c r="AT22" s="304"/>
      <c r="AU22" s="304">
        <v>26130</v>
      </c>
      <c r="AV22" s="304"/>
      <c r="AW22" s="304"/>
      <c r="AX22" s="304"/>
      <c r="AY22" s="304">
        <v>8007.1100000000015</v>
      </c>
      <c r="AZ22" s="304">
        <v>3798.8700000000008</v>
      </c>
      <c r="BA22" s="304"/>
      <c r="BB22" s="304"/>
      <c r="BC22" s="304"/>
      <c r="BD22" s="304"/>
      <c r="BE22" s="304"/>
      <c r="BF22" s="304"/>
      <c r="BG22" s="304"/>
      <c r="BH22" s="304">
        <v>11449.68</v>
      </c>
      <c r="BI22" s="304"/>
      <c r="BJ22" s="304"/>
      <c r="BK22" s="304">
        <v>3022.6599999999994</v>
      </c>
      <c r="BL22" s="304">
        <v>1093.83</v>
      </c>
      <c r="BM22" s="304"/>
      <c r="BN22" s="304"/>
      <c r="BO22" s="304"/>
      <c r="BP22" s="304"/>
      <c r="BQ22" s="304"/>
      <c r="BR22" s="304">
        <v>3656.5</v>
      </c>
      <c r="BS22" s="304"/>
      <c r="BT22" s="304"/>
      <c r="BU22" s="304"/>
      <c r="BV22" s="304">
        <v>22501.5</v>
      </c>
      <c r="BW22" s="304">
        <v>17166.120000000003</v>
      </c>
      <c r="BX22" s="304">
        <v>2382.92</v>
      </c>
      <c r="BY22" s="304">
        <v>13135</v>
      </c>
      <c r="BZ22" s="304"/>
      <c r="CA22" s="304"/>
      <c r="CB22" s="304"/>
      <c r="CC22" s="304"/>
      <c r="CD22" s="304">
        <v>1230.97</v>
      </c>
      <c r="CE22" s="304">
        <v>6086.28</v>
      </c>
      <c r="CF22" s="304">
        <v>4801.6500000000005</v>
      </c>
      <c r="CG22" s="304"/>
      <c r="CH22" s="304"/>
      <c r="CI22" s="304">
        <v>1375.9</v>
      </c>
      <c r="CJ22" s="304"/>
      <c r="CK22" s="304">
        <v>15094.75</v>
      </c>
      <c r="CL22" s="304">
        <v>4712.1499999999996</v>
      </c>
      <c r="CM22" s="304"/>
      <c r="CN22" s="304">
        <v>1511.2000000000003</v>
      </c>
      <c r="CO22" s="304">
        <v>185</v>
      </c>
      <c r="CP22" s="304">
        <v>1450</v>
      </c>
      <c r="CQ22" s="304"/>
      <c r="CR22" s="304">
        <v>93.259999999999991</v>
      </c>
      <c r="CS22" s="304"/>
      <c r="CT22" s="304">
        <v>63.9</v>
      </c>
      <c r="CU22" s="304"/>
      <c r="CV22" s="304"/>
      <c r="CW22" s="304"/>
      <c r="CX22" s="304"/>
      <c r="CY22" s="304">
        <v>134.73000000000002</v>
      </c>
      <c r="CZ22" s="304">
        <v>2583</v>
      </c>
      <c r="DA22" s="304">
        <v>11217.14</v>
      </c>
      <c r="DB22" s="304">
        <v>8.1</v>
      </c>
      <c r="DC22" s="304">
        <v>25.5</v>
      </c>
      <c r="DD22" s="304">
        <v>314.25</v>
      </c>
      <c r="DE22" s="304">
        <v>1764.56</v>
      </c>
      <c r="DF22" s="304">
        <v>7846.82</v>
      </c>
      <c r="DG22" s="304">
        <v>58629</v>
      </c>
      <c r="DH22" s="304"/>
      <c r="DI22" s="304"/>
      <c r="DJ22" s="304">
        <v>1167.0200000000002</v>
      </c>
      <c r="DK22" s="426"/>
      <c r="DL22" s="304">
        <v>4573.6499999999996</v>
      </c>
      <c r="DM22" s="304"/>
      <c r="DN22" s="304">
        <v>1222.99</v>
      </c>
      <c r="DO22" s="304">
        <v>10595.07</v>
      </c>
      <c r="DP22" s="304">
        <v>7155.1099999999988</v>
      </c>
      <c r="DQ22" s="304">
        <v>521.49</v>
      </c>
      <c r="DR22" s="304">
        <v>2740</v>
      </c>
      <c r="DS22" s="304"/>
      <c r="DT22" s="304"/>
      <c r="DU22" s="304"/>
      <c r="DV22" s="304"/>
      <c r="DW22" s="304"/>
      <c r="DX22" s="304">
        <v>4374.09</v>
      </c>
      <c r="DY22" s="304">
        <v>174.5</v>
      </c>
      <c r="DZ22" s="304">
        <v>50763.68</v>
      </c>
      <c r="EA22" s="304">
        <v>1575.25</v>
      </c>
      <c r="EB22" s="304"/>
      <c r="EC22" s="304"/>
      <c r="ED22" s="304">
        <v>3.78</v>
      </c>
      <c r="EE22" s="304">
        <v>-798648.89</v>
      </c>
      <c r="EF22" s="304"/>
      <c r="EG22" s="304"/>
      <c r="EH22" s="304"/>
      <c r="EI22" s="304">
        <v>-46755</v>
      </c>
      <c r="EJ22" s="304">
        <v>1861.66</v>
      </c>
      <c r="EK22" s="304">
        <v>-14760</v>
      </c>
      <c r="EL22" s="304">
        <v>-5656.93</v>
      </c>
      <c r="EM22" s="304"/>
      <c r="EN22" s="304">
        <v>-5406.25</v>
      </c>
      <c r="EO22" s="304">
        <v>-56208</v>
      </c>
      <c r="EP22" s="304">
        <v>-15453</v>
      </c>
      <c r="EQ22" s="304">
        <v>-220790.55</v>
      </c>
      <c r="ER22" s="304"/>
      <c r="ES22" s="304">
        <v>-25763.06</v>
      </c>
      <c r="ET22" s="304"/>
      <c r="EU22" s="304"/>
      <c r="EV22" s="304">
        <v>-132584</v>
      </c>
      <c r="EW22" s="304">
        <v>2697.29</v>
      </c>
      <c r="EX22" s="304">
        <v>399.55</v>
      </c>
      <c r="EY22" s="304">
        <v>-17775.650000000001</v>
      </c>
      <c r="EZ22" s="304">
        <v>-6887</v>
      </c>
      <c r="FA22" s="304">
        <v>-13984</v>
      </c>
      <c r="FB22" s="304"/>
      <c r="FC22" s="304"/>
      <c r="FD22" s="304">
        <v>2968.76</v>
      </c>
      <c r="FE22" s="304">
        <v>3642.9399999999987</v>
      </c>
      <c r="FF22" s="304">
        <v>18693.169999999995</v>
      </c>
      <c r="FG22" s="304"/>
      <c r="FH22" s="304"/>
      <c r="FI22" s="304">
        <v>3183.7400000000002</v>
      </c>
      <c r="FJ22" s="304">
        <v>261</v>
      </c>
      <c r="FK22" s="304">
        <v>3630.46</v>
      </c>
      <c r="FL22" s="304">
        <v>1780.8899999999999</v>
      </c>
      <c r="FM22" s="304">
        <v>3471.5</v>
      </c>
      <c r="FN22" s="304">
        <v>560</v>
      </c>
      <c r="FO22" s="304">
        <v>942.61</v>
      </c>
      <c r="FP22" s="304">
        <v>731.7299999999999</v>
      </c>
      <c r="FQ22" s="304"/>
      <c r="FR22" s="304"/>
      <c r="FS22" s="304"/>
      <c r="FT22" s="304"/>
      <c r="FU22" s="304">
        <v>-800</v>
      </c>
      <c r="FV22" s="304"/>
      <c r="FW22" s="304"/>
      <c r="FX22" s="304">
        <v>-1260</v>
      </c>
      <c r="FY22" s="304">
        <v>-2704.2999999999997</v>
      </c>
      <c r="FZ22" s="304"/>
      <c r="GA22" s="304"/>
      <c r="GB22" s="304"/>
      <c r="GC22" s="304"/>
      <c r="GD22" s="304">
        <v>-450</v>
      </c>
      <c r="GE22" s="304"/>
      <c r="GF22" s="304"/>
      <c r="GI22">
        <v>-11104.6</v>
      </c>
      <c r="GK22">
        <v>-12408.08</v>
      </c>
    </row>
    <row r="23" spans="1:193">
      <c r="A23" s="116">
        <v>107686</v>
      </c>
      <c r="B23" s="304"/>
      <c r="C23" s="304">
        <v>456443.1</v>
      </c>
      <c r="D23" s="304">
        <v>25505.269999999997</v>
      </c>
      <c r="E23" s="304">
        <v>15572</v>
      </c>
      <c r="F23" s="304">
        <v>140543.06000000003</v>
      </c>
      <c r="G23" s="304">
        <v>62320.39</v>
      </c>
      <c r="H23" s="304">
        <v>19022.55</v>
      </c>
      <c r="I23" s="304"/>
      <c r="J23" s="304">
        <v>5376.56</v>
      </c>
      <c r="K23" s="304">
        <v>2340.5100000000002</v>
      </c>
      <c r="L23" s="304"/>
      <c r="M23" s="304"/>
      <c r="N23" s="304"/>
      <c r="O23" s="304"/>
      <c r="P23" s="304"/>
      <c r="Q23" s="304"/>
      <c r="R23" s="304"/>
      <c r="S23" s="304">
        <v>30499.769999999997</v>
      </c>
      <c r="T23" s="304">
        <v>2405.5500000000002</v>
      </c>
      <c r="U23" s="304">
        <v>925.5</v>
      </c>
      <c r="V23" s="304">
        <v>6813.12</v>
      </c>
      <c r="W23" s="304">
        <v>2968.96</v>
      </c>
      <c r="X23" s="304">
        <v>30222.52</v>
      </c>
      <c r="Y23" s="304">
        <v>235.3</v>
      </c>
      <c r="Z23" s="304">
        <v>591.25</v>
      </c>
      <c r="AA23" s="304">
        <v>7630.5599999999986</v>
      </c>
      <c r="AB23" s="304">
        <v>3205.57</v>
      </c>
      <c r="AC23" s="304">
        <v>935.61</v>
      </c>
      <c r="AD23" s="304"/>
      <c r="AE23" s="304"/>
      <c r="AF23" s="304">
        <v>246.98</v>
      </c>
      <c r="AG23" s="304">
        <v>11</v>
      </c>
      <c r="AH23" s="304">
        <v>179202.60000000003</v>
      </c>
      <c r="AI23" s="304">
        <v>1643.8899999999999</v>
      </c>
      <c r="AJ23" s="304">
        <v>2326.63</v>
      </c>
      <c r="AK23" s="304">
        <v>49744.63</v>
      </c>
      <c r="AL23" s="304">
        <v>20159.64</v>
      </c>
      <c r="AM23" s="304"/>
      <c r="AN23" s="304"/>
      <c r="AO23" s="304"/>
      <c r="AP23" s="304"/>
      <c r="AQ23" s="304"/>
      <c r="AR23" s="304"/>
      <c r="AS23" s="304"/>
      <c r="AT23" s="304"/>
      <c r="AU23" s="304">
        <v>55838.969999999994</v>
      </c>
      <c r="AV23" s="304">
        <v>298.33</v>
      </c>
      <c r="AW23" s="304"/>
      <c r="AX23" s="304"/>
      <c r="AY23" s="304">
        <v>14523.090000000002</v>
      </c>
      <c r="AZ23" s="304">
        <v>6048.8399999999992</v>
      </c>
      <c r="BA23" s="304"/>
      <c r="BB23" s="304"/>
      <c r="BC23" s="304"/>
      <c r="BD23" s="304"/>
      <c r="BE23" s="304"/>
      <c r="BF23" s="304"/>
      <c r="BG23" s="304"/>
      <c r="BH23" s="304">
        <v>30508.959999999995</v>
      </c>
      <c r="BI23" s="304">
        <v>39.56</v>
      </c>
      <c r="BJ23" s="304">
        <v>1076.5899999999999</v>
      </c>
      <c r="BK23" s="304">
        <v>8054.91</v>
      </c>
      <c r="BL23" s="304">
        <v>2324.91</v>
      </c>
      <c r="BM23" s="304"/>
      <c r="BN23" s="304"/>
      <c r="BO23" s="304"/>
      <c r="BP23" s="304">
        <v>750</v>
      </c>
      <c r="BQ23" s="304"/>
      <c r="BR23" s="304">
        <v>2852.73</v>
      </c>
      <c r="BS23" s="304"/>
      <c r="BT23" s="304">
        <v>-240</v>
      </c>
      <c r="BU23" s="304"/>
      <c r="BV23" s="304"/>
      <c r="BW23" s="304">
        <v>11529.629999999997</v>
      </c>
      <c r="BX23" s="304">
        <v>3249.4399999999996</v>
      </c>
      <c r="BY23" s="304"/>
      <c r="BZ23" s="304"/>
      <c r="CA23" s="304"/>
      <c r="CB23" s="304"/>
      <c r="CC23" s="304"/>
      <c r="CD23" s="304">
        <v>2753.25</v>
      </c>
      <c r="CE23" s="304">
        <v>12247.73</v>
      </c>
      <c r="CF23" s="304">
        <v>7114.09</v>
      </c>
      <c r="CG23" s="304"/>
      <c r="CH23" s="304"/>
      <c r="CI23" s="304"/>
      <c r="CJ23" s="304"/>
      <c r="CK23" s="304">
        <v>7485</v>
      </c>
      <c r="CL23" s="304">
        <v>830.62999999999988</v>
      </c>
      <c r="CM23" s="304">
        <v>353.45</v>
      </c>
      <c r="CN23" s="304">
        <v>2147.41</v>
      </c>
      <c r="CO23" s="304">
        <v>4689.72</v>
      </c>
      <c r="CP23" s="304">
        <v>41.67</v>
      </c>
      <c r="CQ23" s="304"/>
      <c r="CR23" s="304">
        <v>3</v>
      </c>
      <c r="CS23" s="304"/>
      <c r="CT23" s="304"/>
      <c r="CU23" s="304"/>
      <c r="CV23" s="304"/>
      <c r="CW23" s="304"/>
      <c r="CX23" s="304"/>
      <c r="CY23" s="304"/>
      <c r="CZ23" s="304">
        <v>4143</v>
      </c>
      <c r="DA23" s="304">
        <v>30292.970000000016</v>
      </c>
      <c r="DB23" s="304">
        <v>227.86999999999998</v>
      </c>
      <c r="DC23" s="304">
        <v>1670.4</v>
      </c>
      <c r="DD23" s="304">
        <v>2026.3200000000002</v>
      </c>
      <c r="DE23" s="304">
        <v>3995.96</v>
      </c>
      <c r="DF23" s="304">
        <v>13927.770000000004</v>
      </c>
      <c r="DG23" s="304">
        <v>58069.5</v>
      </c>
      <c r="DH23" s="304"/>
      <c r="DI23" s="304">
        <v>64.38</v>
      </c>
      <c r="DJ23" s="304">
        <v>1355.2999999999997</v>
      </c>
      <c r="DK23" s="426"/>
      <c r="DL23" s="304">
        <v>2600</v>
      </c>
      <c r="DM23" s="304">
        <v>180</v>
      </c>
      <c r="DN23" s="304">
        <v>1513.66</v>
      </c>
      <c r="DO23" s="304">
        <v>4974.26</v>
      </c>
      <c r="DP23" s="304">
        <v>538</v>
      </c>
      <c r="DQ23" s="304">
        <v>64.47</v>
      </c>
      <c r="DR23" s="304">
        <v>3062.14</v>
      </c>
      <c r="DS23" s="304"/>
      <c r="DT23" s="304"/>
      <c r="DU23" s="304"/>
      <c r="DV23" s="304"/>
      <c r="DW23" s="304"/>
      <c r="DX23" s="304">
        <v>6911.73</v>
      </c>
      <c r="DY23" s="304">
        <v>174.5</v>
      </c>
      <c r="DZ23" s="304">
        <v>1992.3000000000004</v>
      </c>
      <c r="EA23" s="304">
        <v>19676.7</v>
      </c>
      <c r="EB23" s="304"/>
      <c r="EC23" s="304"/>
      <c r="ED23" s="304"/>
      <c r="EE23" s="304">
        <v>-1059223.5</v>
      </c>
      <c r="EF23" s="304"/>
      <c r="EG23" s="304"/>
      <c r="EH23" s="304">
        <v>-1600</v>
      </c>
      <c r="EI23" s="304">
        <v>-29265</v>
      </c>
      <c r="EJ23" s="304"/>
      <c r="EK23" s="304"/>
      <c r="EL23" s="304">
        <v>-571.29</v>
      </c>
      <c r="EM23" s="304"/>
      <c r="EN23" s="304">
        <v>-6317.5</v>
      </c>
      <c r="EO23" s="304">
        <v>-37068</v>
      </c>
      <c r="EP23" s="304">
        <v>-16302</v>
      </c>
      <c r="EQ23" s="304">
        <v>-106754.46</v>
      </c>
      <c r="ER23" s="304"/>
      <c r="ES23" s="304">
        <v>-9703.82</v>
      </c>
      <c r="ET23" s="304"/>
      <c r="EU23" s="304"/>
      <c r="EV23" s="304">
        <v>-123628</v>
      </c>
      <c r="EW23" s="304">
        <v>4262.13</v>
      </c>
      <c r="EX23" s="304">
        <v>631.35</v>
      </c>
      <c r="EY23" s="304">
        <v>-2368.37</v>
      </c>
      <c r="EZ23" s="304">
        <v>-9541</v>
      </c>
      <c r="FA23" s="304">
        <v>-19573</v>
      </c>
      <c r="FB23" s="304">
        <v>900</v>
      </c>
      <c r="FC23" s="304">
        <v>8928.14</v>
      </c>
      <c r="FD23" s="304"/>
      <c r="FE23" s="304"/>
      <c r="FF23" s="304"/>
      <c r="FG23" s="304">
        <v>44809.78</v>
      </c>
      <c r="FH23" s="304">
        <v>3727.69</v>
      </c>
      <c r="FI23" s="304">
        <v>5950.5300000000061</v>
      </c>
      <c r="FJ23" s="304"/>
      <c r="FK23" s="304">
        <v>2420.3000000000002</v>
      </c>
      <c r="FL23" s="304">
        <v>3495.08</v>
      </c>
      <c r="FM23" s="304">
        <v>2173.5</v>
      </c>
      <c r="FN23" s="304">
        <v>560</v>
      </c>
      <c r="FO23" s="304">
        <v>1118.17</v>
      </c>
      <c r="FP23" s="304"/>
      <c r="FQ23" s="304"/>
      <c r="FR23" s="304"/>
      <c r="FS23" s="304"/>
      <c r="FT23" s="304"/>
      <c r="FU23" s="304"/>
      <c r="FV23" s="304"/>
      <c r="FW23" s="304">
        <v>-10965</v>
      </c>
      <c r="FX23" s="304">
        <v>-11081.63</v>
      </c>
      <c r="FY23" s="304">
        <v>-13458.179999999998</v>
      </c>
      <c r="FZ23" s="304"/>
      <c r="GA23" s="304">
        <v>-2748.81</v>
      </c>
      <c r="GB23" s="304"/>
      <c r="GC23" s="304">
        <v>-2968.78</v>
      </c>
      <c r="GD23" s="304"/>
      <c r="GE23" s="304"/>
      <c r="GF23" s="304">
        <v>-59098.92</v>
      </c>
      <c r="GH23">
        <v>-12</v>
      </c>
      <c r="GI23">
        <v>0</v>
      </c>
      <c r="GK23">
        <v>-5759.27</v>
      </c>
    </row>
    <row r="24" spans="1:193">
      <c r="A24" s="116">
        <v>107691</v>
      </c>
      <c r="B24" s="304"/>
      <c r="C24" s="304">
        <v>298883.94</v>
      </c>
      <c r="D24" s="304"/>
      <c r="E24" s="304">
        <v>13082</v>
      </c>
      <c r="F24" s="304">
        <v>85719.92</v>
      </c>
      <c r="G24" s="304">
        <v>40268.29</v>
      </c>
      <c r="H24" s="304">
        <v>682.9</v>
      </c>
      <c r="I24" s="304"/>
      <c r="J24" s="304">
        <v>195.86</v>
      </c>
      <c r="K24" s="304">
        <v>79.86999999999999</v>
      </c>
      <c r="L24" s="304"/>
      <c r="M24" s="304"/>
      <c r="N24" s="304"/>
      <c r="O24" s="304"/>
      <c r="P24" s="304"/>
      <c r="Q24" s="304"/>
      <c r="R24" s="304"/>
      <c r="S24" s="304"/>
      <c r="T24" s="304"/>
      <c r="U24" s="304"/>
      <c r="V24" s="304"/>
      <c r="W24" s="304"/>
      <c r="X24" s="304">
        <v>7049.2000000000007</v>
      </c>
      <c r="Y24" s="304"/>
      <c r="Z24" s="304">
        <v>833.24</v>
      </c>
      <c r="AA24" s="304">
        <v>861.8</v>
      </c>
      <c r="AB24" s="304">
        <v>318.95999999999998</v>
      </c>
      <c r="AC24" s="304"/>
      <c r="AD24" s="304"/>
      <c r="AE24" s="304"/>
      <c r="AF24" s="304"/>
      <c r="AG24" s="304"/>
      <c r="AH24" s="304">
        <v>118574.49</v>
      </c>
      <c r="AI24" s="304"/>
      <c r="AJ24" s="304">
        <v>4083.37</v>
      </c>
      <c r="AK24" s="304">
        <v>32369.42</v>
      </c>
      <c r="AL24" s="304">
        <v>12563.910000000002</v>
      </c>
      <c r="AM24" s="304"/>
      <c r="AN24" s="304"/>
      <c r="AO24" s="304"/>
      <c r="AP24" s="304"/>
      <c r="AQ24" s="304"/>
      <c r="AR24" s="304"/>
      <c r="AS24" s="304"/>
      <c r="AT24" s="304"/>
      <c r="AU24" s="304">
        <v>47573.240000000005</v>
      </c>
      <c r="AV24" s="304"/>
      <c r="AW24" s="304">
        <v>1337.21</v>
      </c>
      <c r="AX24" s="304"/>
      <c r="AY24" s="304">
        <v>12912.060000000001</v>
      </c>
      <c r="AZ24" s="304">
        <v>5084.6900000000005</v>
      </c>
      <c r="BA24" s="304"/>
      <c r="BB24" s="304"/>
      <c r="BC24" s="304"/>
      <c r="BD24" s="304"/>
      <c r="BE24" s="304"/>
      <c r="BF24" s="304"/>
      <c r="BG24" s="304"/>
      <c r="BH24" s="304">
        <v>3319.6699999999992</v>
      </c>
      <c r="BI24" s="304"/>
      <c r="BJ24" s="304"/>
      <c r="BK24" s="304"/>
      <c r="BL24" s="304"/>
      <c r="BM24" s="304"/>
      <c r="BN24" s="304"/>
      <c r="BO24" s="304"/>
      <c r="BP24" s="304"/>
      <c r="BQ24" s="304"/>
      <c r="BR24" s="304">
        <v>1366.63</v>
      </c>
      <c r="BS24" s="304">
        <v>0</v>
      </c>
      <c r="BT24" s="304">
        <v>747.69</v>
      </c>
      <c r="BU24" s="304">
        <v>212.08</v>
      </c>
      <c r="BV24" s="304"/>
      <c r="BW24" s="304">
        <v>3066.36</v>
      </c>
      <c r="BX24" s="304"/>
      <c r="BY24" s="304">
        <v>1987.67</v>
      </c>
      <c r="BZ24" s="304"/>
      <c r="CA24" s="304"/>
      <c r="CB24" s="304"/>
      <c r="CC24" s="304"/>
      <c r="CD24" s="304">
        <v>583.62</v>
      </c>
      <c r="CE24" s="304">
        <v>3551.2299999999996</v>
      </c>
      <c r="CF24" s="304">
        <v>1956.18</v>
      </c>
      <c r="CG24" s="304"/>
      <c r="CH24" s="304"/>
      <c r="CI24" s="304"/>
      <c r="CJ24" s="304"/>
      <c r="CK24" s="304">
        <v>11227.5</v>
      </c>
      <c r="CL24" s="304">
        <v>1795.02</v>
      </c>
      <c r="CM24" s="304">
        <v>305.53999999999996</v>
      </c>
      <c r="CN24" s="304">
        <v>162.16</v>
      </c>
      <c r="CO24" s="304">
        <v>385.15999999999997</v>
      </c>
      <c r="CP24" s="304">
        <v>1125</v>
      </c>
      <c r="CQ24" s="304"/>
      <c r="CR24" s="304">
        <v>156.57</v>
      </c>
      <c r="CS24" s="304"/>
      <c r="CT24" s="304"/>
      <c r="CU24" s="304"/>
      <c r="CV24" s="304"/>
      <c r="CW24" s="304"/>
      <c r="CX24" s="304"/>
      <c r="CY24" s="304">
        <v>45.08</v>
      </c>
      <c r="CZ24" s="304">
        <v>2405</v>
      </c>
      <c r="DA24" s="304">
        <v>16554.019999999993</v>
      </c>
      <c r="DB24" s="304"/>
      <c r="DC24" s="304"/>
      <c r="DD24" s="304">
        <v>868.23</v>
      </c>
      <c r="DE24" s="304">
        <v>2356.3599999999997</v>
      </c>
      <c r="DF24" s="304">
        <v>23600.789999999997</v>
      </c>
      <c r="DG24" s="304">
        <v>6224.16</v>
      </c>
      <c r="DH24" s="304"/>
      <c r="DI24" s="304">
        <v>16.78</v>
      </c>
      <c r="DJ24" s="304">
        <v>912.91000000000008</v>
      </c>
      <c r="DK24" s="426"/>
      <c r="DL24" s="304">
        <v>545.16</v>
      </c>
      <c r="DM24" s="304"/>
      <c r="DN24" s="304">
        <v>4638.07</v>
      </c>
      <c r="DO24" s="304"/>
      <c r="DP24" s="304"/>
      <c r="DQ24" s="304"/>
      <c r="DR24" s="304"/>
      <c r="DS24" s="304">
        <v>53.68</v>
      </c>
      <c r="DT24" s="304"/>
      <c r="DU24" s="304"/>
      <c r="DV24" s="304">
        <v>287</v>
      </c>
      <c r="DW24" s="304">
        <v>1913</v>
      </c>
      <c r="DX24" s="304">
        <v>3105.27</v>
      </c>
      <c r="DY24" s="304">
        <v>5471.52</v>
      </c>
      <c r="DZ24" s="304">
        <v>420.13000000000011</v>
      </c>
      <c r="EA24" s="304">
        <v>5079.58</v>
      </c>
      <c r="EB24" s="304"/>
      <c r="EC24" s="304"/>
      <c r="ED24" s="304"/>
      <c r="EE24" s="304">
        <v>-583449.04</v>
      </c>
      <c r="EF24" s="304">
        <v>-2259</v>
      </c>
      <c r="EG24" s="304"/>
      <c r="EH24" s="304">
        <v>-750</v>
      </c>
      <c r="EI24" s="304">
        <v>-30900</v>
      </c>
      <c r="EJ24" s="304"/>
      <c r="EK24" s="304"/>
      <c r="EL24" s="304">
        <v>-10568.6</v>
      </c>
      <c r="EM24" s="304"/>
      <c r="EN24" s="304">
        <v>-5125</v>
      </c>
      <c r="EO24" s="304">
        <v>-16158</v>
      </c>
      <c r="EP24" s="304">
        <v>-15450</v>
      </c>
      <c r="EQ24" s="304">
        <v>-55106.55</v>
      </c>
      <c r="ER24" s="304"/>
      <c r="ES24" s="304">
        <v>1352.67</v>
      </c>
      <c r="ET24" s="304"/>
      <c r="EU24" s="304"/>
      <c r="EV24" s="304">
        <v>-45689.45</v>
      </c>
      <c r="EW24" s="304">
        <v>1914.87</v>
      </c>
      <c r="EX24" s="304">
        <v>283.64999999999998</v>
      </c>
      <c r="EY24" s="304">
        <v>-29325.46</v>
      </c>
      <c r="EZ24" s="304">
        <v>-5436</v>
      </c>
      <c r="FA24" s="304">
        <v>-10925</v>
      </c>
      <c r="FB24" s="304">
        <v>2064.75</v>
      </c>
      <c r="FC24" s="304"/>
      <c r="FD24" s="304">
        <v>1289.96</v>
      </c>
      <c r="FE24" s="304"/>
      <c r="FF24" s="304">
        <v>10972.770000000002</v>
      </c>
      <c r="FG24" s="304">
        <v>25096.880000000001</v>
      </c>
      <c r="FH24" s="304">
        <v>3299.45</v>
      </c>
      <c r="FI24" s="304">
        <v>7099.5500000000038</v>
      </c>
      <c r="FJ24" s="304"/>
      <c r="FK24" s="304">
        <v>3265.54</v>
      </c>
      <c r="FL24" s="304">
        <v>1827.58</v>
      </c>
      <c r="FM24" s="304">
        <v>3476.5</v>
      </c>
      <c r="FN24" s="304">
        <v>560</v>
      </c>
      <c r="FO24" s="304">
        <v>258.08</v>
      </c>
      <c r="FP24" s="304">
        <v>550.15</v>
      </c>
      <c r="FQ24" s="304"/>
      <c r="FR24" s="304"/>
      <c r="FS24" s="304"/>
      <c r="FT24" s="304">
        <v>0</v>
      </c>
      <c r="FU24" s="304"/>
      <c r="FV24" s="304"/>
      <c r="FW24" s="304">
        <v>-456</v>
      </c>
      <c r="FX24" s="304">
        <v>-2303.71</v>
      </c>
      <c r="FY24" s="304">
        <v>-4727.7500000000009</v>
      </c>
      <c r="FZ24" s="304"/>
      <c r="GA24" s="304">
        <v>-1291.9699999999998</v>
      </c>
      <c r="GB24" s="304"/>
      <c r="GC24" s="304">
        <v>98.2</v>
      </c>
      <c r="GD24" s="304"/>
      <c r="GE24" s="304"/>
      <c r="GF24" s="304">
        <v>-19239.93</v>
      </c>
      <c r="GI24">
        <v>-20845.07</v>
      </c>
      <c r="GK24">
        <v>-5182.46</v>
      </c>
    </row>
    <row r="25" spans="1:193">
      <c r="A25" s="116">
        <v>107693</v>
      </c>
      <c r="B25" s="304"/>
      <c r="C25" s="304">
        <v>943409.83</v>
      </c>
      <c r="D25" s="304">
        <v>6111.66</v>
      </c>
      <c r="E25" s="304">
        <v>4381</v>
      </c>
      <c r="F25" s="304">
        <v>274158.31999999995</v>
      </c>
      <c r="G25" s="304">
        <v>126229.33000000002</v>
      </c>
      <c r="H25" s="304">
        <v>30988.760000000002</v>
      </c>
      <c r="I25" s="304"/>
      <c r="J25" s="304">
        <v>8455.09</v>
      </c>
      <c r="K25" s="304">
        <v>3219.6400000000003</v>
      </c>
      <c r="L25" s="304"/>
      <c r="M25" s="304"/>
      <c r="N25" s="304"/>
      <c r="O25" s="304"/>
      <c r="P25" s="304"/>
      <c r="Q25" s="304"/>
      <c r="R25" s="304"/>
      <c r="S25" s="304">
        <v>84440.229999999981</v>
      </c>
      <c r="T25" s="304">
        <v>2378.69</v>
      </c>
      <c r="U25" s="304">
        <v>4100.09</v>
      </c>
      <c r="V25" s="304">
        <v>24859.940000000006</v>
      </c>
      <c r="W25" s="304">
        <v>8827.6</v>
      </c>
      <c r="X25" s="304">
        <v>42884.480000000003</v>
      </c>
      <c r="Y25" s="304">
        <v>1199.4999999999998</v>
      </c>
      <c r="Z25" s="304">
        <v>4812.24</v>
      </c>
      <c r="AA25" s="304">
        <v>12090.28</v>
      </c>
      <c r="AB25" s="304">
        <v>2721.7</v>
      </c>
      <c r="AC25" s="304"/>
      <c r="AD25" s="304"/>
      <c r="AE25" s="304"/>
      <c r="AF25" s="304"/>
      <c r="AG25" s="304"/>
      <c r="AH25" s="304">
        <v>268289.99</v>
      </c>
      <c r="AI25" s="304">
        <v>10184.030000000001</v>
      </c>
      <c r="AJ25" s="304">
        <v>10920.720000000001</v>
      </c>
      <c r="AK25" s="304">
        <v>75614.780000000013</v>
      </c>
      <c r="AL25" s="304">
        <v>30646.11</v>
      </c>
      <c r="AM25" s="304"/>
      <c r="AN25" s="304"/>
      <c r="AO25" s="304"/>
      <c r="AP25" s="304"/>
      <c r="AQ25" s="304"/>
      <c r="AR25" s="304"/>
      <c r="AS25" s="304"/>
      <c r="AT25" s="304"/>
      <c r="AU25" s="304">
        <v>101023.8</v>
      </c>
      <c r="AV25" s="304">
        <v>253.47000000000003</v>
      </c>
      <c r="AW25" s="304">
        <v>3326.15</v>
      </c>
      <c r="AX25" s="304">
        <v>6092.17</v>
      </c>
      <c r="AY25" s="304">
        <v>27614.960000000003</v>
      </c>
      <c r="AZ25" s="304">
        <v>12421.930000000002</v>
      </c>
      <c r="BA25" s="304"/>
      <c r="BB25" s="304"/>
      <c r="BC25" s="304"/>
      <c r="BD25" s="304"/>
      <c r="BE25" s="304"/>
      <c r="BF25" s="304"/>
      <c r="BG25" s="304"/>
      <c r="BH25" s="304">
        <v>72730</v>
      </c>
      <c r="BI25" s="304">
        <v>374.97</v>
      </c>
      <c r="BJ25" s="304">
        <v>524.41999999999996</v>
      </c>
      <c r="BK25" s="304">
        <v>19437.61</v>
      </c>
      <c r="BL25" s="304">
        <v>6186.2999999999993</v>
      </c>
      <c r="BM25" s="304"/>
      <c r="BN25" s="304"/>
      <c r="BO25" s="304"/>
      <c r="BP25" s="304"/>
      <c r="BQ25" s="304"/>
      <c r="BR25" s="304">
        <v>2416</v>
      </c>
      <c r="BS25" s="304"/>
      <c r="BT25" s="304"/>
      <c r="BU25" s="304">
        <v>0</v>
      </c>
      <c r="BV25" s="304"/>
      <c r="BW25" s="304">
        <v>21301.77</v>
      </c>
      <c r="BX25" s="304">
        <v>6551.07</v>
      </c>
      <c r="BY25" s="304">
        <v>25872</v>
      </c>
      <c r="BZ25" s="304"/>
      <c r="CA25" s="304"/>
      <c r="CB25" s="304"/>
      <c r="CC25" s="304">
        <v>2333</v>
      </c>
      <c r="CD25" s="304"/>
      <c r="CE25" s="304">
        <v>32830.509999999995</v>
      </c>
      <c r="CF25" s="304">
        <v>2910.86</v>
      </c>
      <c r="CG25" s="304"/>
      <c r="CH25" s="304"/>
      <c r="CI25" s="304">
        <v>772.63</v>
      </c>
      <c r="CJ25" s="304"/>
      <c r="CK25" s="304">
        <v>7822</v>
      </c>
      <c r="CL25" s="304">
        <v>12546.98</v>
      </c>
      <c r="CM25" s="304"/>
      <c r="CN25" s="304"/>
      <c r="CO25" s="304">
        <v>1058.74</v>
      </c>
      <c r="CP25" s="304"/>
      <c r="CQ25" s="304"/>
      <c r="CR25" s="304">
        <v>291.62</v>
      </c>
      <c r="CS25" s="304"/>
      <c r="CT25" s="304">
        <v>10646.81</v>
      </c>
      <c r="CU25" s="304"/>
      <c r="CV25" s="304"/>
      <c r="CW25" s="304"/>
      <c r="CX25" s="304">
        <v>1540</v>
      </c>
      <c r="CY25" s="304"/>
      <c r="CZ25" s="304"/>
      <c r="DA25" s="304">
        <v>77374.710000000021</v>
      </c>
      <c r="DB25" s="304">
        <v>475.16</v>
      </c>
      <c r="DC25" s="304"/>
      <c r="DD25" s="304">
        <v>768.48</v>
      </c>
      <c r="DE25" s="304">
        <v>7293.19</v>
      </c>
      <c r="DF25" s="304">
        <v>4453.82</v>
      </c>
      <c r="DG25" s="304"/>
      <c r="DH25" s="304"/>
      <c r="DI25" s="304">
        <v>77.05</v>
      </c>
      <c r="DJ25" s="304">
        <v>2651.1299999999992</v>
      </c>
      <c r="DK25" s="426"/>
      <c r="DL25" s="304"/>
      <c r="DM25" s="304">
        <v>198</v>
      </c>
      <c r="DN25" s="304"/>
      <c r="DO25" s="304">
        <v>23152.49</v>
      </c>
      <c r="DP25" s="304">
        <v>6142</v>
      </c>
      <c r="DQ25" s="304">
        <v>13980.779999999999</v>
      </c>
      <c r="DR25" s="304">
        <v>6461</v>
      </c>
      <c r="DS25" s="304"/>
      <c r="DT25" s="304"/>
      <c r="DU25" s="304"/>
      <c r="DV25" s="304"/>
      <c r="DW25" s="304"/>
      <c r="DX25" s="304">
        <v>14023.8</v>
      </c>
      <c r="DY25" s="304"/>
      <c r="DZ25" s="304">
        <v>4611.9099999999962</v>
      </c>
      <c r="EA25" s="304">
        <v>76882.5</v>
      </c>
      <c r="EB25" s="304"/>
      <c r="EC25" s="304"/>
      <c r="ED25" s="304"/>
      <c r="EE25" s="304">
        <v>-2088922</v>
      </c>
      <c r="EF25" s="304"/>
      <c r="EG25" s="304"/>
      <c r="EH25" s="304">
        <v>-2400</v>
      </c>
      <c r="EI25" s="304">
        <v>-91185</v>
      </c>
      <c r="EJ25" s="304"/>
      <c r="EK25" s="304"/>
      <c r="EL25" s="304"/>
      <c r="EM25" s="304"/>
      <c r="EN25" s="304">
        <v>-8747.5</v>
      </c>
      <c r="EO25" s="304">
        <v>-77743</v>
      </c>
      <c r="EP25" s="304">
        <v>-17984</v>
      </c>
      <c r="EQ25" s="304">
        <v>-112611.74</v>
      </c>
      <c r="ER25" s="304"/>
      <c r="ES25" s="304">
        <v>-19177.27</v>
      </c>
      <c r="ET25" s="304"/>
      <c r="EU25" s="304"/>
      <c r="EV25" s="304">
        <v>-112850</v>
      </c>
      <c r="EW25" s="304">
        <v>8647.7999999999993</v>
      </c>
      <c r="EX25" s="304">
        <v>1281</v>
      </c>
      <c r="EY25" s="304">
        <v>-4698.8</v>
      </c>
      <c r="EZ25" s="304">
        <v>-18917</v>
      </c>
      <c r="FA25" s="304">
        <v>-39391</v>
      </c>
      <c r="FB25" s="304">
        <v>1347</v>
      </c>
      <c r="FC25" s="304"/>
      <c r="FD25" s="304">
        <v>2268.84</v>
      </c>
      <c r="FE25" s="304">
        <v>9237.66</v>
      </c>
      <c r="FF25" s="304"/>
      <c r="FG25" s="304">
        <v>106337.86</v>
      </c>
      <c r="FH25" s="304">
        <v>1233</v>
      </c>
      <c r="FI25" s="304">
        <v>13132.160000000007</v>
      </c>
      <c r="FJ25" s="304">
        <v>261</v>
      </c>
      <c r="FK25" s="304">
        <v>3556.7200000000003</v>
      </c>
      <c r="FL25" s="304">
        <v>6223.1100000000006</v>
      </c>
      <c r="FM25" s="304">
        <v>3780</v>
      </c>
      <c r="FN25" s="304">
        <v>560</v>
      </c>
      <c r="FO25" s="304">
        <v>1610.2</v>
      </c>
      <c r="FP25" s="304">
        <v>3900.7499999999995</v>
      </c>
      <c r="FQ25" s="304"/>
      <c r="FR25" s="304"/>
      <c r="FS25" s="304"/>
      <c r="FT25" s="304"/>
      <c r="FU25" s="304"/>
      <c r="FV25" s="304"/>
      <c r="FW25" s="304"/>
      <c r="FX25" s="304">
        <v>-38422.559999999998</v>
      </c>
      <c r="FY25" s="304">
        <v>-57617.969999999987</v>
      </c>
      <c r="FZ25" s="304"/>
      <c r="GA25" s="304">
        <v>-2652.4900000000002</v>
      </c>
      <c r="GB25" s="304"/>
      <c r="GC25" s="304">
        <v>31.68</v>
      </c>
      <c r="GD25" s="304">
        <v>-3878</v>
      </c>
      <c r="GE25" s="304"/>
      <c r="GF25" s="304">
        <v>-132000</v>
      </c>
      <c r="GH25">
        <v>-23.67</v>
      </c>
      <c r="GI25">
        <v>-350</v>
      </c>
      <c r="GK25">
        <v>-4963.95</v>
      </c>
    </row>
    <row r="26" spans="1:193">
      <c r="A26" s="116">
        <v>107694</v>
      </c>
      <c r="B26" s="304"/>
      <c r="C26" s="304">
        <v>490405.26</v>
      </c>
      <c r="D26" s="304"/>
      <c r="E26" s="304">
        <v>7714</v>
      </c>
      <c r="F26" s="304">
        <v>140582.21</v>
      </c>
      <c r="G26" s="304">
        <v>65559.099999999991</v>
      </c>
      <c r="H26" s="304">
        <v>221.17</v>
      </c>
      <c r="I26" s="304"/>
      <c r="J26" s="304">
        <v>63.43</v>
      </c>
      <c r="K26" s="304">
        <v>27.37</v>
      </c>
      <c r="L26" s="304"/>
      <c r="M26" s="304"/>
      <c r="N26" s="304"/>
      <c r="O26" s="304"/>
      <c r="P26" s="304"/>
      <c r="Q26" s="304"/>
      <c r="R26" s="304"/>
      <c r="S26" s="304">
        <v>26191.83</v>
      </c>
      <c r="T26" s="304"/>
      <c r="U26" s="304">
        <v>1149.8</v>
      </c>
      <c r="V26" s="304">
        <v>6835.23</v>
      </c>
      <c r="W26" s="304">
        <v>2425.96</v>
      </c>
      <c r="X26" s="304">
        <v>8780.23</v>
      </c>
      <c r="Y26" s="304"/>
      <c r="Z26" s="304">
        <v>30.62</v>
      </c>
      <c r="AA26" s="304">
        <v>1437.5300000000002</v>
      </c>
      <c r="AB26" s="304">
        <v>916.02</v>
      </c>
      <c r="AC26" s="304"/>
      <c r="AD26" s="304"/>
      <c r="AE26" s="304"/>
      <c r="AF26" s="304"/>
      <c r="AG26" s="304"/>
      <c r="AH26" s="304">
        <v>174800.84</v>
      </c>
      <c r="AI26" s="304"/>
      <c r="AJ26" s="304">
        <v>3093.17</v>
      </c>
      <c r="AK26" s="304">
        <v>46244.639999999999</v>
      </c>
      <c r="AL26" s="304">
        <v>18929.28</v>
      </c>
      <c r="AM26" s="304">
        <v>77341.359999999986</v>
      </c>
      <c r="AN26" s="304"/>
      <c r="AO26" s="304">
        <v>855.20999999999992</v>
      </c>
      <c r="AP26" s="304">
        <v>19366.650000000001</v>
      </c>
      <c r="AQ26" s="304">
        <v>8359.49</v>
      </c>
      <c r="AR26" s="304"/>
      <c r="AS26" s="304"/>
      <c r="AT26" s="304"/>
      <c r="AU26" s="304">
        <v>50580.560000000005</v>
      </c>
      <c r="AV26" s="304"/>
      <c r="AW26" s="304">
        <v>1163.99</v>
      </c>
      <c r="AX26" s="304"/>
      <c r="AY26" s="304">
        <v>13588.439999999995</v>
      </c>
      <c r="AZ26" s="304">
        <v>5177.3100000000004</v>
      </c>
      <c r="BA26" s="304">
        <v>1561.2800000000002</v>
      </c>
      <c r="BB26" s="304">
        <v>392.63</v>
      </c>
      <c r="BC26" s="304">
        <v>212.61</v>
      </c>
      <c r="BD26" s="304">
        <v>3391.5999999999995</v>
      </c>
      <c r="BE26" s="304"/>
      <c r="BF26" s="304">
        <v>550.20000000000016</v>
      </c>
      <c r="BG26" s="304">
        <v>338.60999999999996</v>
      </c>
      <c r="BH26" s="304">
        <v>10689.240000000003</v>
      </c>
      <c r="BI26" s="304"/>
      <c r="BJ26" s="304"/>
      <c r="BK26" s="304">
        <v>2821.93</v>
      </c>
      <c r="BL26" s="304">
        <v>917.2199999999998</v>
      </c>
      <c r="BM26" s="304"/>
      <c r="BN26" s="304"/>
      <c r="BO26" s="304"/>
      <c r="BP26" s="304"/>
      <c r="BQ26" s="304"/>
      <c r="BR26" s="304">
        <v>2048</v>
      </c>
      <c r="BS26" s="304"/>
      <c r="BT26" s="304"/>
      <c r="BU26" s="304"/>
      <c r="BV26" s="304">
        <v>2390</v>
      </c>
      <c r="BW26" s="304">
        <v>19462.060000000005</v>
      </c>
      <c r="BX26" s="304">
        <v>3387.97</v>
      </c>
      <c r="BY26" s="304"/>
      <c r="BZ26" s="304"/>
      <c r="CA26" s="304"/>
      <c r="CB26" s="304"/>
      <c r="CC26" s="304">
        <v>991.2</v>
      </c>
      <c r="CD26" s="304">
        <v>803.2700000000001</v>
      </c>
      <c r="CE26" s="304">
        <v>11062.22</v>
      </c>
      <c r="CF26" s="304">
        <v>6589.4400000000005</v>
      </c>
      <c r="CG26" s="304"/>
      <c r="CH26" s="304"/>
      <c r="CI26" s="304">
        <v>610.7199999999998</v>
      </c>
      <c r="CJ26" s="304"/>
      <c r="CK26" s="304">
        <v>3218.55</v>
      </c>
      <c r="CL26" s="304">
        <v>4885.67</v>
      </c>
      <c r="CM26" s="304"/>
      <c r="CN26" s="304">
        <v>15940.399999999996</v>
      </c>
      <c r="CO26" s="304">
        <v>4857.1900000000005</v>
      </c>
      <c r="CP26" s="304"/>
      <c r="CQ26" s="304"/>
      <c r="CR26" s="304"/>
      <c r="CS26" s="304"/>
      <c r="CT26" s="304">
        <v>753</v>
      </c>
      <c r="CU26" s="304"/>
      <c r="CV26" s="304"/>
      <c r="CW26" s="304"/>
      <c r="CX26" s="304"/>
      <c r="CY26" s="304">
        <v>52.2</v>
      </c>
      <c r="CZ26" s="304"/>
      <c r="DA26" s="304">
        <v>9466.4199999999983</v>
      </c>
      <c r="DB26" s="304">
        <v>141.9</v>
      </c>
      <c r="DC26" s="304"/>
      <c r="DD26" s="304">
        <v>823.0200000000001</v>
      </c>
      <c r="DE26" s="304">
        <v>6177.9000000000005</v>
      </c>
      <c r="DF26" s="304">
        <v>1124.7</v>
      </c>
      <c r="DG26" s="304">
        <v>8295</v>
      </c>
      <c r="DH26" s="304"/>
      <c r="DI26" s="304"/>
      <c r="DJ26" s="304">
        <v>1533.5000000000005</v>
      </c>
      <c r="DK26" s="426"/>
      <c r="DL26" s="304">
        <v>2014.19</v>
      </c>
      <c r="DM26" s="304"/>
      <c r="DN26" s="304">
        <v>9677.65</v>
      </c>
      <c r="DO26" s="304">
        <v>7976.63</v>
      </c>
      <c r="DP26" s="304">
        <v>3411.96</v>
      </c>
      <c r="DQ26" s="304">
        <v>69.19</v>
      </c>
      <c r="DR26" s="304">
        <v>2900</v>
      </c>
      <c r="DS26" s="304"/>
      <c r="DT26" s="304"/>
      <c r="DU26" s="304"/>
      <c r="DV26" s="304"/>
      <c r="DW26" s="304">
        <v>7959.02</v>
      </c>
      <c r="DX26" s="304">
        <v>6644.61</v>
      </c>
      <c r="DY26" s="304">
        <v>226.5</v>
      </c>
      <c r="DZ26" s="304">
        <v>32783.430000000008</v>
      </c>
      <c r="EA26" s="304">
        <v>11615.679999999998</v>
      </c>
      <c r="EB26" s="304">
        <v>11810.859999999999</v>
      </c>
      <c r="EC26" s="304"/>
      <c r="ED26" s="304"/>
      <c r="EE26" s="304">
        <v>-1031735.64</v>
      </c>
      <c r="EF26" s="304"/>
      <c r="EG26" s="304"/>
      <c r="EH26" s="304"/>
      <c r="EI26" s="304">
        <v>-49630</v>
      </c>
      <c r="EJ26" s="304"/>
      <c r="EK26" s="304"/>
      <c r="EL26" s="304">
        <v>-3256.93</v>
      </c>
      <c r="EM26" s="304">
        <v>-141245.04</v>
      </c>
      <c r="EN26" s="304"/>
      <c r="EO26" s="304">
        <v>-35588</v>
      </c>
      <c r="EP26" s="304">
        <v>-16208</v>
      </c>
      <c r="EQ26" s="304">
        <v>-45634.66</v>
      </c>
      <c r="ER26" s="304"/>
      <c r="ES26" s="304"/>
      <c r="ET26" s="304"/>
      <c r="EU26" s="304">
        <v>1896.18</v>
      </c>
      <c r="EV26" s="304">
        <v>-73422</v>
      </c>
      <c r="EW26" s="304">
        <v>4097.41</v>
      </c>
      <c r="EX26" s="304">
        <v>606.95000000000005</v>
      </c>
      <c r="EY26" s="304">
        <v>-180</v>
      </c>
      <c r="EZ26" s="304">
        <v>-9806</v>
      </c>
      <c r="FA26" s="304">
        <v>-20153</v>
      </c>
      <c r="FB26" s="304">
        <v>1169.25</v>
      </c>
      <c r="FC26" s="304"/>
      <c r="FD26" s="304">
        <v>1563.56</v>
      </c>
      <c r="FE26" s="304"/>
      <c r="FF26" s="304"/>
      <c r="FG26" s="304"/>
      <c r="FH26" s="304">
        <v>1928</v>
      </c>
      <c r="FI26" s="304">
        <v>6895.2400000000025</v>
      </c>
      <c r="FJ26" s="304"/>
      <c r="FK26" s="304">
        <v>3743.58</v>
      </c>
      <c r="FL26" s="304">
        <v>3134.9</v>
      </c>
      <c r="FM26" s="304">
        <v>4589.5</v>
      </c>
      <c r="FN26" s="304">
        <v>560</v>
      </c>
      <c r="FO26" s="304">
        <v>1081.78</v>
      </c>
      <c r="FP26" s="304"/>
      <c r="FQ26" s="304"/>
      <c r="FR26" s="304"/>
      <c r="FS26" s="304"/>
      <c r="FT26" s="304"/>
      <c r="FU26" s="304"/>
      <c r="FV26" s="304"/>
      <c r="FW26" s="304">
        <v>-2918.4000000000005</v>
      </c>
      <c r="FX26" s="304">
        <v>-17210.09</v>
      </c>
      <c r="FY26" s="304">
        <v>-8380.6100000000042</v>
      </c>
      <c r="FZ26" s="304"/>
      <c r="GA26" s="304">
        <v>-548.80000000000007</v>
      </c>
      <c r="GB26" s="304"/>
      <c r="GC26" s="304">
        <v>-4306.9199999999992</v>
      </c>
      <c r="GD26" s="304">
        <v>-100</v>
      </c>
      <c r="GE26" s="304">
        <v>-1925</v>
      </c>
      <c r="GF26" s="304">
        <v>-35939.97</v>
      </c>
      <c r="GI26">
        <v>0</v>
      </c>
      <c r="GJ26">
        <v>-13000</v>
      </c>
      <c r="GK26">
        <v>-2202</v>
      </c>
    </row>
    <row r="27" spans="1:193">
      <c r="A27" s="116">
        <v>107695</v>
      </c>
      <c r="B27" s="304"/>
      <c r="C27" s="304">
        <v>213345.02000000002</v>
      </c>
      <c r="D27" s="304">
        <v>3440.96</v>
      </c>
      <c r="E27" s="304">
        <v>40329.37999999999</v>
      </c>
      <c r="F27" s="304">
        <v>62778.119999999981</v>
      </c>
      <c r="G27" s="304">
        <v>29353.259999999995</v>
      </c>
      <c r="H27" s="304">
        <v>1065.8600000000001</v>
      </c>
      <c r="I27" s="304"/>
      <c r="J27" s="304">
        <v>336.01</v>
      </c>
      <c r="K27" s="304">
        <v>127.34</v>
      </c>
      <c r="L27" s="304"/>
      <c r="M27" s="304"/>
      <c r="N27" s="304"/>
      <c r="O27" s="304"/>
      <c r="P27" s="304"/>
      <c r="Q27" s="304"/>
      <c r="R27" s="304"/>
      <c r="S27" s="304"/>
      <c r="T27" s="304"/>
      <c r="U27" s="304"/>
      <c r="V27" s="304"/>
      <c r="W27" s="304"/>
      <c r="X27" s="304">
        <v>15933.289999999999</v>
      </c>
      <c r="Y27" s="304">
        <v>958.26</v>
      </c>
      <c r="Z27" s="304">
        <v>298.27</v>
      </c>
      <c r="AA27" s="304">
        <v>3219.9999999999991</v>
      </c>
      <c r="AB27" s="304">
        <v>1563.63</v>
      </c>
      <c r="AC27" s="304"/>
      <c r="AD27" s="304"/>
      <c r="AE27" s="304"/>
      <c r="AF27" s="304"/>
      <c r="AG27" s="304"/>
      <c r="AH27" s="304">
        <v>115436.71</v>
      </c>
      <c r="AI27" s="304">
        <v>3179.4100000000003</v>
      </c>
      <c r="AJ27" s="304">
        <v>1418.33</v>
      </c>
      <c r="AK27" s="304">
        <v>29599.58</v>
      </c>
      <c r="AL27" s="304">
        <v>11985.76</v>
      </c>
      <c r="AM27" s="304">
        <v>26800.26</v>
      </c>
      <c r="AN27" s="304">
        <v>2277.8200000000002</v>
      </c>
      <c r="AO27" s="304"/>
      <c r="AP27" s="304">
        <v>5698.829999999999</v>
      </c>
      <c r="AQ27" s="304">
        <v>3305.4799999999996</v>
      </c>
      <c r="AR27" s="304"/>
      <c r="AS27" s="304"/>
      <c r="AT27" s="304"/>
      <c r="AU27" s="304">
        <v>28884.079999999998</v>
      </c>
      <c r="AV27" s="304">
        <v>427.4</v>
      </c>
      <c r="AW27" s="304">
        <v>916.20999999999992</v>
      </c>
      <c r="AX27" s="304"/>
      <c r="AY27" s="304">
        <v>7979.8</v>
      </c>
      <c r="AZ27" s="304">
        <v>3032.95</v>
      </c>
      <c r="BA27" s="304"/>
      <c r="BB27" s="304"/>
      <c r="BC27" s="304"/>
      <c r="BD27" s="304"/>
      <c r="BE27" s="304"/>
      <c r="BF27" s="304"/>
      <c r="BG27" s="304"/>
      <c r="BH27" s="304">
        <v>2239.0899999999997</v>
      </c>
      <c r="BI27" s="304"/>
      <c r="BJ27" s="304">
        <v>809.72</v>
      </c>
      <c r="BK27" s="304">
        <v>804.80000000000018</v>
      </c>
      <c r="BL27" s="304">
        <v>20.69</v>
      </c>
      <c r="BM27" s="304"/>
      <c r="BN27" s="304"/>
      <c r="BO27" s="304">
        <v>0</v>
      </c>
      <c r="BP27" s="304"/>
      <c r="BQ27" s="304"/>
      <c r="BR27" s="304">
        <v>935</v>
      </c>
      <c r="BS27" s="304"/>
      <c r="BT27" s="304">
        <v>-51.370000000000005</v>
      </c>
      <c r="BU27" s="304">
        <v>-82.64</v>
      </c>
      <c r="BV27" s="304">
        <v>6777.3200000000006</v>
      </c>
      <c r="BW27" s="304">
        <v>3935.84</v>
      </c>
      <c r="BX27" s="304"/>
      <c r="BY27" s="304">
        <v>10620.08</v>
      </c>
      <c r="BZ27" s="304"/>
      <c r="CA27" s="304"/>
      <c r="CB27" s="304"/>
      <c r="CC27" s="304"/>
      <c r="CD27" s="304">
        <v>1659.3200000000002</v>
      </c>
      <c r="CE27" s="304">
        <v>4419.92</v>
      </c>
      <c r="CF27" s="304">
        <v>3186.5099999999998</v>
      </c>
      <c r="CG27" s="304"/>
      <c r="CH27" s="304"/>
      <c r="CI27" s="304"/>
      <c r="CJ27" s="304"/>
      <c r="CK27" s="304">
        <v>12974</v>
      </c>
      <c r="CL27" s="304">
        <v>4514.1099999999988</v>
      </c>
      <c r="CM27" s="304"/>
      <c r="CN27" s="304">
        <v>1505.0500000000002</v>
      </c>
      <c r="CO27" s="304"/>
      <c r="CP27" s="304"/>
      <c r="CQ27" s="304"/>
      <c r="CR27" s="304"/>
      <c r="CS27" s="304"/>
      <c r="CT27" s="304">
        <v>13.21</v>
      </c>
      <c r="CU27" s="304"/>
      <c r="CV27" s="304"/>
      <c r="CW27" s="304"/>
      <c r="CX27" s="304"/>
      <c r="CY27" s="304"/>
      <c r="CZ27" s="304">
        <v>2093</v>
      </c>
      <c r="DA27" s="304">
        <v>9212.1799999999967</v>
      </c>
      <c r="DB27" s="304">
        <v>88.32</v>
      </c>
      <c r="DC27" s="304"/>
      <c r="DD27" s="304">
        <v>57.53</v>
      </c>
      <c r="DE27" s="304">
        <v>2692.5</v>
      </c>
      <c r="DF27" s="304">
        <v>4250.8099999999995</v>
      </c>
      <c r="DG27" s="304">
        <v>16294.210000000001</v>
      </c>
      <c r="DH27" s="304"/>
      <c r="DI27" s="304">
        <v>7.2</v>
      </c>
      <c r="DJ27" s="304">
        <v>1321.14</v>
      </c>
      <c r="DK27" s="426"/>
      <c r="DL27" s="304">
        <v>3606.8199999999997</v>
      </c>
      <c r="DM27" s="304"/>
      <c r="DN27" s="304">
        <v>281.72000000000003</v>
      </c>
      <c r="DO27" s="304">
        <v>1172.51</v>
      </c>
      <c r="DP27" s="304"/>
      <c r="DQ27" s="304"/>
      <c r="DR27" s="304"/>
      <c r="DS27" s="304"/>
      <c r="DT27" s="304"/>
      <c r="DU27" s="304"/>
      <c r="DV27" s="304">
        <v>755.5</v>
      </c>
      <c r="DW27" s="304"/>
      <c r="DX27" s="304">
        <v>2437.4699999999998</v>
      </c>
      <c r="DY27" s="304">
        <v>226.5</v>
      </c>
      <c r="DZ27" s="304"/>
      <c r="EA27" s="304">
        <v>4562.83</v>
      </c>
      <c r="EB27" s="304">
        <v>2943.02</v>
      </c>
      <c r="EC27" s="304"/>
      <c r="ED27" s="304"/>
      <c r="EE27" s="304">
        <v>-531008.06000000006</v>
      </c>
      <c r="EF27" s="304"/>
      <c r="EG27" s="304">
        <v>-1506.64</v>
      </c>
      <c r="EH27" s="304">
        <v>-1374</v>
      </c>
      <c r="EI27" s="304">
        <v>-31000</v>
      </c>
      <c r="EJ27" s="304"/>
      <c r="EK27" s="304"/>
      <c r="EL27" s="304"/>
      <c r="EM27" s="304">
        <v>-51006.9</v>
      </c>
      <c r="EN27" s="304">
        <v>-4900</v>
      </c>
      <c r="EO27" s="304">
        <v>-5616</v>
      </c>
      <c r="EP27" s="304">
        <v>-15277</v>
      </c>
      <c r="EQ27" s="304">
        <v>-41336.58</v>
      </c>
      <c r="ER27" s="304"/>
      <c r="ES27" s="304">
        <v>-9048.61</v>
      </c>
      <c r="ET27" s="304"/>
      <c r="EU27" s="304">
        <v>-1029.99</v>
      </c>
      <c r="EV27" s="304">
        <v>-51039</v>
      </c>
      <c r="EW27" s="304">
        <v>1503.0700000000002</v>
      </c>
      <c r="EX27" s="304">
        <v>222.65</v>
      </c>
      <c r="EY27" s="304">
        <v>-5686.58</v>
      </c>
      <c r="EZ27" s="304">
        <v>-4832</v>
      </c>
      <c r="FA27" s="304">
        <v>-9657</v>
      </c>
      <c r="FB27" s="304">
        <v>935</v>
      </c>
      <c r="FC27" s="304"/>
      <c r="FD27" s="304">
        <v>1241.32</v>
      </c>
      <c r="FE27" s="304">
        <v>3092.9099999999994</v>
      </c>
      <c r="FF27" s="304">
        <v>24974.34</v>
      </c>
      <c r="FG27" s="304">
        <v>15380.71</v>
      </c>
      <c r="FH27" s="304">
        <v>194</v>
      </c>
      <c r="FI27" s="304">
        <v>5217.3800000000019</v>
      </c>
      <c r="FJ27" s="304">
        <v>261</v>
      </c>
      <c r="FK27" s="304">
        <v>2640.74</v>
      </c>
      <c r="FL27" s="304">
        <v>1920.96</v>
      </c>
      <c r="FM27" s="304">
        <v>790</v>
      </c>
      <c r="FN27" s="304">
        <v>945</v>
      </c>
      <c r="FO27" s="304">
        <v>802.06</v>
      </c>
      <c r="FP27" s="304">
        <v>600.2399999999999</v>
      </c>
      <c r="FQ27" s="304"/>
      <c r="FR27" s="304"/>
      <c r="FS27" s="304"/>
      <c r="FT27" s="304"/>
      <c r="FU27" s="304"/>
      <c r="FV27" s="304">
        <v>-1749</v>
      </c>
      <c r="FW27" s="304"/>
      <c r="FX27" s="304">
        <v>-3950.3900000000003</v>
      </c>
      <c r="FY27" s="304">
        <v>-2215.5400000000004</v>
      </c>
      <c r="FZ27" s="304"/>
      <c r="GA27" s="304">
        <v>-573.87</v>
      </c>
      <c r="GB27" s="304"/>
      <c r="GC27" s="304"/>
      <c r="GD27" s="304"/>
      <c r="GE27" s="304"/>
      <c r="GF27" s="304"/>
      <c r="GI27">
        <v>-6662.77</v>
      </c>
      <c r="GJ27">
        <v>-391.2</v>
      </c>
      <c r="GK27">
        <v>-3702.94</v>
      </c>
    </row>
    <row r="28" spans="1:193">
      <c r="A28" s="116"/>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426"/>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row>
    <row r="29" spans="1:193">
      <c r="A29" s="46"/>
    </row>
    <row r="30" spans="1:193">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I44"/>
  <sheetViews>
    <sheetView workbookViewId="0">
      <selection activeCell="A3" sqref="A3:HG39"/>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5" width="9.28515625" bestFit="1" customWidth="1"/>
    <col min="126" max="126" width="9.28515625" style="142" bestFit="1" customWidth="1"/>
    <col min="127"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7"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E03</v>
      </c>
      <c r="R1" s="46" t="str">
        <f>VLOOKUP(R2,'Sch Nums for Downloads'!$P$5:$Q$487,2,FALSE)</f>
        <v>E03</v>
      </c>
      <c r="S1" s="46" t="str">
        <f>VLOOKUP(S2,'Sch Nums for Downloads'!$P$5:$Q$487,2,FALSE)</f>
        <v>E03</v>
      </c>
      <c r="T1" s="46" t="str">
        <f>VLOOKUP(T2,'Sch Nums for Downloads'!$P$5:$Q$487,2,FALSE)</f>
        <v>E03</v>
      </c>
      <c r="U1" s="46" t="str">
        <f>VLOOKUP(U2,'Sch Nums for Downloads'!$P$5:$Q$487,2,FALSE)</f>
        <v>E03</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E07</v>
      </c>
      <c r="AD1" s="46" t="str">
        <f>VLOOKUP(AD2,'Sch Nums for Downloads'!$P$5:$Q$487,2,FALSE)</f>
        <v>E07</v>
      </c>
      <c r="AE1" s="46" t="str">
        <f>VLOOKUP(AE2,'Sch Nums for Downloads'!$P$5:$Q$487,2,FALSE)</f>
        <v>E07</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E03</v>
      </c>
      <c r="AN1" s="46" t="str">
        <f>VLOOKUP(AN2,'Sch Nums for Downloads'!$P$5:$Q$487,2,FALSE)</f>
        <v>E03</v>
      </c>
      <c r="AO1" s="46" t="str">
        <f>VLOOKUP(AO2,'Sch Nums for Downloads'!$P$5:$Q$487,2,FALSE)</f>
        <v>E03</v>
      </c>
      <c r="AP1" s="46" t="str">
        <f>VLOOKUP(AP2,'Sch Nums for Downloads'!$P$5:$Q$487,2,FALSE)</f>
        <v>E31</v>
      </c>
      <c r="AQ1" s="46" t="str">
        <f>VLOOKUP(AQ2,'Sch Nums for Downloads'!$P$5:$Q$487,2,FALSE)</f>
        <v>E31</v>
      </c>
      <c r="AR1" s="46" t="str">
        <f>VLOOKUP(AR2,'Sch Nums for Downloads'!$P$5:$Q$487,2,FALSE)</f>
        <v>E31</v>
      </c>
      <c r="AS1" s="46" t="str">
        <f>VLOOKUP(AS2,'Sch Nums for Downloads'!$P$5:$Q$487,2,FALSE)</f>
        <v>E31</v>
      </c>
      <c r="AT1" s="46" t="str">
        <f>VLOOKUP(AT2,'Sch Nums for Downloads'!$P$5:$Q$487,2,FALSE)</f>
        <v>E31</v>
      </c>
      <c r="AU1" s="46" t="str">
        <f>VLOOKUP(AU2,'Sch Nums for Downloads'!$P$5:$Q$487,2,FALSE)</f>
        <v>E07</v>
      </c>
      <c r="AV1" s="46" t="str">
        <f>VLOOKUP(AV2,'Sch Nums for Downloads'!$P$5:$Q$487,2,FALSE)</f>
        <v>E07</v>
      </c>
      <c r="AW1" s="46" t="str">
        <f>VLOOKUP(AW2,'Sch Nums for Downloads'!$P$5:$Q$487,2,FALSE)</f>
        <v>E07</v>
      </c>
      <c r="AX1" s="46" t="str">
        <f>VLOOKUP(AX2,'Sch Nums for Downloads'!$P$5:$Q$487,2,FALSE)</f>
        <v>E05</v>
      </c>
      <c r="AY1" s="46" t="str">
        <f>VLOOKUP(AY2,'Sch Nums for Downloads'!$P$5:$Q$487,2,FALSE)</f>
        <v>E05</v>
      </c>
      <c r="AZ1" s="46" t="str">
        <f>VLOOKUP(AZ2,'Sch Nums for Downloads'!$P$5:$Q$487,2,FALSE)</f>
        <v>E05</v>
      </c>
      <c r="BA1" s="46" t="str">
        <f>VLOOKUP(BA2,'Sch Nums for Downloads'!$P$5:$Q$487,2,FALSE)</f>
        <v>E28A</v>
      </c>
      <c r="BB1" s="46" t="str">
        <f>VLOOKUP(BB2,'Sch Nums for Downloads'!$P$5:$Q$487,2,FALSE)</f>
        <v>E05</v>
      </c>
      <c r="BC1" s="46" t="str">
        <f>VLOOKUP(BC2,'Sch Nums for Downloads'!$P$5:$Q$487,2,FALSE)</f>
        <v>E05</v>
      </c>
      <c r="BD1" s="46" t="str">
        <f>VLOOKUP(BD2,'Sch Nums for Downloads'!$P$5:$Q$487,2,FALSE)</f>
        <v>E06</v>
      </c>
      <c r="BE1" s="46" t="str">
        <f>VLOOKUP(BE2,'Sch Nums for Downloads'!$P$5:$Q$487,2,FALSE)</f>
        <v>E06</v>
      </c>
      <c r="BF1" s="46" t="str">
        <f>VLOOKUP(BF2,'Sch Nums for Downloads'!$P$5:$Q$487,2,FALSE)</f>
        <v>E06</v>
      </c>
      <c r="BG1" s="46" t="str">
        <f>VLOOKUP(BG2,'Sch Nums for Downloads'!$P$5:$Q$487,2,FALSE)</f>
        <v>E06</v>
      </c>
      <c r="BH1" s="46" t="str">
        <f>VLOOKUP(BH2,'Sch Nums for Downloads'!$P$5:$Q$487,2,FALSE)</f>
        <v>E06</v>
      </c>
      <c r="BI1" s="46" t="str">
        <f>VLOOKUP(BI2,'Sch Nums for Downloads'!$P$5:$Q$487,2,FALSE)</f>
        <v>E04</v>
      </c>
      <c r="BJ1" s="46" t="str">
        <f>VLOOKUP(BJ2,'Sch Nums for Downloads'!$P$5:$Q$487,2,FALSE)</f>
        <v>E04</v>
      </c>
      <c r="BK1" s="46" t="str">
        <f>VLOOKUP(BK2,'Sch Nums for Downloads'!$P$5:$Q$487,2,FALSE)</f>
        <v>E04</v>
      </c>
      <c r="BL1" s="46" t="str">
        <f>VLOOKUP(BL2,'Sch Nums for Downloads'!$P$5:$Q$487,2,FALSE)</f>
        <v>E04</v>
      </c>
      <c r="BM1" s="46" t="str">
        <f>VLOOKUP(BM2,'Sch Nums for Downloads'!$P$5:$Q$487,2,FALSE)</f>
        <v>E04</v>
      </c>
      <c r="BN1" s="46" t="str">
        <f>VLOOKUP(BN2,'Sch Nums for Downloads'!$P$5:$Q$487,2,FALSE)</f>
        <v>E07</v>
      </c>
      <c r="BO1" s="46" t="str">
        <f>VLOOKUP(BO2,'Sch Nums for Downloads'!$P$5:$Q$487,2,FALSE)</f>
        <v>E07</v>
      </c>
      <c r="BP1" s="46" t="str">
        <f>VLOOKUP(BP2,'Sch Nums for Downloads'!$P$5:$Q$487,2,FALSE)</f>
        <v>E07</v>
      </c>
      <c r="BQ1" s="46" t="str">
        <f>VLOOKUP(BQ2,'Sch Nums for Downloads'!$P$5:$Q$487,2,FALSE)</f>
        <v>E07</v>
      </c>
      <c r="BR1" s="46" t="str">
        <f>VLOOKUP(BR2,'Sch Nums for Downloads'!$P$5:$Q$487,2,FALSE)</f>
        <v>E08</v>
      </c>
      <c r="BS1" s="46" t="str">
        <f>VLOOKUP(BS2,'Sch Nums for Downloads'!$P$5:$Q$487,2,FALSE)</f>
        <v>E08</v>
      </c>
      <c r="BT1" s="46" t="str">
        <f>VLOOKUP(BT2,'Sch Nums for Downloads'!$P$5:$Q$487,2,FALSE)</f>
        <v>E08</v>
      </c>
      <c r="BU1" s="46" t="str">
        <f>VLOOKUP(BU2,'Sch Nums for Downloads'!$P$5:$Q$487,2,FALSE)</f>
        <v>E08</v>
      </c>
      <c r="BV1" s="46" t="str">
        <f>VLOOKUP(BV2,'Sch Nums for Downloads'!$P$5:$Q$487,2,FALSE)</f>
        <v>E08</v>
      </c>
      <c r="BW1" s="46" t="str">
        <f>VLOOKUP(BW2,'Sch Nums for Downloads'!$P$5:$Q$487,2,FALSE)</f>
        <v>E08</v>
      </c>
      <c r="BX1" s="46" t="str">
        <f>VLOOKUP(BX2,'Sch Nums for Downloads'!$P$5:$Q$487,2,FALSE)</f>
        <v>E08</v>
      </c>
      <c r="BY1" s="46" t="str">
        <f>VLOOKUP(BY2,'Sch Nums for Downloads'!$P$5:$Q$487,2,FALSE)</f>
        <v>E08</v>
      </c>
      <c r="BZ1" s="46" t="str">
        <f>VLOOKUP(BZ2,'Sch Nums for Downloads'!$P$5:$Q$487,2,FALSE)</f>
        <v>E09</v>
      </c>
      <c r="CA1" s="46" t="str">
        <f>VLOOKUP(CA2,'Sch Nums for Downloads'!$P$5:$Q$487,2,FALSE)</f>
        <v>E11</v>
      </c>
      <c r="CB1" s="46" t="str">
        <f>VLOOKUP(CB2,'Sch Nums for Downloads'!$P$5:$Q$487,2,FALSE)</f>
        <v>E08</v>
      </c>
      <c r="CC1" s="46" t="str">
        <f>VLOOKUP(CC2,'Sch Nums for Downloads'!$P$5:$Q$487,2,FALSE)</f>
        <v>E08</v>
      </c>
      <c r="CD1" s="46" t="str">
        <f>VLOOKUP(CD2,'Sch Nums for Downloads'!$P$5:$Q$487,2,FALSE)</f>
        <v>E08</v>
      </c>
      <c r="CE1" s="46" t="str">
        <f>VLOOKUP(CE2,'Sch Nums for Downloads'!$P$5:$Q$487,2,FALSE)</f>
        <v>E27</v>
      </c>
      <c r="CF1" s="46" t="str">
        <f>VLOOKUP(CF2,'Sch Nums for Downloads'!$P$5:$Q$487,2,FALSE)</f>
        <v>E12</v>
      </c>
      <c r="CG1" s="46" t="str">
        <f>VLOOKUP(CG2,'Sch Nums for Downloads'!$P$5:$Q$487,2,FALSE)</f>
        <v>E13</v>
      </c>
      <c r="CH1" s="46" t="str">
        <f>VLOOKUP(CH2,'Sch Nums for Downloads'!$P$5:$Q$487,2,FALSE)</f>
        <v>CE02</v>
      </c>
      <c r="CI1" s="46" t="str">
        <f>VLOOKUP(CI2,'Sch Nums for Downloads'!$P$5:$Q$487,2,FALSE)</f>
        <v>CE04B</v>
      </c>
      <c r="CJ1" s="46" t="str">
        <f>VLOOKUP(CJ2,'Sch Nums for Downloads'!$P$5:$Q$487,2,FALSE)</f>
        <v>CE04C</v>
      </c>
      <c r="CK1" s="46" t="str">
        <f>VLOOKUP(CK2,'Sch Nums for Downloads'!$P$5:$Q$487,2,FALSE)</f>
        <v>CE04D</v>
      </c>
      <c r="CL1" s="46" t="str">
        <f>VLOOKUP(CL2,'Sch Nums for Downloads'!$P$5:$Q$487,2,FALSE)</f>
        <v>CE02</v>
      </c>
      <c r="CM1" s="46" t="str">
        <f>VLOOKUP(CM2,'Sch Nums for Downloads'!$P$5:$Q$487,2,FALSE)</f>
        <v>E18</v>
      </c>
      <c r="CN1" s="46" t="str">
        <f>VLOOKUP(CN2,'Sch Nums for Downloads'!$P$5:$Q$487,2,FALSE)</f>
        <v>E16</v>
      </c>
      <c r="CO1" s="46" t="str">
        <f>VLOOKUP(CO2,'Sch Nums for Downloads'!$P$5:$Q$487,2,FALSE)</f>
        <v>E16</v>
      </c>
      <c r="CP1" s="46" t="str">
        <f>VLOOKUP(CP2,'Sch Nums for Downloads'!$P$5:$Q$487,2,FALSE)</f>
        <v>E16</v>
      </c>
      <c r="CQ1" s="46" t="str">
        <f>VLOOKUP(CQ2,'Sch Nums for Downloads'!$P$5:$Q$487,2,FALSE)</f>
        <v>E18</v>
      </c>
      <c r="CR1" s="46" t="str">
        <f>VLOOKUP(CR2,'Sch Nums for Downloads'!$P$5:$Q$487,2,FALSE)</f>
        <v>E18</v>
      </c>
      <c r="CS1" s="46" t="str">
        <f>VLOOKUP(CS2,'Sch Nums for Downloads'!$P$5:$Q$487,2,FALSE)</f>
        <v>E18</v>
      </c>
      <c r="CT1" s="46" t="str">
        <f>VLOOKUP(CT2,'Sch Nums for Downloads'!$P$5:$Q$487,2,FALSE)</f>
        <v>E17</v>
      </c>
      <c r="CU1" s="46" t="str">
        <f>VLOOKUP(CU2,'Sch Nums for Downloads'!$P$5:$Q$487,2,FALSE)</f>
        <v>E15</v>
      </c>
      <c r="CV1" s="46" t="str">
        <f>VLOOKUP(CV2,'Sch Nums for Downloads'!$P$5:$Q$487,2,FALSE)</f>
        <v>E18</v>
      </c>
      <c r="CW1" s="46" t="str">
        <f>VLOOKUP(CW2,'Sch Nums for Downloads'!$P$5:$Q$487,2,FALSE)</f>
        <v>E14</v>
      </c>
      <c r="CX1" s="46" t="str">
        <f>VLOOKUP(CX2,'Sch Nums for Downloads'!$P$5:$Q$487,2,FALSE)</f>
        <v>E18</v>
      </c>
      <c r="CY1" s="46" t="str">
        <f>VLOOKUP(CY2,'Sch Nums for Downloads'!$P$5:$Q$487,2,FALSE)</f>
        <v>CE03</v>
      </c>
      <c r="CZ1" s="46" t="str">
        <f>VLOOKUP(CZ2,'Sch Nums for Downloads'!$P$5:$Q$487,2,FALSE)</f>
        <v>E19</v>
      </c>
      <c r="DA1" s="46" t="str">
        <f>VLOOKUP(DA2,'Sch Nums for Downloads'!$P$5:$Q$487,2,FALSE)</f>
        <v>E19</v>
      </c>
      <c r="DB1" s="46" t="str">
        <f>VLOOKUP(DB2,'Sch Nums for Downloads'!$P$5:$Q$487,2,FALSE)</f>
        <v>E19</v>
      </c>
      <c r="DC1" s="46" t="str">
        <f>VLOOKUP(DC2,'Sch Nums for Downloads'!$P$5:$Q$487,2,FALSE)</f>
        <v>E08</v>
      </c>
      <c r="DD1" s="46" t="str">
        <f>VLOOKUP(DD2,'Sch Nums for Downloads'!$P$5:$Q$487,2,FALSE)</f>
        <v>E23</v>
      </c>
      <c r="DE1" s="46" t="str">
        <f>VLOOKUP(DE2,'Sch Nums for Downloads'!$P$5:$Q$487,2,FALSE)</f>
        <v>E22</v>
      </c>
      <c r="DF1" s="46" t="str">
        <f>VLOOKUP(DF2,'Sch Nums for Downloads'!$P$5:$Q$487,2,FALSE)</f>
        <v>CE04A</v>
      </c>
      <c r="DG1" s="46" t="str">
        <f>VLOOKUP(DG2,'Sch Nums for Downloads'!$P$5:$Q$487,2,FALSE)</f>
        <v>CE04B</v>
      </c>
      <c r="DH1" s="46" t="str">
        <f>VLOOKUP(DH2,'Sch Nums for Downloads'!$P$5:$Q$487,2,FALSE)</f>
        <v>CE04D</v>
      </c>
      <c r="DI1" s="46" t="str">
        <f>VLOOKUP(DI2,'Sch Nums for Downloads'!$P$5:$Q$487,2,FALSE)</f>
        <v>CE04E</v>
      </c>
      <c r="DJ1" s="46" t="str">
        <f>VLOOKUP(DJ2,'Sch Nums for Downloads'!$P$5:$Q$487,2,FALSE)</f>
        <v>E19</v>
      </c>
      <c r="DK1" s="46" t="str">
        <f>VLOOKUP(DK2,'Sch Nums for Downloads'!$P$5:$Q$487,2,FALSE)</f>
        <v>E08</v>
      </c>
      <c r="DL1" s="46" t="str">
        <f>VLOOKUP(DL2,'Sch Nums for Downloads'!$P$5:$Q$487,2,FALSE)</f>
        <v>E19</v>
      </c>
      <c r="DM1" s="46" t="str">
        <f>VLOOKUP(DM2,'Sch Nums for Downloads'!$P$5:$Q$487,2,FALSE)</f>
        <v>E22</v>
      </c>
      <c r="DN1" s="46" t="str">
        <f>VLOOKUP(DN2,'Sch Nums for Downloads'!$P$5:$Q$487,2,FALSE)</f>
        <v>E22</v>
      </c>
      <c r="DO1" s="46" t="str">
        <f>VLOOKUP(DO2,'Sch Nums for Downloads'!$P$5:$Q$487,2,FALSE)</f>
        <v>E22</v>
      </c>
      <c r="DP1" s="46" t="str">
        <f>VLOOKUP(DP2,'Sch Nums for Downloads'!$P$5:$Q$487,2,FALSE)</f>
        <v>E19</v>
      </c>
      <c r="DQ1" s="46" t="str">
        <f>VLOOKUP(DQ2,'Sch Nums for Downloads'!$P$5:$Q$487,2,FALSE)</f>
        <v>E28A</v>
      </c>
      <c r="DR1" s="46" t="str">
        <f>VLOOKUP(DR2,'Sch Nums for Downloads'!$P$5:$Q$487,2,FALSE)</f>
        <v>E27</v>
      </c>
      <c r="DS1" s="46" t="str">
        <f>VLOOKUP(DS2,'Sch Nums for Downloads'!$P$5:$Q$487,2,FALSE)</f>
        <v>E21</v>
      </c>
      <c r="DT1" s="46" t="str">
        <f>VLOOKUP(DT2,'Sch Nums for Downloads'!$P$5:$Q$487,2,FALSE)</f>
        <v>E22</v>
      </c>
      <c r="DU1" s="46" t="str">
        <f>VLOOKUP(DU2,'Sch Nums for Downloads'!$P$5:$Q$487,2,FALSE)</f>
        <v>E22</v>
      </c>
      <c r="DV1" s="159" t="str">
        <f>VLOOKUP(DV2,'Sch Nums for Downloads'!$P$5:$Q$487,2,FALSE)</f>
        <v>E22</v>
      </c>
      <c r="DW1" s="46" t="str">
        <f>VLOOKUP(DW2,'Sch Nums for Downloads'!$P$5:$Q$487,2,FALSE)</f>
        <v>E20</v>
      </c>
      <c r="DX1" s="46" t="str">
        <f>VLOOKUP(DX2,'Sch Nums for Downloads'!$P$5:$Q$487,2,FALSE)</f>
        <v>E20A</v>
      </c>
      <c r="DY1" s="46" t="str">
        <f>VLOOKUP(DY2,'Sch Nums for Downloads'!$P$5:$Q$487,2,FALSE)</f>
        <v>E20B</v>
      </c>
      <c r="DZ1" s="46" t="str">
        <f>VLOOKUP(DZ2,'Sch Nums for Downloads'!$P$5:$Q$487,2,FALSE)</f>
        <v>E20</v>
      </c>
      <c r="EA1" s="46" t="str">
        <f>VLOOKUP(EA2,'Sch Nums for Downloads'!$P$5:$Q$487,2,FALSE)</f>
        <v>E20C</v>
      </c>
      <c r="EB1" s="46" t="str">
        <f>VLOOKUP(EB2,'Sch Nums for Downloads'!$P$5:$Q$487,2,FALSE)</f>
        <v>E20D</v>
      </c>
      <c r="EC1" s="46" t="str">
        <f>VLOOKUP(EC2,'Sch Nums for Downloads'!$P$5:$Q$487,2,FALSE)</f>
        <v>E20E</v>
      </c>
      <c r="ED1" s="46" t="str">
        <f>VLOOKUP(ED2,'Sch Nums for Downloads'!$P$5:$Q$487,2,FALSE)</f>
        <v>E20F</v>
      </c>
      <c r="EE1" s="46" t="str">
        <f>VLOOKUP(EE2,'Sch Nums for Downloads'!$P$5:$Q$487,2,FALSE)</f>
        <v>E20G</v>
      </c>
      <c r="EF1" s="46" t="str">
        <f>VLOOKUP(EF2,'Sch Nums for Downloads'!$P$5:$Q$487,2,FALSE)</f>
        <v>E08</v>
      </c>
      <c r="EG1" s="46" t="str">
        <f>VLOOKUP(EG2,'Sch Nums for Downloads'!$P$5:$Q$487,2,FALSE)</f>
        <v>E08</v>
      </c>
      <c r="EH1" s="46" t="str">
        <f>VLOOKUP(EH2,'Sch Nums for Downloads'!$P$5:$Q$487,2,FALSE)</f>
        <v>E19</v>
      </c>
      <c r="EI1" s="46" t="str">
        <f>VLOOKUP(EI2,'Sch Nums for Downloads'!$P$5:$Q$487,2,FALSE)</f>
        <v>E22</v>
      </c>
      <c r="EJ1" s="46" t="str">
        <f>VLOOKUP(EJ2,'Sch Nums for Downloads'!$P$5:$Q$487,2,FALSE)</f>
        <v>E10</v>
      </c>
      <c r="EK1" s="46" t="str">
        <f>VLOOKUP(EK2,'Sch Nums for Downloads'!$P$5:$Q$487,2,FALSE)</f>
        <v>E23</v>
      </c>
      <c r="EL1" s="46" t="str">
        <f>VLOOKUP(EL2,'Sch Nums for Downloads'!$P$5:$Q$487,2,FALSE)</f>
        <v>E19</v>
      </c>
      <c r="EM1" s="46" t="str">
        <f>VLOOKUP(EM2,'Sch Nums for Downloads'!$P$5:$Q$487,2,FALSE)</f>
        <v>E25</v>
      </c>
      <c r="EN1" s="46" t="str">
        <f>VLOOKUP(EN2,'Sch Nums for Downloads'!$P$5:$Q$487,2,FALSE)</f>
        <v>E19</v>
      </c>
      <c r="EO1" s="46" t="str">
        <f>VLOOKUP(EO2,'Sch Nums for Downloads'!$P$5:$Q$487,2,FALSE)</f>
        <v>E24</v>
      </c>
      <c r="EP1" s="46" t="str">
        <f>VLOOKUP(EP2,'Sch Nums for Downloads'!$P$5:$Q$487,2,FALSE)</f>
        <v>E32</v>
      </c>
      <c r="EQ1" s="46" t="str">
        <f>VLOOKUP(EQ2,'Sch Nums for Downloads'!$P$5:$Q$487,2,FALSE)</f>
        <v>E25</v>
      </c>
      <c r="ER1" s="46" t="str">
        <f>VLOOKUP(ER2,'Sch Nums for Downloads'!$P$5:$Q$487,2,FALSE)</f>
        <v>E22</v>
      </c>
      <c r="ES1" s="46" t="str">
        <f>VLOOKUP(ES2,'Sch Nums for Downloads'!$P$5:$Q$487,2,FALSE)</f>
        <v>I01</v>
      </c>
      <c r="ET1" s="46" t="str">
        <f>VLOOKUP(ET2,'Sch Nums for Downloads'!$P$5:$Q$487,2,FALSE)</f>
        <v>I01</v>
      </c>
      <c r="EU1" s="46" t="str">
        <f>VLOOKUP(EU2,'Sch Nums for Downloads'!$P$5:$Q$487,2,FALSE)</f>
        <v>I 08b</v>
      </c>
      <c r="EV1" s="46" t="str">
        <f>VLOOKUP(EV2,'Sch Nums for Downloads'!$P$5:$Q$487,2,FALSE)</f>
        <v>I07</v>
      </c>
      <c r="EW1" s="46" t="str">
        <f>VLOOKUP(EW2,'Sch Nums for Downloads'!$P$5:$Q$487,2,FALSE)</f>
        <v>I05</v>
      </c>
      <c r="EX1" s="46" t="str">
        <f>VLOOKUP(EX2,'Sch Nums for Downloads'!$P$5:$Q$487,2,FALSE)</f>
        <v>I01</v>
      </c>
      <c r="EY1" s="46" t="str">
        <f>VLOOKUP(EY2,'Sch Nums for Downloads'!$P$5:$Q$487,2,FALSE)</f>
        <v>I01</v>
      </c>
      <c r="EZ1" s="46" t="str">
        <f>VLOOKUP(EZ2,'Sch Nums for Downloads'!$P$5:$Q$487,2,FALSE)</f>
        <v>I04</v>
      </c>
      <c r="FA1" s="46" t="str">
        <f>VLOOKUP(FA2,'Sch Nums for Downloads'!$P$5:$Q$487,2,FALSE)</f>
        <v>I06</v>
      </c>
      <c r="FB1" s="46" t="str">
        <f>VLOOKUP(FB2,'Sch Nums for Downloads'!$P$5:$Q$487,2,FALSE)</f>
        <v>I07</v>
      </c>
      <c r="FC1" s="46" t="str">
        <f>VLOOKUP(FC2,'Sch Nums for Downloads'!$P$5:$Q$487,2,FALSE)</f>
        <v>I10</v>
      </c>
      <c r="FD1" s="46" t="str">
        <f>VLOOKUP(FD2,'Sch Nums for Downloads'!$P$5:$Q$487,2,FALSE)</f>
        <v>I16</v>
      </c>
      <c r="FE1" s="46" t="str">
        <f>VLOOKUP(FE2,'Sch Nums for Downloads'!$P$5:$Q$487,2,FALSE)</f>
        <v>CI01</v>
      </c>
      <c r="FF1" s="46" t="str">
        <f>VLOOKUP(FF2,'Sch Nums for Downloads'!$P$5:$Q$487,2,FALSE)</f>
        <v>I06</v>
      </c>
      <c r="FG1" s="46" t="str">
        <f>VLOOKUP(FG2,'Sch Nums for Downloads'!$P$5:$Q$487,2,FALSE)</f>
        <v>I06</v>
      </c>
      <c r="FH1" s="46" t="str">
        <f>VLOOKUP(FH2,'Sch Nums for Downloads'!$P$5:$Q$487,2,FALSE)</f>
        <v>CI01</v>
      </c>
      <c r="FI1" s="46" t="str">
        <f>VLOOKUP(FI2,'Sch Nums for Downloads'!$P$5:$Q$487,2,FALSE)</f>
        <v>B01</v>
      </c>
      <c r="FJ1" s="46" t="str">
        <f>VLOOKUP(FJ2,'Sch Nums for Downloads'!$P$5:$Q$487,2,FALSE)</f>
        <v>B02</v>
      </c>
      <c r="FK1" s="46" t="str">
        <f>VLOOKUP(FK2,'Sch Nums for Downloads'!$P$5:$Q$487,2,FALSE)</f>
        <v>B03</v>
      </c>
      <c r="FL1" s="46" t="str">
        <f>VLOOKUP(FL2,'Sch Nums for Downloads'!$P$5:$Q$487,2,FALSE)</f>
        <v>B05</v>
      </c>
      <c r="FM1" s="46" t="str">
        <f>VLOOKUP(FM2,'Sch Nums for Downloads'!$P$5:$Q$487,2,FALSE)</f>
        <v>B06</v>
      </c>
      <c r="FN1" s="46" t="str">
        <f>VLOOKUP(FN2,'Sch Nums for Downloads'!$P$5:$Q$487,2,FALSE)</f>
        <v>I03</v>
      </c>
      <c r="FO1" s="46" t="str">
        <f>VLOOKUP(FO2,'Sch Nums for Downloads'!$P$5:$Q$487,2,FALSE)</f>
        <v>E23</v>
      </c>
      <c r="FP1" s="46" t="str">
        <f>VLOOKUP(FP2,'Sch Nums for Downloads'!$P$5:$Q$487,2,FALSE)</f>
        <v>E10</v>
      </c>
      <c r="FQ1" s="46" t="str">
        <f>VLOOKUP(FQ2,'Sch Nums for Downloads'!$P$5:$Q$487,2,FALSE)</f>
        <v>B 01_01</v>
      </c>
      <c r="FR1" s="46" t="str">
        <f>VLOOKUP(FR2,'Sch Nums for Downloads'!$P$5:$Q$487,2,FALSE)</f>
        <v>I01</v>
      </c>
      <c r="FS1" s="46" t="str">
        <f>VLOOKUP(FS2,'Sch Nums for Downloads'!$P$5:$Q$487,2,FALSE)</f>
        <v>I01</v>
      </c>
      <c r="FT1" s="46" t="str">
        <f>VLOOKUP(FT2,'Sch Nums for Downloads'!$P$5:$Q$487,2,FALSE)</f>
        <v>E09</v>
      </c>
      <c r="FU1" s="46" t="str">
        <f>VLOOKUP(FU2,'Sch Nums for Downloads'!$P$5:$Q$487,2,FALSE)</f>
        <v>E10</v>
      </c>
      <c r="FV1" s="46" t="str">
        <f>VLOOKUP(FV2,'Sch Nums for Downloads'!$P$5:$Q$487,2,FALSE)</f>
        <v>E11</v>
      </c>
      <c r="FW1" s="46" t="str">
        <f>VLOOKUP(FW2,'Sch Nums for Downloads'!$P$5:$Q$487,2,FALSE)</f>
        <v>E12</v>
      </c>
      <c r="FX1" s="46" t="str">
        <f>VLOOKUP(FX2,'Sch Nums for Downloads'!$P$5:$Q$487,2,FALSE)</f>
        <v>E13</v>
      </c>
      <c r="FY1" s="46" t="str">
        <f>VLOOKUP(FY2,'Sch Nums for Downloads'!$P$5:$Q$487,2,FALSE)</f>
        <v>E14</v>
      </c>
      <c r="FZ1" s="46" t="str">
        <f>VLOOKUP(FZ2,'Sch Nums for Downloads'!$P$5:$Q$487,2,FALSE)</f>
        <v>E25</v>
      </c>
      <c r="GA1" s="46" t="str">
        <f>VLOOKUP(GA2,'Sch Nums for Downloads'!$P$5:$Q$487,2,FALSE)</f>
        <v>E27</v>
      </c>
      <c r="GB1" s="46" t="str">
        <f>VLOOKUP(GB2,'Sch Nums for Downloads'!$P$5:$Q$487,2,FALSE)</f>
        <v>E28A</v>
      </c>
      <c r="GC1" s="46" t="str">
        <f>VLOOKUP(GC2,'Sch Nums for Downloads'!$P$5:$Q$487,2,FALSE)</f>
        <v>E28A</v>
      </c>
      <c r="GD1" s="46" t="str">
        <f>VLOOKUP(GD2,'Sch Nums for Downloads'!$P$5:$Q$487,2,FALSE)</f>
        <v>E28A</v>
      </c>
      <c r="GE1" s="46" t="str">
        <f>VLOOKUP(GE2,'Sch Nums for Downloads'!$P$5:$Q$487,2,FALSE)</f>
        <v>E28A</v>
      </c>
      <c r="GF1" s="46" t="str">
        <f>VLOOKUP(GF2,'Sch Nums for Downloads'!$P$5:$Q$487,2,FALSE)</f>
        <v>E20G</v>
      </c>
      <c r="GG1" s="46" t="str">
        <f>VLOOKUP(GG2,'Sch Nums for Downloads'!$P$5:$Q$487,2,FALSE)</f>
        <v>E28A</v>
      </c>
      <c r="GH1" s="46" t="str">
        <f>VLOOKUP(GH2,'Sch Nums for Downloads'!$P$5:$Q$487,2,FALSE)</f>
        <v>E28A</v>
      </c>
      <c r="GI1" s="46" t="str">
        <f>VLOOKUP(GI2,'Sch Nums for Downloads'!$P$5:$Q$487,2,FALSE)</f>
        <v>E18</v>
      </c>
      <c r="GJ1" s="46" t="str">
        <f>VLOOKUP(GJ2,'Sch Nums for Downloads'!$P$5:$Q$487,2,FALSE)</f>
        <v>E19</v>
      </c>
      <c r="GK1" s="46" t="str">
        <f>VLOOKUP(GK2,'Sch Nums for Downloads'!$P$5:$Q$487,2,FALSE)</f>
        <v>E30</v>
      </c>
      <c r="GL1" s="46" t="str">
        <f>VLOOKUP(GL2,'Sch Nums for Downloads'!$P$5:$Q$487,2,FALSE)</f>
        <v>CI04</v>
      </c>
      <c r="GM1" s="46" t="str">
        <f>VLOOKUP(GM2,'Sch Nums for Downloads'!$P$5:$Q$487,2,FALSE)</f>
        <v>I05</v>
      </c>
      <c r="GN1" s="46" t="str">
        <f>VLOOKUP(GN2,'Sch Nums for Downloads'!$P$5:$Q$487,2,FALSE)</f>
        <v>I06</v>
      </c>
      <c r="GO1" s="46" t="str">
        <f>VLOOKUP(GO2,'Sch Nums for Downloads'!$P$5:$Q$487,2,FALSE)</f>
        <v>I07</v>
      </c>
      <c r="GP1" s="46" t="str">
        <f>VLOOKUP(GP2,'Sch Nums for Downloads'!$P$5:$Q$487,2,FALSE)</f>
        <v>I10</v>
      </c>
      <c r="GQ1" s="46" t="str">
        <f>VLOOKUP(GQ2,'Sch Nums for Downloads'!$P$5:$Q$487,2,FALSE)</f>
        <v>I03</v>
      </c>
      <c r="GR1" s="46" t="str">
        <f>VLOOKUP(GR2,'Sch Nums for Downloads'!$P$5:$Q$487,2,FALSE)</f>
        <v>I13</v>
      </c>
      <c r="GS1" s="46" t="str">
        <f>VLOOKUP(GS2,'Sch Nums for Downloads'!$P$5:$Q$487,2,FALSE)</f>
        <v>I12</v>
      </c>
      <c r="GT1" s="46" t="str">
        <f>VLOOKUP(GT2,'Sch Nums for Downloads'!$P$5:$Q$487,2,FALSE)</f>
        <v>CI01</v>
      </c>
      <c r="GU1" s="46" t="str">
        <f>VLOOKUP(GU2,'Sch Nums for Downloads'!$P$5:$Q$487,2,FALSE)</f>
        <v>I 08b</v>
      </c>
      <c r="GV1" s="46" t="str">
        <f>VLOOKUP(GV2,'Sch Nums for Downloads'!$P$5:$Q$487,2,FALSE)</f>
        <v>I12</v>
      </c>
      <c r="GW1" s="46" t="str">
        <f>VLOOKUP(GW2,'Sch Nums for Downloads'!$P$5:$Q$487,2,FALSE)</f>
        <v>I11</v>
      </c>
      <c r="GX1" s="46" t="str">
        <f>VLOOKUP(GX2,'Sch Nums for Downloads'!$P$5:$Q$487,2,FALSE)</f>
        <v>I09</v>
      </c>
      <c r="GY1" s="46" t="str">
        <f>VLOOKUP(GY2,'Sch Nums for Downloads'!$P$5:$Q$487,2,FALSE)</f>
        <v>I 08b</v>
      </c>
      <c r="GZ1" s="46" t="str">
        <f>VLOOKUP(GZ2,'Sch Nums for Downloads'!$P$5:$Q$487,2,FALSE)</f>
        <v>I 08a</v>
      </c>
      <c r="HA1" s="46" t="str">
        <f>VLOOKUP(HA2,'Sch Nums for Downloads'!$P$5:$Q$487,2,FALSE)</f>
        <v>I 08b</v>
      </c>
      <c r="HB1" s="46" t="str">
        <f>VLOOKUP(HB2,'Sch Nums for Downloads'!$P$5:$Q$487,2,FALSE)</f>
        <v>I 08b</v>
      </c>
      <c r="HC1" s="46" t="str">
        <f>VLOOKUP(HC2,'Sch Nums for Downloads'!$P$5:$Q$487,2,FALSE)</f>
        <v>I 08b</v>
      </c>
      <c r="HD1" s="46" t="str">
        <f>VLOOKUP(HD2,'Sch Nums for Downloads'!$P$5:$Q$487,2,FALSE)</f>
        <v>I 08b</v>
      </c>
      <c r="HE1" s="46" t="str">
        <f>VLOOKUP(HE2,'Sch Nums for Downloads'!$P$5:$Q$487,2,FALSE)</f>
        <v>I17</v>
      </c>
      <c r="HF1" s="46" t="str">
        <f>VLOOKUP(HF2,'Sch Nums for Downloads'!$P$5:$Q$487,2,FALSE)</f>
        <v>I17</v>
      </c>
      <c r="HG1" s="46" t="str">
        <f>VLOOKUP(HG2,'Sch Nums for Downloads'!$P$5:$Q$487,2,FALSE)</f>
        <v>I 08b</v>
      </c>
    </row>
    <row r="2" spans="1:217" s="408" customFormat="1">
      <c r="A2" s="408" t="s">
        <v>440</v>
      </c>
      <c r="B2" s="408">
        <v>10011</v>
      </c>
      <c r="C2" s="408">
        <v>10101</v>
      </c>
      <c r="D2" s="408">
        <v>10102</v>
      </c>
      <c r="E2" s="408">
        <v>10105</v>
      </c>
      <c r="F2" s="408">
        <v>10108</v>
      </c>
      <c r="G2" s="408">
        <v>10109</v>
      </c>
      <c r="H2" s="408">
        <v>10111</v>
      </c>
      <c r="I2" s="408">
        <v>10112</v>
      </c>
      <c r="J2" s="408">
        <v>10118</v>
      </c>
      <c r="K2" s="408">
        <v>10119</v>
      </c>
      <c r="L2" s="408">
        <v>10121</v>
      </c>
      <c r="M2" s="408">
        <v>10138</v>
      </c>
      <c r="N2" s="408">
        <v>10151</v>
      </c>
      <c r="O2" s="408">
        <v>10152</v>
      </c>
      <c r="P2" s="408">
        <v>10154</v>
      </c>
      <c r="Q2" s="408">
        <v>10158</v>
      </c>
      <c r="R2" s="408">
        <v>10159</v>
      </c>
      <c r="S2" s="408">
        <v>10161</v>
      </c>
      <c r="T2" s="408">
        <v>10168</v>
      </c>
      <c r="U2" s="408">
        <v>10169</v>
      </c>
      <c r="V2" s="408">
        <v>10181</v>
      </c>
      <c r="W2" s="408">
        <v>10182</v>
      </c>
      <c r="X2" s="408">
        <v>10184</v>
      </c>
      <c r="Y2" s="408">
        <v>10188</v>
      </c>
      <c r="Z2" s="408">
        <v>10189</v>
      </c>
      <c r="AA2" s="408">
        <v>10191</v>
      </c>
      <c r="AB2" s="408">
        <v>10192</v>
      </c>
      <c r="AC2" s="408">
        <v>10194</v>
      </c>
      <c r="AD2" s="408">
        <v>10198</v>
      </c>
      <c r="AE2" s="408">
        <v>10199</v>
      </c>
      <c r="AF2" s="408">
        <v>10201</v>
      </c>
      <c r="AG2" s="408">
        <v>10202</v>
      </c>
      <c r="AH2" s="408">
        <v>10204</v>
      </c>
      <c r="AI2" s="408">
        <v>10208</v>
      </c>
      <c r="AJ2" s="408">
        <v>10209</v>
      </c>
      <c r="AK2" s="408">
        <v>10231</v>
      </c>
      <c r="AL2" s="408">
        <v>10232</v>
      </c>
      <c r="AM2" s="408">
        <v>10234</v>
      </c>
      <c r="AN2" s="408">
        <v>10238</v>
      </c>
      <c r="AO2" s="408">
        <v>10239</v>
      </c>
      <c r="AP2" s="408">
        <v>10241</v>
      </c>
      <c r="AQ2" s="408">
        <v>10242</v>
      </c>
      <c r="AR2" s="408">
        <v>10244</v>
      </c>
      <c r="AS2" s="408">
        <v>10248</v>
      </c>
      <c r="AT2" s="408">
        <v>10249</v>
      </c>
      <c r="AU2" s="408">
        <v>10281</v>
      </c>
      <c r="AV2" s="408">
        <v>10288</v>
      </c>
      <c r="AW2" s="408">
        <v>10289</v>
      </c>
      <c r="AX2" s="408">
        <v>10831</v>
      </c>
      <c r="AY2" s="408">
        <v>10832</v>
      </c>
      <c r="AZ2" s="408">
        <v>10834</v>
      </c>
      <c r="BA2" s="408">
        <v>10835</v>
      </c>
      <c r="BB2" s="408">
        <v>10838</v>
      </c>
      <c r="BC2" s="408">
        <v>10839</v>
      </c>
      <c r="BD2" s="408">
        <v>10851</v>
      </c>
      <c r="BE2" s="408">
        <v>10852</v>
      </c>
      <c r="BF2" s="408">
        <v>10854</v>
      </c>
      <c r="BG2" s="408">
        <v>10858</v>
      </c>
      <c r="BH2" s="408">
        <v>10859</v>
      </c>
      <c r="BI2" s="408">
        <v>10861</v>
      </c>
      <c r="BJ2" s="408">
        <v>10862</v>
      </c>
      <c r="BK2" s="408">
        <v>10864</v>
      </c>
      <c r="BL2" s="408">
        <v>10868</v>
      </c>
      <c r="BM2" s="408">
        <v>10869</v>
      </c>
      <c r="BN2" s="408">
        <v>10901</v>
      </c>
      <c r="BO2" s="408">
        <v>10908</v>
      </c>
      <c r="BP2" s="408">
        <v>10909</v>
      </c>
      <c r="BQ2" s="408">
        <v>11010</v>
      </c>
      <c r="BR2" s="408">
        <v>11020</v>
      </c>
      <c r="BS2" s="408">
        <v>11030</v>
      </c>
      <c r="BT2" s="408">
        <v>11050</v>
      </c>
      <c r="BU2" s="408">
        <v>11080</v>
      </c>
      <c r="BV2" s="408">
        <v>11090</v>
      </c>
      <c r="BW2" s="408">
        <v>11100</v>
      </c>
      <c r="BX2" s="408">
        <v>11120</v>
      </c>
      <c r="BY2" s="408">
        <v>11125</v>
      </c>
      <c r="BZ2" s="408">
        <v>11150</v>
      </c>
      <c r="CA2" s="408">
        <v>11170</v>
      </c>
      <c r="CB2" s="408">
        <v>11720</v>
      </c>
      <c r="CC2" s="408">
        <v>11770</v>
      </c>
      <c r="CD2" s="408">
        <v>11775</v>
      </c>
      <c r="CE2" s="408">
        <v>13035</v>
      </c>
      <c r="CF2" s="408">
        <v>20060</v>
      </c>
      <c r="CG2" s="408">
        <v>20110</v>
      </c>
      <c r="CH2" s="408">
        <v>20130</v>
      </c>
      <c r="CI2" s="408">
        <v>20142</v>
      </c>
      <c r="CJ2" s="408">
        <v>20143</v>
      </c>
      <c r="CK2" s="408">
        <v>20144</v>
      </c>
      <c r="CL2" s="408">
        <v>20190</v>
      </c>
      <c r="CM2" s="408">
        <v>20200</v>
      </c>
      <c r="CN2" s="408">
        <v>21010</v>
      </c>
      <c r="CO2" s="408">
        <v>21020</v>
      </c>
      <c r="CP2" s="408">
        <v>21030</v>
      </c>
      <c r="CQ2" s="408">
        <v>22000</v>
      </c>
      <c r="CR2" s="408">
        <v>22030</v>
      </c>
      <c r="CS2" s="408">
        <v>22050</v>
      </c>
      <c r="CT2" s="408">
        <v>22400</v>
      </c>
      <c r="CU2" s="408">
        <v>22700</v>
      </c>
      <c r="CV2" s="408">
        <v>23020</v>
      </c>
      <c r="CW2" s="408">
        <v>25020</v>
      </c>
      <c r="CX2" s="408">
        <v>25030</v>
      </c>
      <c r="CY2" s="408">
        <v>30010</v>
      </c>
      <c r="CZ2" s="408">
        <v>30070</v>
      </c>
      <c r="DA2" s="408">
        <v>30120</v>
      </c>
      <c r="DB2" s="408">
        <v>30160</v>
      </c>
      <c r="DC2" s="408">
        <v>33020</v>
      </c>
      <c r="DD2" s="408">
        <v>34010</v>
      </c>
      <c r="DE2" s="408">
        <v>40000</v>
      </c>
      <c r="DF2" s="408">
        <v>40002</v>
      </c>
      <c r="DG2" s="408">
        <v>40003</v>
      </c>
      <c r="DH2" s="408">
        <v>40005</v>
      </c>
      <c r="DI2" s="408">
        <v>40006</v>
      </c>
      <c r="DJ2" s="408">
        <v>40280</v>
      </c>
      <c r="DK2" s="408">
        <v>40450</v>
      </c>
      <c r="DL2" s="408">
        <v>40510</v>
      </c>
      <c r="DM2" s="408">
        <v>40540</v>
      </c>
      <c r="DN2" s="408">
        <v>41500</v>
      </c>
      <c r="DO2" s="408">
        <v>42000</v>
      </c>
      <c r="DP2" s="408">
        <v>42040</v>
      </c>
      <c r="DQ2" s="408">
        <v>43010</v>
      </c>
      <c r="DR2" s="408">
        <v>43040</v>
      </c>
      <c r="DS2" s="408">
        <v>43120</v>
      </c>
      <c r="DT2" s="408">
        <v>44000</v>
      </c>
      <c r="DU2" s="107">
        <v>44100</v>
      </c>
      <c r="DV2" s="427">
        <v>44200</v>
      </c>
      <c r="DW2" s="408">
        <v>44280</v>
      </c>
      <c r="DX2" s="408">
        <v>44281</v>
      </c>
      <c r="DY2" s="408">
        <v>44282</v>
      </c>
      <c r="DZ2" s="408">
        <v>44600</v>
      </c>
      <c r="EA2" s="408">
        <v>44601</v>
      </c>
      <c r="EB2" s="408">
        <v>44602</v>
      </c>
      <c r="EC2" s="408">
        <v>44603</v>
      </c>
      <c r="ED2" s="408">
        <v>44604</v>
      </c>
      <c r="EE2" s="408">
        <v>44605</v>
      </c>
      <c r="EF2" s="408">
        <v>45010</v>
      </c>
      <c r="EG2" s="408">
        <v>45011</v>
      </c>
      <c r="EH2" s="408">
        <v>46010</v>
      </c>
      <c r="EI2" s="408">
        <v>47710</v>
      </c>
      <c r="EJ2" s="408">
        <v>47733</v>
      </c>
      <c r="EK2" s="408">
        <v>47735</v>
      </c>
      <c r="EL2" s="408">
        <v>47740</v>
      </c>
      <c r="EM2" s="408">
        <v>47780</v>
      </c>
      <c r="EN2" s="408">
        <v>47820</v>
      </c>
      <c r="EO2" s="408">
        <v>47840</v>
      </c>
      <c r="EP2" s="408">
        <v>47850</v>
      </c>
      <c r="EQ2" s="408">
        <v>57040</v>
      </c>
      <c r="ER2" s="408">
        <v>61840</v>
      </c>
      <c r="ES2" s="408">
        <v>73000</v>
      </c>
      <c r="ET2" s="408">
        <v>73002</v>
      </c>
      <c r="EU2" s="408">
        <v>73003</v>
      </c>
      <c r="EV2" s="408">
        <v>73004</v>
      </c>
      <c r="EW2" s="408">
        <v>73007</v>
      </c>
      <c r="EX2" s="408">
        <v>73011</v>
      </c>
      <c r="EY2" s="408">
        <v>73012</v>
      </c>
      <c r="EZ2" s="408">
        <v>73016</v>
      </c>
      <c r="FA2" s="408">
        <v>73023</v>
      </c>
      <c r="FB2" s="408">
        <v>73025</v>
      </c>
      <c r="FC2" s="408">
        <v>73026</v>
      </c>
      <c r="FD2" s="408">
        <v>73030</v>
      </c>
      <c r="FE2" s="408">
        <v>73031</v>
      </c>
      <c r="FF2" s="408">
        <v>73032</v>
      </c>
      <c r="FG2" s="408">
        <v>73033</v>
      </c>
      <c r="FH2" s="408">
        <v>73036</v>
      </c>
      <c r="FI2" s="408">
        <v>73037</v>
      </c>
      <c r="FJ2" s="408">
        <v>73038</v>
      </c>
      <c r="FK2" s="408">
        <v>73039</v>
      </c>
      <c r="FL2" s="408">
        <v>73041</v>
      </c>
      <c r="FM2" s="408">
        <v>73042</v>
      </c>
      <c r="FN2" s="408">
        <v>73050</v>
      </c>
      <c r="FO2" s="408">
        <v>73051</v>
      </c>
      <c r="FP2" s="408">
        <v>73052</v>
      </c>
      <c r="FQ2" s="408">
        <v>73056</v>
      </c>
      <c r="FR2" s="408">
        <v>73066</v>
      </c>
      <c r="FS2" s="408">
        <v>73068</v>
      </c>
      <c r="FT2" s="408">
        <v>73621</v>
      </c>
      <c r="FU2" s="408">
        <v>73622</v>
      </c>
      <c r="FV2" s="408">
        <v>73623</v>
      </c>
      <c r="FW2" s="408">
        <v>73624</v>
      </c>
      <c r="FX2" s="408">
        <v>73625</v>
      </c>
      <c r="FY2" s="408">
        <v>73626</v>
      </c>
      <c r="FZ2" s="408">
        <v>73627</v>
      </c>
      <c r="GA2" s="408">
        <v>73628</v>
      </c>
      <c r="GB2" s="408">
        <v>73629</v>
      </c>
      <c r="GC2" s="408">
        <v>73630</v>
      </c>
      <c r="GD2" s="408">
        <v>73631</v>
      </c>
      <c r="GE2" s="408">
        <v>73632</v>
      </c>
      <c r="GF2" s="408">
        <v>73633</v>
      </c>
      <c r="GG2" s="408">
        <v>73634</v>
      </c>
      <c r="GH2" s="408">
        <v>73635</v>
      </c>
      <c r="GI2" s="408">
        <v>73636</v>
      </c>
      <c r="GJ2" s="408">
        <v>73650</v>
      </c>
      <c r="GK2" s="408">
        <v>75500</v>
      </c>
      <c r="GL2" s="408">
        <v>79101</v>
      </c>
      <c r="GM2" s="408">
        <v>80001</v>
      </c>
      <c r="GN2" s="408">
        <v>80006</v>
      </c>
      <c r="GO2" s="408">
        <v>80907</v>
      </c>
      <c r="GP2" s="408">
        <v>81101</v>
      </c>
      <c r="GQ2" s="408">
        <v>81200</v>
      </c>
      <c r="GR2" s="408">
        <v>81304</v>
      </c>
      <c r="GS2" s="408">
        <v>81305</v>
      </c>
      <c r="GT2" s="408">
        <v>81306</v>
      </c>
      <c r="GU2" s="408">
        <v>81309</v>
      </c>
      <c r="GV2" s="408">
        <v>81315</v>
      </c>
      <c r="GW2" s="408">
        <v>81409</v>
      </c>
      <c r="GX2" s="408">
        <v>82000</v>
      </c>
      <c r="GY2" s="408">
        <v>82300</v>
      </c>
      <c r="GZ2" s="408">
        <v>82306</v>
      </c>
      <c r="HA2" s="408">
        <v>82312</v>
      </c>
      <c r="HB2" s="408">
        <v>82400</v>
      </c>
      <c r="HC2" s="408">
        <v>82538</v>
      </c>
      <c r="HD2" s="408">
        <v>82700</v>
      </c>
      <c r="HE2" s="408">
        <v>82716</v>
      </c>
      <c r="HF2" s="408">
        <v>82719</v>
      </c>
      <c r="HG2" s="408">
        <v>83003</v>
      </c>
      <c r="HI2" s="408" t="s">
        <v>1004</v>
      </c>
    </row>
    <row r="3" spans="1:217">
      <c r="A3" s="116">
        <v>107709</v>
      </c>
      <c r="B3" s="304"/>
      <c r="C3" s="304">
        <v>258960.84000000003</v>
      </c>
      <c r="D3" s="304">
        <v>11110.289999999999</v>
      </c>
      <c r="E3" s="304">
        <v>9148.5</v>
      </c>
      <c r="F3" s="304">
        <v>57903.279999999984</v>
      </c>
      <c r="G3" s="304">
        <v>26131.07</v>
      </c>
      <c r="H3" s="304">
        <v>14668.900000000001</v>
      </c>
      <c r="I3" s="304"/>
      <c r="J3" s="304">
        <v>4207.0300000000007</v>
      </c>
      <c r="K3" s="304">
        <v>1544.3100000000002</v>
      </c>
      <c r="L3" s="304">
        <v>0</v>
      </c>
      <c r="M3" s="304"/>
      <c r="N3" s="304"/>
      <c r="O3" s="304"/>
      <c r="P3" s="304"/>
      <c r="Q3" s="304"/>
      <c r="R3" s="304"/>
      <c r="S3" s="304"/>
      <c r="T3" s="304"/>
      <c r="U3" s="304"/>
      <c r="V3" s="304">
        <v>7251.7</v>
      </c>
      <c r="W3" s="304">
        <v>4.62</v>
      </c>
      <c r="X3" s="304"/>
      <c r="Y3" s="304">
        <v>1048.2</v>
      </c>
      <c r="Z3" s="304">
        <v>550.14</v>
      </c>
      <c r="AA3" s="304">
        <v>15512.82</v>
      </c>
      <c r="AB3" s="304">
        <v>185.85</v>
      </c>
      <c r="AC3" s="304">
        <v>154.04000000000002</v>
      </c>
      <c r="AD3" s="304">
        <v>1883.42</v>
      </c>
      <c r="AE3" s="304">
        <v>947.1400000000001</v>
      </c>
      <c r="AF3" s="304"/>
      <c r="AG3" s="304"/>
      <c r="AH3" s="304"/>
      <c r="AI3" s="304"/>
      <c r="AJ3" s="304"/>
      <c r="AK3" s="304">
        <v>71805.580000000016</v>
      </c>
      <c r="AL3" s="304">
        <v>740.2299999999999</v>
      </c>
      <c r="AM3" s="304">
        <v>734.0100000000001</v>
      </c>
      <c r="AN3" s="304">
        <v>19313.230000000003</v>
      </c>
      <c r="AO3" s="304">
        <v>7383.4400000000005</v>
      </c>
      <c r="AP3" s="304">
        <v>31779.05</v>
      </c>
      <c r="AQ3" s="304">
        <v>1251.3599999999999</v>
      </c>
      <c r="AR3" s="304">
        <v>604.55999999999995</v>
      </c>
      <c r="AS3" s="304">
        <v>8518.68</v>
      </c>
      <c r="AT3" s="304">
        <v>3581.09</v>
      </c>
      <c r="AU3" s="304"/>
      <c r="AV3" s="304"/>
      <c r="AW3" s="304"/>
      <c r="AX3" s="304">
        <v>35667.72</v>
      </c>
      <c r="AY3" s="304">
        <v>70.34</v>
      </c>
      <c r="AZ3" s="304">
        <v>449.15000000000003</v>
      </c>
      <c r="BA3" s="304">
        <v>382</v>
      </c>
      <c r="BB3" s="304">
        <v>8841.0500000000011</v>
      </c>
      <c r="BC3" s="304">
        <v>3864.95</v>
      </c>
      <c r="BD3" s="304"/>
      <c r="BE3" s="304"/>
      <c r="BF3" s="304"/>
      <c r="BG3" s="304"/>
      <c r="BH3" s="304"/>
      <c r="BI3" s="304"/>
      <c r="BJ3" s="304"/>
      <c r="BK3" s="304"/>
      <c r="BL3" s="304"/>
      <c r="BM3" s="304"/>
      <c r="BN3" s="304"/>
      <c r="BO3" s="304"/>
      <c r="BP3" s="304"/>
      <c r="BQ3" s="304"/>
      <c r="BR3" s="304"/>
      <c r="BS3" s="304"/>
      <c r="BT3" s="304"/>
      <c r="BU3" s="304"/>
      <c r="BV3" s="304"/>
      <c r="BW3" s="304">
        <v>150</v>
      </c>
      <c r="BX3" s="304"/>
      <c r="BY3" s="304"/>
      <c r="BZ3" s="304">
        <v>1588.99</v>
      </c>
      <c r="CA3" s="304"/>
      <c r="CB3" s="304"/>
      <c r="CC3" s="304"/>
      <c r="CD3" s="304"/>
      <c r="CE3" s="304"/>
      <c r="CF3" s="304">
        <v>12126.68</v>
      </c>
      <c r="CG3" s="304">
        <v>2777.86</v>
      </c>
      <c r="CH3" s="304">
        <v>7077</v>
      </c>
      <c r="CI3" s="304"/>
      <c r="CJ3" s="304"/>
      <c r="CK3" s="304">
        <v>1058</v>
      </c>
      <c r="CL3" s="304"/>
      <c r="CM3" s="304"/>
      <c r="CN3" s="304">
        <v>7999.24</v>
      </c>
      <c r="CO3" s="304">
        <v>11975.789999999997</v>
      </c>
      <c r="CP3" s="304"/>
      <c r="CQ3" s="304"/>
      <c r="CR3" s="304"/>
      <c r="CS3" s="304"/>
      <c r="CT3" s="304">
        <v>15940.67</v>
      </c>
      <c r="CU3" s="304">
        <v>3519.8599999999997</v>
      </c>
      <c r="CV3" s="304"/>
      <c r="CW3" s="304">
        <v>2261.2599999999998</v>
      </c>
      <c r="CX3" s="304">
        <v>504.34000000000003</v>
      </c>
      <c r="CY3" s="304"/>
      <c r="CZ3" s="304"/>
      <c r="DA3" s="304"/>
      <c r="DB3" s="304">
        <v>0</v>
      </c>
      <c r="DC3" s="304">
        <v>12.8</v>
      </c>
      <c r="DD3" s="304"/>
      <c r="DE3" s="304">
        <v>1411.21</v>
      </c>
      <c r="DF3" s="304"/>
      <c r="DG3" s="304"/>
      <c r="DH3" s="304"/>
      <c r="DI3" s="304"/>
      <c r="DJ3" s="304">
        <v>521</v>
      </c>
      <c r="DK3" s="304">
        <v>1895</v>
      </c>
      <c r="DL3" s="304">
        <v>15616.970000000007</v>
      </c>
      <c r="DM3" s="304"/>
      <c r="DN3" s="304"/>
      <c r="DO3" s="304">
        <v>813.42</v>
      </c>
      <c r="DP3" s="304">
        <v>897.24</v>
      </c>
      <c r="DQ3" s="304">
        <v>529.5</v>
      </c>
      <c r="DR3" s="304"/>
      <c r="DS3" s="304"/>
      <c r="DT3" s="304">
        <v>14.5</v>
      </c>
      <c r="DU3" s="304">
        <v>779</v>
      </c>
      <c r="DV3" s="426"/>
      <c r="DW3" s="304"/>
      <c r="DX3" s="304">
        <v>245.5</v>
      </c>
      <c r="DY3" s="304"/>
      <c r="DZ3" s="304"/>
      <c r="EA3" s="304"/>
      <c r="EB3" s="304">
        <v>501</v>
      </c>
      <c r="EC3" s="304"/>
      <c r="ED3" s="304">
        <v>6.65</v>
      </c>
      <c r="EE3" s="304">
        <v>2706</v>
      </c>
      <c r="EF3" s="304"/>
      <c r="EG3" s="304"/>
      <c r="EH3" s="304"/>
      <c r="EI3" s="304"/>
      <c r="EJ3" s="304"/>
      <c r="EK3" s="304">
        <v>2771.37</v>
      </c>
      <c r="EL3" s="304">
        <v>962.62</v>
      </c>
      <c r="EM3" s="304">
        <v>5.04</v>
      </c>
      <c r="EN3" s="304">
        <v>7901.49</v>
      </c>
      <c r="EO3" s="304"/>
      <c r="EP3" s="304">
        <v>111.3</v>
      </c>
      <c r="EQ3" s="304"/>
      <c r="ER3" s="304">
        <v>5.45</v>
      </c>
      <c r="ES3" s="304">
        <v>-594159.59</v>
      </c>
      <c r="ET3" s="304"/>
      <c r="EU3" s="304"/>
      <c r="EV3" s="304">
        <v>-900</v>
      </c>
      <c r="EW3" s="304">
        <v>-27240</v>
      </c>
      <c r="EX3" s="304"/>
      <c r="EY3" s="304"/>
      <c r="EZ3" s="304"/>
      <c r="FA3" s="304">
        <v>-9237.5</v>
      </c>
      <c r="FB3" s="304"/>
      <c r="FC3" s="304"/>
      <c r="FD3" s="304">
        <v>-47290.159999999996</v>
      </c>
      <c r="FE3" s="304">
        <v>-5035</v>
      </c>
      <c r="FF3" s="304">
        <v>-13335</v>
      </c>
      <c r="FG3" s="304">
        <v>-15366</v>
      </c>
      <c r="FH3" s="304"/>
      <c r="FI3" s="304"/>
      <c r="FJ3" s="304">
        <v>19850.939999999999</v>
      </c>
      <c r="FK3" s="304">
        <v>-2017.88</v>
      </c>
      <c r="FL3" s="304"/>
      <c r="FM3" s="304">
        <v>14508.23</v>
      </c>
      <c r="FN3" s="304">
        <v>-35861</v>
      </c>
      <c r="FO3" s="304">
        <v>1708.97</v>
      </c>
      <c r="FP3" s="304">
        <v>253.15</v>
      </c>
      <c r="FQ3" s="304">
        <v>-12776.3</v>
      </c>
      <c r="FR3" s="304">
        <v>-5099</v>
      </c>
      <c r="FS3" s="304">
        <v>-10215</v>
      </c>
      <c r="FT3" s="304">
        <v>411</v>
      </c>
      <c r="FU3" s="304"/>
      <c r="FV3" s="304"/>
      <c r="FW3" s="304">
        <v>1265.6400000000001</v>
      </c>
      <c r="FX3" s="304">
        <v>595.6</v>
      </c>
      <c r="FY3" s="304">
        <v>24764.89</v>
      </c>
      <c r="FZ3" s="304">
        <v>22167.42</v>
      </c>
      <c r="GA3" s="304">
        <v>72</v>
      </c>
      <c r="GB3" s="304">
        <v>5961.25</v>
      </c>
      <c r="GC3" s="304"/>
      <c r="GD3" s="304">
        <v>3176.1400000000003</v>
      </c>
      <c r="GE3" s="304">
        <v>1907.6200000000001</v>
      </c>
      <c r="GF3" s="304">
        <v>2371.5</v>
      </c>
      <c r="GG3" s="304">
        <v>560</v>
      </c>
      <c r="GH3" s="304">
        <v>831.73</v>
      </c>
      <c r="GI3" s="304">
        <v>1296.8100000000002</v>
      </c>
      <c r="GJ3" s="304">
        <v>1590</v>
      </c>
      <c r="GK3" s="304"/>
      <c r="GL3" s="304"/>
      <c r="GM3" s="304"/>
      <c r="GN3" s="304"/>
      <c r="GO3" s="304"/>
      <c r="GP3" s="304"/>
      <c r="GQ3" s="304"/>
      <c r="GR3" s="304">
        <v>-1500</v>
      </c>
      <c r="GS3" s="304">
        <v>-5093.2000000000016</v>
      </c>
      <c r="GT3" s="304"/>
      <c r="GU3" s="304"/>
      <c r="GV3" s="304">
        <v>-1265.06</v>
      </c>
      <c r="GW3" s="304"/>
      <c r="GX3" s="304">
        <v>8.2399999999999984</v>
      </c>
      <c r="GY3" s="304"/>
      <c r="GZ3" s="304"/>
      <c r="HA3" s="304">
        <v>-5070.0300000000007</v>
      </c>
      <c r="HB3" s="304"/>
      <c r="HC3" s="304"/>
      <c r="HD3" s="304">
        <v>-1116.6600000000001</v>
      </c>
      <c r="HE3" s="304">
        <v>-1596.58</v>
      </c>
      <c r="HF3" s="304"/>
      <c r="HG3" s="304"/>
    </row>
    <row r="4" spans="1:217">
      <c r="A4" s="116">
        <v>107714</v>
      </c>
      <c r="B4" s="304"/>
      <c r="C4" s="304">
        <v>253843.12999999995</v>
      </c>
      <c r="D4" s="304">
        <v>302.83</v>
      </c>
      <c r="E4" s="304">
        <v>1971</v>
      </c>
      <c r="F4" s="304">
        <v>73216.09</v>
      </c>
      <c r="G4" s="304">
        <v>34264.81</v>
      </c>
      <c r="H4" s="304">
        <v>5292.75</v>
      </c>
      <c r="I4" s="304"/>
      <c r="J4" s="304">
        <v>1536.48</v>
      </c>
      <c r="K4" s="304">
        <v>365.86</v>
      </c>
      <c r="L4" s="304"/>
      <c r="M4" s="304"/>
      <c r="N4" s="304"/>
      <c r="O4" s="304"/>
      <c r="P4" s="304"/>
      <c r="Q4" s="304"/>
      <c r="R4" s="304"/>
      <c r="S4" s="304">
        <v>3519.6000000000008</v>
      </c>
      <c r="T4" s="304">
        <v>929.16000000000031</v>
      </c>
      <c r="U4" s="304">
        <v>462.24999999999989</v>
      </c>
      <c r="V4" s="304">
        <v>10096.109999999999</v>
      </c>
      <c r="W4" s="304">
        <v>7.66</v>
      </c>
      <c r="X4" s="304"/>
      <c r="Y4" s="304">
        <v>2521.0299999999997</v>
      </c>
      <c r="Z4" s="304">
        <v>140.90999999999997</v>
      </c>
      <c r="AA4" s="304">
        <v>10058.929999999998</v>
      </c>
      <c r="AB4" s="304">
        <v>84.31</v>
      </c>
      <c r="AC4" s="304"/>
      <c r="AD4" s="304">
        <v>2091.0700000000002</v>
      </c>
      <c r="AE4" s="304">
        <v>778.19000000000017</v>
      </c>
      <c r="AF4" s="304"/>
      <c r="AG4" s="304"/>
      <c r="AH4" s="304"/>
      <c r="AI4" s="304"/>
      <c r="AJ4" s="304"/>
      <c r="AK4" s="304">
        <v>47767.12000000001</v>
      </c>
      <c r="AL4" s="304">
        <v>662.9</v>
      </c>
      <c r="AM4" s="304"/>
      <c r="AN4" s="304">
        <v>12785.380000000001</v>
      </c>
      <c r="AO4" s="304">
        <v>4684.0600000000004</v>
      </c>
      <c r="AP4" s="304"/>
      <c r="AQ4" s="304"/>
      <c r="AR4" s="304"/>
      <c r="AS4" s="304"/>
      <c r="AT4" s="304"/>
      <c r="AU4" s="304"/>
      <c r="AV4" s="304"/>
      <c r="AW4" s="304"/>
      <c r="AX4" s="304">
        <v>37520.730000000003</v>
      </c>
      <c r="AY4" s="304"/>
      <c r="AZ4" s="304"/>
      <c r="BA4" s="304"/>
      <c r="BB4" s="304">
        <v>9905.39</v>
      </c>
      <c r="BC4" s="304">
        <v>4670.7999999999993</v>
      </c>
      <c r="BD4" s="304"/>
      <c r="BE4" s="304"/>
      <c r="BF4" s="304"/>
      <c r="BG4" s="304"/>
      <c r="BH4" s="304"/>
      <c r="BI4" s="304">
        <v>10630.92</v>
      </c>
      <c r="BJ4" s="304"/>
      <c r="BK4" s="304"/>
      <c r="BL4" s="304">
        <v>2806.4599999999991</v>
      </c>
      <c r="BM4" s="304">
        <v>1354.5700000000002</v>
      </c>
      <c r="BN4" s="304">
        <v>175</v>
      </c>
      <c r="BO4" s="304"/>
      <c r="BP4" s="304">
        <v>8.06</v>
      </c>
      <c r="BQ4" s="304">
        <v>1500</v>
      </c>
      <c r="BR4" s="304"/>
      <c r="BS4" s="304"/>
      <c r="BT4" s="304"/>
      <c r="BU4" s="304"/>
      <c r="BV4" s="304"/>
      <c r="BW4" s="304"/>
      <c r="BX4" s="304"/>
      <c r="BY4" s="304"/>
      <c r="BZ4" s="304">
        <v>1145</v>
      </c>
      <c r="CA4" s="304"/>
      <c r="CB4" s="304"/>
      <c r="CC4" s="304"/>
      <c r="CD4" s="304"/>
      <c r="CE4" s="304"/>
      <c r="CF4" s="304">
        <v>5112.4500000000007</v>
      </c>
      <c r="CG4" s="304">
        <v>440</v>
      </c>
      <c r="CH4" s="304">
        <v>2508.33</v>
      </c>
      <c r="CI4" s="304"/>
      <c r="CJ4" s="304"/>
      <c r="CK4" s="304"/>
      <c r="CL4" s="304"/>
      <c r="CM4" s="304"/>
      <c r="CN4" s="304">
        <v>5788.76</v>
      </c>
      <c r="CO4" s="304"/>
      <c r="CP4" s="304"/>
      <c r="CQ4" s="304"/>
      <c r="CR4" s="304"/>
      <c r="CS4" s="304">
        <v>2650</v>
      </c>
      <c r="CT4" s="304">
        <v>2195.6</v>
      </c>
      <c r="CU4" s="304">
        <v>1186.24</v>
      </c>
      <c r="CV4" s="304">
        <v>350.72</v>
      </c>
      <c r="CW4" s="304">
        <v>197.37</v>
      </c>
      <c r="CX4" s="304">
        <v>21.77</v>
      </c>
      <c r="CY4" s="304"/>
      <c r="CZ4" s="304"/>
      <c r="DA4" s="304"/>
      <c r="DB4" s="304">
        <v>470</v>
      </c>
      <c r="DC4" s="304"/>
      <c r="DD4" s="304"/>
      <c r="DE4" s="304"/>
      <c r="DF4" s="304"/>
      <c r="DG4" s="304"/>
      <c r="DH4" s="304"/>
      <c r="DI4" s="304"/>
      <c r="DJ4" s="304"/>
      <c r="DK4" s="304">
        <v>1909</v>
      </c>
      <c r="DL4" s="304">
        <v>9314.25</v>
      </c>
      <c r="DM4" s="304">
        <v>69.97</v>
      </c>
      <c r="DN4" s="304"/>
      <c r="DO4" s="304">
        <v>249.97</v>
      </c>
      <c r="DP4" s="304">
        <v>1156.8399999999999</v>
      </c>
      <c r="DQ4" s="304">
        <v>12015.5</v>
      </c>
      <c r="DR4" s="304">
        <v>12785.709999999997</v>
      </c>
      <c r="DS4" s="304"/>
      <c r="DT4" s="304">
        <v>24.490000000000002</v>
      </c>
      <c r="DU4" s="304">
        <v>424.77000000000004</v>
      </c>
      <c r="DV4" s="426"/>
      <c r="DW4" s="304"/>
      <c r="DX4" s="304">
        <v>1485.58</v>
      </c>
      <c r="DY4" s="304"/>
      <c r="DZ4" s="304"/>
      <c r="EA4" s="304">
        <v>271.14999999999998</v>
      </c>
      <c r="EB4" s="304">
        <v>243.6</v>
      </c>
      <c r="EC4" s="304"/>
      <c r="ED4" s="304"/>
      <c r="EE4" s="304"/>
      <c r="EF4" s="304"/>
      <c r="EG4" s="304"/>
      <c r="EH4" s="304"/>
      <c r="EI4" s="304"/>
      <c r="EJ4" s="304"/>
      <c r="EK4" s="304">
        <v>3405.78</v>
      </c>
      <c r="EL4" s="304">
        <v>708.63000000000011</v>
      </c>
      <c r="EM4" s="304"/>
      <c r="EN4" s="304">
        <v>11305.17</v>
      </c>
      <c r="EO4" s="304">
        <v>7020</v>
      </c>
      <c r="EP4" s="304"/>
      <c r="EQ4" s="304"/>
      <c r="ER4" s="304"/>
      <c r="ES4" s="304">
        <v>-614148.12</v>
      </c>
      <c r="ET4" s="304"/>
      <c r="EU4" s="304">
        <v>-3240</v>
      </c>
      <c r="EV4" s="304">
        <v>-440</v>
      </c>
      <c r="EW4" s="304">
        <v>-10140</v>
      </c>
      <c r="EX4" s="304"/>
      <c r="EY4" s="304"/>
      <c r="EZ4" s="304"/>
      <c r="FA4" s="304">
        <v>-2685.64</v>
      </c>
      <c r="FB4" s="304"/>
      <c r="FC4" s="304"/>
      <c r="FD4" s="304"/>
      <c r="FE4" s="304">
        <v>-5035</v>
      </c>
      <c r="FF4" s="304">
        <v>-19089</v>
      </c>
      <c r="FG4" s="304">
        <v>-15427</v>
      </c>
      <c r="FH4" s="304"/>
      <c r="FI4" s="304">
        <v>-188071.82</v>
      </c>
      <c r="FJ4" s="304"/>
      <c r="FK4" s="304">
        <v>-2429.0700000000002</v>
      </c>
      <c r="FL4" s="304"/>
      <c r="FM4" s="304"/>
      <c r="FN4" s="304">
        <v>-6284</v>
      </c>
      <c r="FO4" s="304">
        <v>2100.1799999999998</v>
      </c>
      <c r="FP4" s="304">
        <v>311.10000000000002</v>
      </c>
      <c r="FQ4" s="304">
        <v>-27706.9</v>
      </c>
      <c r="FR4" s="304">
        <v>-5419</v>
      </c>
      <c r="FS4" s="304">
        <v>-10877</v>
      </c>
      <c r="FT4" s="304">
        <v>405</v>
      </c>
      <c r="FU4" s="304"/>
      <c r="FV4" s="304"/>
      <c r="FW4" s="304">
        <v>1268.68</v>
      </c>
      <c r="FX4" s="304"/>
      <c r="FY4" s="304"/>
      <c r="FZ4" s="304">
        <v>23227.899999999998</v>
      </c>
      <c r="GA4" s="304">
        <v>644</v>
      </c>
      <c r="GB4" s="304">
        <v>1261.7899999999997</v>
      </c>
      <c r="GC4" s="304"/>
      <c r="GD4" s="304">
        <v>2826.6</v>
      </c>
      <c r="GE4" s="304">
        <v>1220.6100000000001</v>
      </c>
      <c r="GF4" s="304">
        <v>1071</v>
      </c>
      <c r="GG4" s="304"/>
      <c r="GH4" s="304">
        <v>866.44</v>
      </c>
      <c r="GI4" s="304">
        <v>261.32</v>
      </c>
      <c r="GJ4" s="304"/>
      <c r="GK4" s="304"/>
      <c r="GL4" s="304"/>
      <c r="GM4" s="304"/>
      <c r="GN4" s="304"/>
      <c r="GO4" s="304">
        <v>-700</v>
      </c>
      <c r="GP4" s="304"/>
      <c r="GQ4" s="304"/>
      <c r="GR4" s="304"/>
      <c r="GS4" s="304">
        <v>-5356</v>
      </c>
      <c r="GT4" s="304"/>
      <c r="GU4" s="304"/>
      <c r="GV4" s="304"/>
      <c r="GW4" s="304"/>
      <c r="GX4" s="304"/>
      <c r="GY4" s="304"/>
      <c r="GZ4" s="304"/>
      <c r="HA4" s="304">
        <v>-20050</v>
      </c>
      <c r="HB4" s="304"/>
      <c r="HC4" s="304"/>
      <c r="HD4" s="304">
        <v>-1000</v>
      </c>
      <c r="HE4" s="304"/>
      <c r="HF4" s="304"/>
      <c r="HG4" s="304">
        <v>-9304.61</v>
      </c>
    </row>
    <row r="5" spans="1:217">
      <c r="A5" s="116">
        <v>107717</v>
      </c>
      <c r="B5" s="304"/>
      <c r="C5" s="304">
        <v>453596.2</v>
      </c>
      <c r="D5" s="304">
        <v>24398.849999999995</v>
      </c>
      <c r="E5" s="304"/>
      <c r="F5" s="304">
        <v>137088.94</v>
      </c>
      <c r="G5" s="304">
        <v>63799.47</v>
      </c>
      <c r="H5" s="304">
        <v>18243.430000000004</v>
      </c>
      <c r="I5" s="304"/>
      <c r="J5" s="304">
        <v>5232.25</v>
      </c>
      <c r="K5" s="304">
        <v>1900.1000000000001</v>
      </c>
      <c r="L5" s="304"/>
      <c r="M5" s="304"/>
      <c r="N5" s="304"/>
      <c r="O5" s="304"/>
      <c r="P5" s="304"/>
      <c r="Q5" s="304"/>
      <c r="R5" s="304"/>
      <c r="S5" s="304"/>
      <c r="T5" s="304"/>
      <c r="U5" s="304"/>
      <c r="V5" s="304"/>
      <c r="W5" s="304"/>
      <c r="X5" s="304"/>
      <c r="Y5" s="304"/>
      <c r="Z5" s="304"/>
      <c r="AA5" s="304"/>
      <c r="AB5" s="304"/>
      <c r="AC5" s="304"/>
      <c r="AD5" s="304"/>
      <c r="AE5" s="304"/>
      <c r="AF5" s="304">
        <v>15034.459999999997</v>
      </c>
      <c r="AG5" s="304">
        <v>95.17</v>
      </c>
      <c r="AH5" s="304"/>
      <c r="AI5" s="304">
        <v>3936.32</v>
      </c>
      <c r="AJ5" s="304">
        <v>1880.91</v>
      </c>
      <c r="AK5" s="304">
        <v>191098.81</v>
      </c>
      <c r="AL5" s="304">
        <v>7006.6299999999992</v>
      </c>
      <c r="AM5" s="304">
        <v>2505.2900000000004</v>
      </c>
      <c r="AN5" s="304">
        <v>52989.100000000006</v>
      </c>
      <c r="AO5" s="304">
        <v>22687.82</v>
      </c>
      <c r="AP5" s="304"/>
      <c r="AQ5" s="304"/>
      <c r="AR5" s="304"/>
      <c r="AS5" s="304"/>
      <c r="AT5" s="304"/>
      <c r="AU5" s="304"/>
      <c r="AV5" s="304"/>
      <c r="AW5" s="304"/>
      <c r="AX5" s="304">
        <v>28136.400000000005</v>
      </c>
      <c r="AY5" s="304"/>
      <c r="AZ5" s="304"/>
      <c r="BA5" s="304"/>
      <c r="BB5" s="304">
        <v>7428</v>
      </c>
      <c r="BC5" s="304">
        <v>3469.8200000000006</v>
      </c>
      <c r="BD5" s="304"/>
      <c r="BE5" s="304"/>
      <c r="BF5" s="304"/>
      <c r="BG5" s="304"/>
      <c r="BH5" s="304"/>
      <c r="BI5" s="304">
        <v>22230.549999999992</v>
      </c>
      <c r="BJ5" s="304">
        <v>18.89</v>
      </c>
      <c r="BK5" s="304"/>
      <c r="BL5" s="304">
        <v>4078.5500000000006</v>
      </c>
      <c r="BM5" s="304">
        <v>2414.2000000000003</v>
      </c>
      <c r="BN5" s="304"/>
      <c r="BO5" s="304"/>
      <c r="BP5" s="304"/>
      <c r="BQ5" s="304"/>
      <c r="BR5" s="304"/>
      <c r="BS5" s="304"/>
      <c r="BT5" s="304"/>
      <c r="BU5" s="304"/>
      <c r="BV5" s="304"/>
      <c r="BW5" s="304"/>
      <c r="BX5" s="304"/>
      <c r="BY5" s="304"/>
      <c r="BZ5" s="304">
        <v>5196.83</v>
      </c>
      <c r="CA5" s="304"/>
      <c r="CB5" s="304"/>
      <c r="CC5" s="304"/>
      <c r="CD5" s="304"/>
      <c r="CE5" s="304">
        <v>21380.799999999999</v>
      </c>
      <c r="CF5" s="304">
        <v>6129.4299999999994</v>
      </c>
      <c r="CG5" s="304">
        <v>0</v>
      </c>
      <c r="CH5" s="304"/>
      <c r="CI5" s="304"/>
      <c r="CJ5" s="304"/>
      <c r="CK5" s="304"/>
      <c r="CL5" s="304"/>
      <c r="CM5" s="304">
        <v>690</v>
      </c>
      <c r="CN5" s="304">
        <v>9577.1799999999985</v>
      </c>
      <c r="CO5" s="304">
        <v>5820.7499999999991</v>
      </c>
      <c r="CP5" s="304"/>
      <c r="CQ5" s="304"/>
      <c r="CR5" s="304"/>
      <c r="CS5" s="304">
        <v>50</v>
      </c>
      <c r="CT5" s="304">
        <v>28938</v>
      </c>
      <c r="CU5" s="304">
        <v>3194.1</v>
      </c>
      <c r="CV5" s="304">
        <v>175</v>
      </c>
      <c r="CW5" s="304">
        <v>2278.1400000000003</v>
      </c>
      <c r="CX5" s="304">
        <v>553.76</v>
      </c>
      <c r="CY5" s="304"/>
      <c r="CZ5" s="304"/>
      <c r="DA5" s="304"/>
      <c r="DB5" s="304"/>
      <c r="DC5" s="304">
        <v>219.21</v>
      </c>
      <c r="DD5" s="304"/>
      <c r="DE5" s="304"/>
      <c r="DF5" s="304"/>
      <c r="DG5" s="304"/>
      <c r="DH5" s="304"/>
      <c r="DI5" s="304"/>
      <c r="DJ5" s="304"/>
      <c r="DK5" s="304">
        <v>3803</v>
      </c>
      <c r="DL5" s="304">
        <v>18925.239999999994</v>
      </c>
      <c r="DM5" s="304">
        <v>99.77000000000001</v>
      </c>
      <c r="DN5" s="304"/>
      <c r="DO5" s="304">
        <v>15.35</v>
      </c>
      <c r="DP5" s="304">
        <v>3891.7</v>
      </c>
      <c r="DQ5" s="304">
        <v>3012.83</v>
      </c>
      <c r="DR5" s="304">
        <v>14834.69</v>
      </c>
      <c r="DS5" s="304"/>
      <c r="DT5" s="304">
        <v>23.25</v>
      </c>
      <c r="DU5" s="304">
        <v>965.5</v>
      </c>
      <c r="DV5" s="426"/>
      <c r="DW5" s="304"/>
      <c r="DX5" s="304">
        <v>3266.91</v>
      </c>
      <c r="DY5" s="304"/>
      <c r="DZ5" s="304"/>
      <c r="EA5" s="304">
        <v>18047.43</v>
      </c>
      <c r="EB5" s="304">
        <v>5734.0199999999995</v>
      </c>
      <c r="EC5" s="304">
        <v>11949.06</v>
      </c>
      <c r="ED5" s="304">
        <v>2427.3099999999995</v>
      </c>
      <c r="EE5" s="304"/>
      <c r="EF5" s="304">
        <v>35.94</v>
      </c>
      <c r="EG5" s="304"/>
      <c r="EH5" s="304"/>
      <c r="EI5" s="304"/>
      <c r="EJ5" s="304">
        <v>3145.55</v>
      </c>
      <c r="EK5" s="304">
        <v>6511.05</v>
      </c>
      <c r="EL5" s="304">
        <v>344</v>
      </c>
      <c r="EM5" s="304">
        <v>1425.6000000000001</v>
      </c>
      <c r="EN5" s="304">
        <v>26925.709999999995</v>
      </c>
      <c r="EO5" s="304">
        <v>0</v>
      </c>
      <c r="EP5" s="304"/>
      <c r="EQ5" s="304"/>
      <c r="ER5" s="304"/>
      <c r="ES5" s="304">
        <v>-1070887.17</v>
      </c>
      <c r="ET5" s="304"/>
      <c r="EU5" s="304"/>
      <c r="EV5" s="304"/>
      <c r="EW5" s="304">
        <v>-60885</v>
      </c>
      <c r="EX5" s="304"/>
      <c r="EY5" s="304"/>
      <c r="EZ5" s="304"/>
      <c r="FA5" s="304"/>
      <c r="FB5" s="304"/>
      <c r="FC5" s="304"/>
      <c r="FD5" s="304"/>
      <c r="FE5" s="304">
        <v>-6182.5</v>
      </c>
      <c r="FF5" s="304">
        <v>-34013</v>
      </c>
      <c r="FG5" s="304">
        <v>-16214</v>
      </c>
      <c r="FH5" s="304"/>
      <c r="FI5" s="304">
        <v>-127814.63</v>
      </c>
      <c r="FJ5" s="304"/>
      <c r="FK5" s="304">
        <v>-2723.09</v>
      </c>
      <c r="FL5" s="304"/>
      <c r="FM5" s="304"/>
      <c r="FN5" s="304">
        <v>-72267</v>
      </c>
      <c r="FO5" s="304">
        <v>4015.05</v>
      </c>
      <c r="FP5" s="304">
        <v>594.75</v>
      </c>
      <c r="FQ5" s="304">
        <v>-16387.189999999999</v>
      </c>
      <c r="FR5" s="304">
        <v>-10115</v>
      </c>
      <c r="FS5" s="304">
        <v>-20820</v>
      </c>
      <c r="FT5" s="304">
        <v>421.75</v>
      </c>
      <c r="FU5" s="304"/>
      <c r="FV5" s="304"/>
      <c r="FW5" s="304">
        <v>1581.8</v>
      </c>
      <c r="FX5" s="304">
        <v>4645.9799999999996</v>
      </c>
      <c r="FY5" s="304"/>
      <c r="FZ5" s="304">
        <v>56806.74</v>
      </c>
      <c r="GA5" s="304">
        <v>2754</v>
      </c>
      <c r="GB5" s="304">
        <v>6484.0400000000018</v>
      </c>
      <c r="GC5" s="304">
        <v>261</v>
      </c>
      <c r="GD5" s="304">
        <v>10168.219999999999</v>
      </c>
      <c r="GE5" s="304">
        <v>2274.4700000000003</v>
      </c>
      <c r="GF5" s="304">
        <v>5362.5</v>
      </c>
      <c r="GG5" s="304">
        <v>560</v>
      </c>
      <c r="GH5" s="304">
        <v>1090.45</v>
      </c>
      <c r="GI5" s="304">
        <v>1389.56</v>
      </c>
      <c r="GJ5" s="304"/>
      <c r="GK5" s="304"/>
      <c r="GL5" s="304"/>
      <c r="GM5" s="304"/>
      <c r="GN5" s="304"/>
      <c r="GO5" s="304"/>
      <c r="GP5" s="304">
        <v>-4410</v>
      </c>
      <c r="GQ5" s="304">
        <v>-3778</v>
      </c>
      <c r="GR5" s="304">
        <v>-19815</v>
      </c>
      <c r="GS5" s="304">
        <v>-10750.519999999999</v>
      </c>
      <c r="GT5" s="304">
        <v>-2271.2399999999998</v>
      </c>
      <c r="GU5" s="304"/>
      <c r="GV5" s="304"/>
      <c r="GW5" s="304"/>
      <c r="GX5" s="304">
        <v>-1379.99</v>
      </c>
      <c r="GY5" s="304"/>
      <c r="GZ5" s="304"/>
      <c r="HA5" s="304">
        <v>-43367.450000000012</v>
      </c>
      <c r="HB5" s="304"/>
      <c r="HC5" s="304"/>
      <c r="HD5" s="304"/>
      <c r="HE5" s="304"/>
      <c r="HF5" s="304"/>
      <c r="HG5" s="304">
        <v>-5433.95</v>
      </c>
    </row>
    <row r="6" spans="1:217">
      <c r="A6" s="116">
        <v>107720</v>
      </c>
      <c r="B6" s="304"/>
      <c r="C6" s="304">
        <v>150032.47999999998</v>
      </c>
      <c r="D6" s="304">
        <v>20048.93</v>
      </c>
      <c r="E6" s="304">
        <v>883</v>
      </c>
      <c r="F6" s="304">
        <v>42717.020000000011</v>
      </c>
      <c r="G6" s="304">
        <v>19692.260000000002</v>
      </c>
      <c r="H6" s="304">
        <v>1991.56</v>
      </c>
      <c r="I6" s="304"/>
      <c r="J6" s="304">
        <v>571.18000000000006</v>
      </c>
      <c r="K6" s="304">
        <v>167.32</v>
      </c>
      <c r="L6" s="304"/>
      <c r="M6" s="304"/>
      <c r="N6" s="304"/>
      <c r="O6" s="304"/>
      <c r="P6" s="304"/>
      <c r="Q6" s="304"/>
      <c r="R6" s="304"/>
      <c r="S6" s="304"/>
      <c r="T6" s="304"/>
      <c r="U6" s="304"/>
      <c r="V6" s="304">
        <v>6773.6900000000005</v>
      </c>
      <c r="W6" s="304">
        <v>402.46999999999997</v>
      </c>
      <c r="X6" s="304">
        <v>139.19</v>
      </c>
      <c r="Y6" s="304">
        <v>1931.0900000000001</v>
      </c>
      <c r="Z6" s="304">
        <v>471.46</v>
      </c>
      <c r="AA6" s="304">
        <v>6606.4100000000017</v>
      </c>
      <c r="AB6" s="304">
        <v>421.84</v>
      </c>
      <c r="AC6" s="304"/>
      <c r="AD6" s="304">
        <v>1855.3799999999997</v>
      </c>
      <c r="AE6" s="304">
        <v>517.80000000000007</v>
      </c>
      <c r="AF6" s="304">
        <v>0</v>
      </c>
      <c r="AG6" s="304"/>
      <c r="AH6" s="304"/>
      <c r="AI6" s="304">
        <v>0</v>
      </c>
      <c r="AJ6" s="304">
        <v>0</v>
      </c>
      <c r="AK6" s="304">
        <v>22294.720000000001</v>
      </c>
      <c r="AL6" s="304">
        <v>128.78</v>
      </c>
      <c r="AM6" s="304">
        <v>294.59000000000009</v>
      </c>
      <c r="AN6" s="304">
        <v>6578.7</v>
      </c>
      <c r="AO6" s="304">
        <v>2429.54</v>
      </c>
      <c r="AP6" s="304">
        <v>17088.96</v>
      </c>
      <c r="AQ6" s="304">
        <v>1663.9099999999999</v>
      </c>
      <c r="AR6" s="304">
        <v>779.23</v>
      </c>
      <c r="AS6" s="304">
        <v>929.95</v>
      </c>
      <c r="AT6" s="304">
        <v>1759.32</v>
      </c>
      <c r="AU6" s="304"/>
      <c r="AV6" s="304"/>
      <c r="AW6" s="304"/>
      <c r="AX6" s="304">
        <v>30562.469999999998</v>
      </c>
      <c r="AY6" s="304">
        <v>63.25</v>
      </c>
      <c r="AZ6" s="304">
        <v>590.73</v>
      </c>
      <c r="BA6" s="304"/>
      <c r="BB6" s="304">
        <v>7866.79</v>
      </c>
      <c r="BC6" s="304">
        <v>3266.5</v>
      </c>
      <c r="BD6" s="304"/>
      <c r="BE6" s="304"/>
      <c r="BF6" s="304"/>
      <c r="BG6" s="304"/>
      <c r="BH6" s="304"/>
      <c r="BI6" s="304"/>
      <c r="BJ6" s="304"/>
      <c r="BK6" s="304"/>
      <c r="BL6" s="304"/>
      <c r="BM6" s="304"/>
      <c r="BN6" s="304"/>
      <c r="BO6" s="304"/>
      <c r="BP6" s="304"/>
      <c r="BQ6" s="304"/>
      <c r="BR6" s="304"/>
      <c r="BS6" s="304"/>
      <c r="BT6" s="304">
        <v>74.45</v>
      </c>
      <c r="BU6" s="304"/>
      <c r="BV6" s="304"/>
      <c r="BW6" s="304"/>
      <c r="BX6" s="304"/>
      <c r="BY6" s="304"/>
      <c r="BZ6" s="304">
        <v>69.5</v>
      </c>
      <c r="CA6" s="304">
        <v>2105.21</v>
      </c>
      <c r="CB6" s="304"/>
      <c r="CC6" s="304"/>
      <c r="CD6" s="304"/>
      <c r="CE6" s="304">
        <v>5045</v>
      </c>
      <c r="CF6" s="304">
        <v>6175.29</v>
      </c>
      <c r="CG6" s="304"/>
      <c r="CH6" s="304"/>
      <c r="CI6" s="304"/>
      <c r="CJ6" s="304"/>
      <c r="CK6" s="304"/>
      <c r="CL6" s="304"/>
      <c r="CM6" s="304"/>
      <c r="CN6" s="304">
        <v>5707.6599999999989</v>
      </c>
      <c r="CO6" s="304"/>
      <c r="CP6" s="304">
        <v>6163.3</v>
      </c>
      <c r="CQ6" s="304"/>
      <c r="CR6" s="304"/>
      <c r="CS6" s="304"/>
      <c r="CT6" s="304">
        <v>1529.4</v>
      </c>
      <c r="CU6" s="304">
        <v>1538.92</v>
      </c>
      <c r="CV6" s="304"/>
      <c r="CW6" s="304">
        <v>9624.02</v>
      </c>
      <c r="CX6" s="304">
        <v>1079.0500000000002</v>
      </c>
      <c r="CY6" s="304"/>
      <c r="CZ6" s="304"/>
      <c r="DA6" s="304"/>
      <c r="DB6" s="304"/>
      <c r="DC6" s="304"/>
      <c r="DD6" s="304"/>
      <c r="DE6" s="304">
        <v>19.200000000000003</v>
      </c>
      <c r="DF6" s="304"/>
      <c r="DG6" s="304"/>
      <c r="DH6" s="304"/>
      <c r="DI6" s="304"/>
      <c r="DJ6" s="304">
        <v>33.700000000000003</v>
      </c>
      <c r="DK6" s="304"/>
      <c r="DL6" s="304">
        <v>2712.3599999999997</v>
      </c>
      <c r="DM6" s="304">
        <v>12.11</v>
      </c>
      <c r="DN6" s="304"/>
      <c r="DO6" s="304">
        <v>1096.49</v>
      </c>
      <c r="DP6" s="304">
        <v>1165.1599999999999</v>
      </c>
      <c r="DQ6" s="304">
        <v>529.5</v>
      </c>
      <c r="DR6" s="304">
        <v>3633</v>
      </c>
      <c r="DS6" s="304"/>
      <c r="DT6" s="304"/>
      <c r="DU6" s="304">
        <v>344.91000000000008</v>
      </c>
      <c r="DV6" s="426"/>
      <c r="DW6" s="304"/>
      <c r="DX6" s="304">
        <v>2095.6</v>
      </c>
      <c r="DY6" s="304"/>
      <c r="DZ6" s="304">
        <v>0</v>
      </c>
      <c r="EA6" s="304">
        <v>1904.99</v>
      </c>
      <c r="EB6" s="304"/>
      <c r="EC6" s="304"/>
      <c r="ED6" s="304"/>
      <c r="EE6" s="304"/>
      <c r="EF6" s="304">
        <v>23.6</v>
      </c>
      <c r="EG6" s="304"/>
      <c r="EH6" s="304"/>
      <c r="EI6" s="304">
        <v>858.19999999999993</v>
      </c>
      <c r="EJ6" s="304">
        <v>8420.83</v>
      </c>
      <c r="EK6" s="304">
        <v>968.31</v>
      </c>
      <c r="EL6" s="304">
        <v>5771.2800000000007</v>
      </c>
      <c r="EM6" s="304">
        <v>1309.1100000000001</v>
      </c>
      <c r="EN6" s="304">
        <v>2315</v>
      </c>
      <c r="EO6" s="304"/>
      <c r="EP6" s="304"/>
      <c r="EQ6" s="304"/>
      <c r="ER6" s="304"/>
      <c r="ES6" s="304">
        <v>-345234.66</v>
      </c>
      <c r="ET6" s="304"/>
      <c r="EU6" s="304">
        <v>-3885.88</v>
      </c>
      <c r="EV6" s="304"/>
      <c r="EW6" s="304">
        <v>-11720</v>
      </c>
      <c r="EX6" s="304"/>
      <c r="EY6" s="304"/>
      <c r="EZ6" s="304"/>
      <c r="FA6" s="304"/>
      <c r="FB6" s="304"/>
      <c r="FC6" s="304"/>
      <c r="FD6" s="304">
        <v>-34490.310000000005</v>
      </c>
      <c r="FE6" s="304"/>
      <c r="FF6" s="304">
        <v>-3339</v>
      </c>
      <c r="FG6" s="304">
        <v>-14911</v>
      </c>
      <c r="FH6" s="304"/>
      <c r="FI6" s="304">
        <v>97492.35</v>
      </c>
      <c r="FJ6" s="304"/>
      <c r="FK6" s="304"/>
      <c r="FL6" s="304"/>
      <c r="FM6" s="304">
        <v>2713.87</v>
      </c>
      <c r="FN6" s="304">
        <v>-5119</v>
      </c>
      <c r="FO6" s="304">
        <v>597.11</v>
      </c>
      <c r="FP6" s="304">
        <v>88.45</v>
      </c>
      <c r="FQ6" s="304">
        <v>-3056.06</v>
      </c>
      <c r="FR6" s="304">
        <v>-2701</v>
      </c>
      <c r="FS6" s="304">
        <v>-5145</v>
      </c>
      <c r="FT6" s="304"/>
      <c r="FU6" s="304">
        <v>0</v>
      </c>
      <c r="FV6" s="304"/>
      <c r="FW6" s="304">
        <v>2725.56</v>
      </c>
      <c r="FX6" s="304">
        <v>3859.4199999999983</v>
      </c>
      <c r="FY6" s="304"/>
      <c r="FZ6" s="304">
        <v>6835.7799999999988</v>
      </c>
      <c r="GA6" s="304"/>
      <c r="GB6" s="304">
        <v>2669.920000000001</v>
      </c>
      <c r="GC6" s="304">
        <v>261</v>
      </c>
      <c r="GD6" s="304">
        <v>2711.7799999999997</v>
      </c>
      <c r="GE6" s="304">
        <v>1153.9099999999999</v>
      </c>
      <c r="GF6" s="304">
        <v>3290</v>
      </c>
      <c r="GG6" s="304">
        <v>560</v>
      </c>
      <c r="GH6" s="304">
        <v>704.38</v>
      </c>
      <c r="GI6" s="304">
        <v>418.60000000000008</v>
      </c>
      <c r="GJ6" s="304"/>
      <c r="GK6" s="304"/>
      <c r="GL6" s="304"/>
      <c r="GM6" s="304"/>
      <c r="GN6" s="304"/>
      <c r="GO6" s="304"/>
      <c r="GP6" s="304">
        <v>-7224</v>
      </c>
      <c r="GQ6" s="304"/>
      <c r="GR6" s="304">
        <v>-2025</v>
      </c>
      <c r="GS6" s="304">
        <v>-445.48999999999995</v>
      </c>
      <c r="GT6" s="304"/>
      <c r="GU6" s="304"/>
      <c r="GV6" s="304">
        <v>-662.21</v>
      </c>
      <c r="GW6" s="304">
        <v>-5400</v>
      </c>
      <c r="GX6" s="304">
        <v>-2017.3500000000001</v>
      </c>
      <c r="GY6" s="304"/>
      <c r="GZ6" s="304"/>
      <c r="HA6" s="304">
        <v>-4791.91</v>
      </c>
      <c r="HB6" s="304"/>
      <c r="HC6" s="304"/>
      <c r="HD6" s="304">
        <v>-1850</v>
      </c>
      <c r="HE6" s="304">
        <v>-4260.7599999999993</v>
      </c>
      <c r="HF6" s="304"/>
      <c r="HG6" s="304"/>
    </row>
    <row r="7" spans="1:217">
      <c r="A7" s="116">
        <v>107721</v>
      </c>
      <c r="B7" s="304"/>
      <c r="C7" s="304">
        <v>510725.11</v>
      </c>
      <c r="D7" s="304">
        <v>10497.800000000001</v>
      </c>
      <c r="E7" s="304"/>
      <c r="F7" s="304">
        <v>149486.69</v>
      </c>
      <c r="G7" s="304">
        <v>68387.190000000017</v>
      </c>
      <c r="H7" s="304">
        <v>9403.7200000000012</v>
      </c>
      <c r="I7" s="304"/>
      <c r="J7" s="304">
        <v>2610.73</v>
      </c>
      <c r="K7" s="304">
        <v>1090.6299999999999</v>
      </c>
      <c r="L7" s="304"/>
      <c r="M7" s="304"/>
      <c r="N7" s="304">
        <v>12837.72</v>
      </c>
      <c r="O7" s="304">
        <v>75.02</v>
      </c>
      <c r="P7" s="304">
        <v>1784.3999999999999</v>
      </c>
      <c r="Q7" s="304">
        <v>3879.9800000000005</v>
      </c>
      <c r="R7" s="304">
        <v>1806.8799999999999</v>
      </c>
      <c r="S7" s="304"/>
      <c r="T7" s="304"/>
      <c r="U7" s="304"/>
      <c r="V7" s="304">
        <v>23842.630000000005</v>
      </c>
      <c r="W7" s="304">
        <v>286.44</v>
      </c>
      <c r="X7" s="304">
        <v>423.47000000000008</v>
      </c>
      <c r="Y7" s="304">
        <v>6194.2900000000009</v>
      </c>
      <c r="Z7" s="304">
        <v>2406.5</v>
      </c>
      <c r="AA7" s="304">
        <v>19523.93</v>
      </c>
      <c r="AB7" s="304">
        <v>565.86000000000013</v>
      </c>
      <c r="AC7" s="304">
        <v>190.48999999999998</v>
      </c>
      <c r="AD7" s="304">
        <v>5150.38</v>
      </c>
      <c r="AE7" s="304">
        <v>1511.6499999999999</v>
      </c>
      <c r="AF7" s="304"/>
      <c r="AG7" s="304"/>
      <c r="AH7" s="304"/>
      <c r="AI7" s="304"/>
      <c r="AJ7" s="304"/>
      <c r="AK7" s="304">
        <v>215147.17</v>
      </c>
      <c r="AL7" s="304">
        <v>2295.65</v>
      </c>
      <c r="AM7" s="304">
        <v>2788.1799999999994</v>
      </c>
      <c r="AN7" s="304">
        <v>60034.41</v>
      </c>
      <c r="AO7" s="304">
        <v>22365.489999999998</v>
      </c>
      <c r="AP7" s="304"/>
      <c r="AQ7" s="304"/>
      <c r="AR7" s="304"/>
      <c r="AS7" s="304"/>
      <c r="AT7" s="304"/>
      <c r="AU7" s="304"/>
      <c r="AV7" s="304"/>
      <c r="AW7" s="304"/>
      <c r="AX7" s="304">
        <v>41472.629999999997</v>
      </c>
      <c r="AY7" s="304">
        <v>343.07</v>
      </c>
      <c r="AZ7" s="304">
        <v>92.93</v>
      </c>
      <c r="BA7" s="304"/>
      <c r="BB7" s="304">
        <v>11063.65</v>
      </c>
      <c r="BC7" s="304">
        <v>4785.07</v>
      </c>
      <c r="BD7" s="304"/>
      <c r="BE7" s="304"/>
      <c r="BF7" s="304"/>
      <c r="BG7" s="304"/>
      <c r="BH7" s="304"/>
      <c r="BI7" s="304">
        <v>27612.3</v>
      </c>
      <c r="BJ7" s="304">
        <v>294.43</v>
      </c>
      <c r="BK7" s="304"/>
      <c r="BL7" s="304">
        <v>5015.68</v>
      </c>
      <c r="BM7" s="304">
        <v>1816.1599999999994</v>
      </c>
      <c r="BN7" s="304"/>
      <c r="BO7" s="304"/>
      <c r="BP7" s="304"/>
      <c r="BQ7" s="304"/>
      <c r="BR7" s="304"/>
      <c r="BS7" s="304"/>
      <c r="BT7" s="304"/>
      <c r="BU7" s="304"/>
      <c r="BV7" s="304"/>
      <c r="BW7" s="304"/>
      <c r="BX7" s="304">
        <v>14.97</v>
      </c>
      <c r="BY7" s="304">
        <v>0</v>
      </c>
      <c r="BZ7" s="304">
        <v>2500.6999999999998</v>
      </c>
      <c r="CA7" s="304">
        <v>300</v>
      </c>
      <c r="CB7" s="304"/>
      <c r="CC7" s="304"/>
      <c r="CD7" s="304"/>
      <c r="CE7" s="304"/>
      <c r="CF7" s="304">
        <v>3093.13</v>
      </c>
      <c r="CG7" s="304">
        <v>1899.1299999999999</v>
      </c>
      <c r="CH7" s="304"/>
      <c r="CI7" s="304"/>
      <c r="CJ7" s="304"/>
      <c r="CK7" s="304"/>
      <c r="CL7" s="304"/>
      <c r="CM7" s="304">
        <v>1362.5</v>
      </c>
      <c r="CN7" s="304">
        <v>11156.37</v>
      </c>
      <c r="CO7" s="304">
        <v>5644.86</v>
      </c>
      <c r="CP7" s="304"/>
      <c r="CQ7" s="304"/>
      <c r="CR7" s="304">
        <v>57.87</v>
      </c>
      <c r="CS7" s="304"/>
      <c r="CT7" s="304">
        <v>5039.8999999999996</v>
      </c>
      <c r="CU7" s="304">
        <v>3349.6800000000003</v>
      </c>
      <c r="CV7" s="304">
        <v>378</v>
      </c>
      <c r="CW7" s="304">
        <v>3136.3899999999994</v>
      </c>
      <c r="CX7" s="304">
        <v>770.28000000000009</v>
      </c>
      <c r="CY7" s="304"/>
      <c r="CZ7" s="304"/>
      <c r="DA7" s="304"/>
      <c r="DB7" s="304">
        <v>8044</v>
      </c>
      <c r="DC7" s="304">
        <v>174.04</v>
      </c>
      <c r="DD7" s="304"/>
      <c r="DE7" s="304">
        <v>1302.8400000000001</v>
      </c>
      <c r="DF7" s="304"/>
      <c r="DG7" s="304"/>
      <c r="DH7" s="304"/>
      <c r="DI7" s="304"/>
      <c r="DJ7" s="304"/>
      <c r="DK7" s="304"/>
      <c r="DL7" s="304">
        <v>12536.67</v>
      </c>
      <c r="DM7" s="304">
        <v>76.3</v>
      </c>
      <c r="DN7" s="304"/>
      <c r="DO7" s="304">
        <v>646.20000000000005</v>
      </c>
      <c r="DP7" s="304">
        <v>1822.8599999999997</v>
      </c>
      <c r="DQ7" s="304">
        <v>820.00000000000011</v>
      </c>
      <c r="DR7" s="304">
        <v>32680.450000000004</v>
      </c>
      <c r="DS7" s="304"/>
      <c r="DT7" s="304">
        <v>46.75</v>
      </c>
      <c r="DU7" s="304">
        <v>600.01</v>
      </c>
      <c r="DV7" s="426"/>
      <c r="DW7" s="304"/>
      <c r="DX7" s="304">
        <v>2821.5600000000009</v>
      </c>
      <c r="DY7" s="304"/>
      <c r="DZ7" s="304"/>
      <c r="EA7" s="304">
        <v>9185.9499999999989</v>
      </c>
      <c r="EB7" s="304">
        <v>2273.3700000000003</v>
      </c>
      <c r="EC7" s="304">
        <v>277.16000000000003</v>
      </c>
      <c r="ED7" s="304">
        <v>198.42</v>
      </c>
      <c r="EE7" s="304">
        <v>2160</v>
      </c>
      <c r="EF7" s="304"/>
      <c r="EG7" s="304"/>
      <c r="EH7" s="304"/>
      <c r="EI7" s="304"/>
      <c r="EJ7" s="304">
        <v>3496.83</v>
      </c>
      <c r="EK7" s="304">
        <v>7011.9</v>
      </c>
      <c r="EL7" s="304">
        <v>272.5</v>
      </c>
      <c r="EM7" s="304">
        <v>1823.1299999999999</v>
      </c>
      <c r="EN7" s="304">
        <v>10477.029999999999</v>
      </c>
      <c r="EO7" s="304"/>
      <c r="EP7" s="304"/>
      <c r="EQ7" s="304"/>
      <c r="ER7" s="304">
        <v>59</v>
      </c>
      <c r="ES7" s="304">
        <v>-1138065.6000000001</v>
      </c>
      <c r="ET7" s="304"/>
      <c r="EU7" s="304"/>
      <c r="EV7" s="304">
        <v>-15</v>
      </c>
      <c r="EW7" s="304">
        <v>-68677.37</v>
      </c>
      <c r="EX7" s="304"/>
      <c r="EY7" s="304"/>
      <c r="EZ7" s="304"/>
      <c r="FA7" s="304"/>
      <c r="FB7" s="304"/>
      <c r="FC7" s="304"/>
      <c r="FD7" s="304"/>
      <c r="FE7" s="304"/>
      <c r="FF7" s="304">
        <v>-34481</v>
      </c>
      <c r="FG7" s="304">
        <v>-16300</v>
      </c>
      <c r="FH7" s="304"/>
      <c r="FI7" s="304">
        <v>-168465.14</v>
      </c>
      <c r="FJ7" s="304"/>
      <c r="FK7" s="304"/>
      <c r="FL7" s="304"/>
      <c r="FM7" s="304"/>
      <c r="FN7" s="304">
        <v>-135979</v>
      </c>
      <c r="FO7" s="304">
        <v>4323.8999999999996</v>
      </c>
      <c r="FP7" s="304">
        <v>640.5</v>
      </c>
      <c r="FQ7" s="304">
        <v>-283.02</v>
      </c>
      <c r="FR7" s="304">
        <v>-10674</v>
      </c>
      <c r="FS7" s="304">
        <v>-21998</v>
      </c>
      <c r="FT7" s="304">
        <v>1162.75</v>
      </c>
      <c r="FU7" s="304"/>
      <c r="FV7" s="304"/>
      <c r="FW7" s="304">
        <v>1600.04</v>
      </c>
      <c r="FX7" s="304">
        <v>7329.8200000000015</v>
      </c>
      <c r="FY7" s="304"/>
      <c r="FZ7" s="304">
        <v>56840.149999999994</v>
      </c>
      <c r="GA7" s="304">
        <v>349</v>
      </c>
      <c r="GB7" s="304">
        <v>8218.3700000000008</v>
      </c>
      <c r="GC7" s="304">
        <v>261</v>
      </c>
      <c r="GD7" s="304">
        <v>2421.3199999999997</v>
      </c>
      <c r="GE7" s="304">
        <v>3361.6800000000003</v>
      </c>
      <c r="GF7" s="304">
        <v>4705</v>
      </c>
      <c r="GG7" s="304">
        <v>915</v>
      </c>
      <c r="GH7" s="304">
        <v>1125.0999999999999</v>
      </c>
      <c r="GI7" s="304">
        <v>991.75000000000011</v>
      </c>
      <c r="GJ7" s="304"/>
      <c r="GK7" s="304">
        <v>473.32</v>
      </c>
      <c r="GL7" s="304"/>
      <c r="GM7" s="304"/>
      <c r="GN7" s="304"/>
      <c r="GO7" s="304">
        <v>-2807.5</v>
      </c>
      <c r="GP7" s="304">
        <v>-6120</v>
      </c>
      <c r="GQ7" s="304">
        <v>-3402</v>
      </c>
      <c r="GR7" s="304">
        <v>-2010.88</v>
      </c>
      <c r="GS7" s="304">
        <v>-10594.289999999999</v>
      </c>
      <c r="GT7" s="304"/>
      <c r="GU7" s="304"/>
      <c r="GV7" s="304">
        <v>-4781.1200000000026</v>
      </c>
      <c r="GW7" s="304"/>
      <c r="GX7" s="304">
        <v>23.44</v>
      </c>
      <c r="GY7" s="304"/>
      <c r="GZ7" s="304"/>
      <c r="HA7" s="304">
        <v>-24177.399999999987</v>
      </c>
      <c r="HB7" s="304"/>
      <c r="HC7" s="304"/>
      <c r="HD7" s="304">
        <v>-140</v>
      </c>
      <c r="HE7" s="304"/>
      <c r="HF7" s="304"/>
      <c r="HG7" s="304">
        <v>-7278.78</v>
      </c>
    </row>
    <row r="8" spans="1:217">
      <c r="A8" s="116">
        <v>107724</v>
      </c>
      <c r="B8" s="304"/>
      <c r="C8" s="304">
        <v>428774.75999999995</v>
      </c>
      <c r="D8" s="304">
        <v>23163.16</v>
      </c>
      <c r="E8" s="304">
        <v>29330.84</v>
      </c>
      <c r="F8" s="304">
        <v>109156.39000000001</v>
      </c>
      <c r="G8" s="304">
        <v>49529.67</v>
      </c>
      <c r="H8" s="304">
        <v>7748.8200000000006</v>
      </c>
      <c r="I8" s="304"/>
      <c r="J8" s="304">
        <v>2324.1699999999996</v>
      </c>
      <c r="K8" s="304">
        <v>849.91</v>
      </c>
      <c r="L8" s="304"/>
      <c r="M8" s="304"/>
      <c r="N8" s="304"/>
      <c r="O8" s="304"/>
      <c r="P8" s="304"/>
      <c r="Q8" s="304"/>
      <c r="R8" s="304"/>
      <c r="S8" s="304"/>
      <c r="T8" s="304"/>
      <c r="U8" s="304"/>
      <c r="V8" s="304">
        <v>31233.260000000002</v>
      </c>
      <c r="W8" s="304">
        <v>668.86</v>
      </c>
      <c r="X8" s="304">
        <v>1518.1999999999998</v>
      </c>
      <c r="Y8" s="304">
        <v>7136.8799999999992</v>
      </c>
      <c r="Z8" s="304">
        <v>2803.61</v>
      </c>
      <c r="AA8" s="304">
        <v>22317.94</v>
      </c>
      <c r="AB8" s="304">
        <v>428.11</v>
      </c>
      <c r="AC8" s="304">
        <v>230.48999999999998</v>
      </c>
      <c r="AD8" s="304">
        <v>4904.1600000000008</v>
      </c>
      <c r="AE8" s="304">
        <v>1737.3</v>
      </c>
      <c r="AF8" s="304">
        <v>0</v>
      </c>
      <c r="AG8" s="304"/>
      <c r="AH8" s="304"/>
      <c r="AI8" s="304"/>
      <c r="AJ8" s="304">
        <v>0</v>
      </c>
      <c r="AK8" s="304">
        <v>178623.23</v>
      </c>
      <c r="AL8" s="304">
        <v>5024.87</v>
      </c>
      <c r="AM8" s="304">
        <v>1647.12</v>
      </c>
      <c r="AN8" s="304">
        <v>46020.62</v>
      </c>
      <c r="AO8" s="304">
        <v>18488.120000000003</v>
      </c>
      <c r="AP8" s="304"/>
      <c r="AQ8" s="304"/>
      <c r="AR8" s="304"/>
      <c r="AS8" s="304"/>
      <c r="AT8" s="304"/>
      <c r="AU8" s="304"/>
      <c r="AV8" s="304"/>
      <c r="AW8" s="304"/>
      <c r="AX8" s="304">
        <v>42900.52</v>
      </c>
      <c r="AY8" s="304">
        <v>250.12</v>
      </c>
      <c r="AZ8" s="304">
        <v>606.96</v>
      </c>
      <c r="BA8" s="304"/>
      <c r="BB8" s="304">
        <v>16578.339999999997</v>
      </c>
      <c r="BC8" s="304">
        <v>7918.9</v>
      </c>
      <c r="BD8" s="304">
        <v>28104.149999999994</v>
      </c>
      <c r="BE8" s="304">
        <v>29.66</v>
      </c>
      <c r="BF8" s="304">
        <v>279.24</v>
      </c>
      <c r="BG8" s="304">
        <v>7500.9299999999985</v>
      </c>
      <c r="BH8" s="304">
        <v>2760.74</v>
      </c>
      <c r="BI8" s="304">
        <v>41033.499999999993</v>
      </c>
      <c r="BJ8" s="304"/>
      <c r="BK8" s="304">
        <v>196.14000000000001</v>
      </c>
      <c r="BL8" s="304">
        <v>4999.4800000000005</v>
      </c>
      <c r="BM8" s="304">
        <v>1545.2799999999997</v>
      </c>
      <c r="BN8" s="304"/>
      <c r="BO8" s="304"/>
      <c r="BP8" s="304"/>
      <c r="BQ8" s="304"/>
      <c r="BR8" s="304"/>
      <c r="BS8" s="304"/>
      <c r="BT8" s="304"/>
      <c r="BU8" s="304"/>
      <c r="BV8" s="304"/>
      <c r="BW8" s="304"/>
      <c r="BX8" s="304"/>
      <c r="BY8" s="304"/>
      <c r="BZ8" s="304">
        <v>2941.23</v>
      </c>
      <c r="CA8" s="304"/>
      <c r="CB8" s="304"/>
      <c r="CC8" s="304">
        <v>924.98</v>
      </c>
      <c r="CD8" s="304">
        <v>0</v>
      </c>
      <c r="CE8" s="304">
        <v>13208.590000000002</v>
      </c>
      <c r="CF8" s="304">
        <v>11713.039999999999</v>
      </c>
      <c r="CG8" s="304">
        <v>947.11000000000013</v>
      </c>
      <c r="CH8" s="304">
        <v>9611.5</v>
      </c>
      <c r="CI8" s="304"/>
      <c r="CJ8" s="304">
        <v>2995</v>
      </c>
      <c r="CK8" s="304">
        <v>404</v>
      </c>
      <c r="CL8" s="304"/>
      <c r="CM8" s="304">
        <v>635</v>
      </c>
      <c r="CN8" s="304">
        <v>11737.269999999999</v>
      </c>
      <c r="CO8" s="304">
        <v>12426.66</v>
      </c>
      <c r="CP8" s="304"/>
      <c r="CQ8" s="304"/>
      <c r="CR8" s="304"/>
      <c r="CS8" s="304"/>
      <c r="CT8" s="304">
        <v>17090.75</v>
      </c>
      <c r="CU8" s="304">
        <v>7687.9900000000007</v>
      </c>
      <c r="CV8" s="304"/>
      <c r="CW8" s="304">
        <v>1173.26</v>
      </c>
      <c r="CX8" s="304">
        <v>4547.5599999999995</v>
      </c>
      <c r="CY8" s="304"/>
      <c r="CZ8" s="304"/>
      <c r="DA8" s="304"/>
      <c r="DB8" s="304">
        <v>2685.6400000000003</v>
      </c>
      <c r="DC8" s="304">
        <v>422.84999999999991</v>
      </c>
      <c r="DD8" s="304"/>
      <c r="DE8" s="304">
        <v>806.71</v>
      </c>
      <c r="DF8" s="304"/>
      <c r="DG8" s="304"/>
      <c r="DH8" s="304"/>
      <c r="DI8" s="304"/>
      <c r="DJ8" s="304"/>
      <c r="DK8" s="304">
        <v>3709</v>
      </c>
      <c r="DL8" s="304">
        <v>15398.220000000005</v>
      </c>
      <c r="DM8" s="304">
        <v>402.61999999999995</v>
      </c>
      <c r="DN8" s="304">
        <v>154.94</v>
      </c>
      <c r="DO8" s="304">
        <v>1507.3000000000004</v>
      </c>
      <c r="DP8" s="304">
        <v>8926.3200000000015</v>
      </c>
      <c r="DQ8" s="304">
        <v>6254</v>
      </c>
      <c r="DR8" s="304">
        <v>13677.619999999999</v>
      </c>
      <c r="DS8" s="304"/>
      <c r="DT8" s="304">
        <v>-9.6999999999999993</v>
      </c>
      <c r="DU8" s="304">
        <v>2122.85</v>
      </c>
      <c r="DV8" s="426"/>
      <c r="DW8" s="304"/>
      <c r="DX8" s="304"/>
      <c r="DY8" s="304"/>
      <c r="DZ8" s="304"/>
      <c r="EA8" s="304">
        <v>1886.8799999999999</v>
      </c>
      <c r="EB8" s="304">
        <v>6322.1</v>
      </c>
      <c r="EC8" s="304">
        <v>1535.92</v>
      </c>
      <c r="ED8" s="304">
        <v>216.76</v>
      </c>
      <c r="EE8" s="304">
        <v>3450</v>
      </c>
      <c r="EF8" s="304"/>
      <c r="EG8" s="304"/>
      <c r="EH8" s="304"/>
      <c r="EI8" s="304">
        <v>1445</v>
      </c>
      <c r="EJ8" s="304"/>
      <c r="EK8" s="304">
        <v>6243.93</v>
      </c>
      <c r="EL8" s="304">
        <v>3995</v>
      </c>
      <c r="EM8" s="304">
        <v>16205.87</v>
      </c>
      <c r="EN8" s="304">
        <v>37720.559999999998</v>
      </c>
      <c r="EO8" s="304"/>
      <c r="EP8" s="304">
        <v>0</v>
      </c>
      <c r="EQ8" s="304"/>
      <c r="ER8" s="304"/>
      <c r="ES8" s="304">
        <v>-1018891.81</v>
      </c>
      <c r="ET8" s="304"/>
      <c r="EU8" s="304"/>
      <c r="EV8" s="304"/>
      <c r="EW8" s="304">
        <v>-63005</v>
      </c>
      <c r="EX8" s="304"/>
      <c r="EY8" s="304"/>
      <c r="EZ8" s="304"/>
      <c r="FA8" s="304"/>
      <c r="FB8" s="304"/>
      <c r="FC8" s="304"/>
      <c r="FD8" s="304"/>
      <c r="FE8" s="304">
        <v>-6238.75</v>
      </c>
      <c r="FF8" s="304">
        <v>-25534</v>
      </c>
      <c r="FG8" s="304">
        <v>-16234</v>
      </c>
      <c r="FH8" s="304"/>
      <c r="FI8" s="304">
        <v>-3993.79</v>
      </c>
      <c r="FJ8" s="304"/>
      <c r="FK8" s="304">
        <v>-6488.91</v>
      </c>
      <c r="FL8" s="304"/>
      <c r="FM8" s="304"/>
      <c r="FN8" s="304">
        <v>-126025</v>
      </c>
      <c r="FO8" s="304">
        <v>3850.33</v>
      </c>
      <c r="FP8" s="304">
        <v>570.35</v>
      </c>
      <c r="FQ8" s="304">
        <v>-8856.7800000000007</v>
      </c>
      <c r="FR8" s="304">
        <v>-9747</v>
      </c>
      <c r="FS8" s="304">
        <v>-20041</v>
      </c>
      <c r="FT8" s="304">
        <v>1536.75</v>
      </c>
      <c r="FU8" s="304">
        <v>3597.87</v>
      </c>
      <c r="FV8" s="304"/>
      <c r="FW8" s="304">
        <v>1584.84</v>
      </c>
      <c r="FX8" s="304"/>
      <c r="FY8" s="304"/>
      <c r="FZ8" s="304">
        <v>710</v>
      </c>
      <c r="GA8" s="304">
        <v>450</v>
      </c>
      <c r="GB8" s="304">
        <v>7130.3200000000052</v>
      </c>
      <c r="GC8" s="304">
        <v>261</v>
      </c>
      <c r="GD8" s="304">
        <v>4354.17</v>
      </c>
      <c r="GE8" s="304">
        <v>3301.65</v>
      </c>
      <c r="GF8" s="304">
        <v>1963.5</v>
      </c>
      <c r="GG8" s="304">
        <v>610</v>
      </c>
      <c r="GH8" s="304">
        <v>1055.1400000000001</v>
      </c>
      <c r="GI8" s="304"/>
      <c r="GJ8" s="304"/>
      <c r="GK8" s="304"/>
      <c r="GL8" s="304"/>
      <c r="GM8" s="304"/>
      <c r="GN8" s="304"/>
      <c r="GO8" s="304">
        <v>-1800</v>
      </c>
      <c r="GP8" s="304"/>
      <c r="GQ8" s="304"/>
      <c r="GR8" s="304">
        <v>-10256.959999999999</v>
      </c>
      <c r="GS8" s="304">
        <v>-21730.670000000009</v>
      </c>
      <c r="GT8" s="304"/>
      <c r="GU8" s="304"/>
      <c r="GV8" s="304">
        <v>-3199.8899999999994</v>
      </c>
      <c r="GW8" s="304">
        <v>-5625</v>
      </c>
      <c r="GX8" s="304">
        <v>-10476.239999999996</v>
      </c>
      <c r="GY8" s="304">
        <v>-2158</v>
      </c>
      <c r="GZ8" s="304">
        <v>-11877.83</v>
      </c>
      <c r="HA8" s="304">
        <v>-37558.399999999987</v>
      </c>
      <c r="HB8" s="304">
        <v>-1875</v>
      </c>
      <c r="HC8" s="304"/>
      <c r="HD8" s="304">
        <v>-7302.5</v>
      </c>
      <c r="HE8" s="304">
        <v>-459.26999999999981</v>
      </c>
      <c r="HF8" s="304"/>
      <c r="HG8" s="304">
        <v>-2734.72</v>
      </c>
    </row>
    <row r="9" spans="1:217">
      <c r="A9" s="116">
        <v>107726</v>
      </c>
      <c r="B9" s="304"/>
      <c r="C9" s="304">
        <v>689500.4</v>
      </c>
      <c r="D9" s="304">
        <v>6353.8899999999994</v>
      </c>
      <c r="E9" s="304">
        <v>56410.800000000017</v>
      </c>
      <c r="F9" s="304">
        <v>214698.05</v>
      </c>
      <c r="G9" s="304">
        <v>98586.76</v>
      </c>
      <c r="H9" s="304">
        <v>1871.27</v>
      </c>
      <c r="I9" s="304"/>
      <c r="J9" s="304">
        <v>536.67999999999995</v>
      </c>
      <c r="K9" s="304">
        <v>224.61999999999998</v>
      </c>
      <c r="L9" s="304"/>
      <c r="M9" s="304"/>
      <c r="N9" s="304"/>
      <c r="O9" s="304"/>
      <c r="P9" s="304"/>
      <c r="Q9" s="304"/>
      <c r="R9" s="304"/>
      <c r="S9" s="304"/>
      <c r="T9" s="304"/>
      <c r="U9" s="304"/>
      <c r="V9" s="304">
        <v>7505.3200000000015</v>
      </c>
      <c r="W9" s="304"/>
      <c r="X9" s="304">
        <v>121.24</v>
      </c>
      <c r="Y9" s="304">
        <v>2013.2899999999997</v>
      </c>
      <c r="Z9" s="304">
        <v>855.32999999999993</v>
      </c>
      <c r="AA9" s="304">
        <v>39017.589999999997</v>
      </c>
      <c r="AB9" s="304">
        <v>1239.5</v>
      </c>
      <c r="AC9" s="304">
        <v>2882.5699999999997</v>
      </c>
      <c r="AD9" s="304">
        <v>11021.410000000002</v>
      </c>
      <c r="AE9" s="304">
        <v>2827</v>
      </c>
      <c r="AF9" s="304"/>
      <c r="AG9" s="304"/>
      <c r="AH9" s="304"/>
      <c r="AI9" s="304"/>
      <c r="AJ9" s="304"/>
      <c r="AK9" s="304">
        <v>317983.84999999998</v>
      </c>
      <c r="AL9" s="304">
        <v>8528.0300000000007</v>
      </c>
      <c r="AM9" s="304">
        <v>611.51</v>
      </c>
      <c r="AN9" s="304">
        <v>86938.040000000008</v>
      </c>
      <c r="AO9" s="304">
        <v>35032.800000000003</v>
      </c>
      <c r="AP9" s="304"/>
      <c r="AQ9" s="304"/>
      <c r="AR9" s="304"/>
      <c r="AS9" s="304"/>
      <c r="AT9" s="304"/>
      <c r="AU9" s="304"/>
      <c r="AV9" s="304"/>
      <c r="AW9" s="304"/>
      <c r="AX9" s="304">
        <v>53458.91</v>
      </c>
      <c r="AY9" s="304">
        <v>878.13</v>
      </c>
      <c r="AZ9" s="304">
        <v>649.84</v>
      </c>
      <c r="BA9" s="304"/>
      <c r="BB9" s="304">
        <v>16030.950000000003</v>
      </c>
      <c r="BC9" s="304">
        <v>6308.9399999999987</v>
      </c>
      <c r="BD9" s="304">
        <v>49767.170000000006</v>
      </c>
      <c r="BE9" s="304">
        <v>77.13</v>
      </c>
      <c r="BF9" s="304">
        <v>1645.7499999999998</v>
      </c>
      <c r="BG9" s="304">
        <v>13593.04</v>
      </c>
      <c r="BH9" s="304">
        <v>4998.82</v>
      </c>
      <c r="BI9" s="304">
        <v>65763.460000000006</v>
      </c>
      <c r="BJ9" s="304">
        <v>18.73</v>
      </c>
      <c r="BK9" s="304"/>
      <c r="BL9" s="304">
        <v>18465.219999999998</v>
      </c>
      <c r="BM9" s="304">
        <v>5353.5700000000006</v>
      </c>
      <c r="BN9" s="304"/>
      <c r="BO9" s="304"/>
      <c r="BP9" s="304"/>
      <c r="BQ9" s="304"/>
      <c r="BR9" s="304"/>
      <c r="BS9" s="304"/>
      <c r="BT9" s="304"/>
      <c r="BU9" s="304"/>
      <c r="BV9" s="304"/>
      <c r="BW9" s="304"/>
      <c r="BX9" s="304"/>
      <c r="BY9" s="304"/>
      <c r="BZ9" s="304">
        <v>6643.0099999999993</v>
      </c>
      <c r="CA9" s="304">
        <v>3188.44</v>
      </c>
      <c r="CB9" s="304"/>
      <c r="CC9" s="304">
        <v>0</v>
      </c>
      <c r="CD9" s="304">
        <v>132.06</v>
      </c>
      <c r="CE9" s="304">
        <v>9564</v>
      </c>
      <c r="CF9" s="304">
        <v>17612.449999999997</v>
      </c>
      <c r="CG9" s="304"/>
      <c r="CH9" s="304">
        <v>7067.1500000000005</v>
      </c>
      <c r="CI9" s="304"/>
      <c r="CJ9" s="304"/>
      <c r="CK9" s="304"/>
      <c r="CL9" s="304"/>
      <c r="CM9" s="304">
        <v>2366</v>
      </c>
      <c r="CN9" s="304">
        <v>11334.5</v>
      </c>
      <c r="CO9" s="304">
        <v>10860.47</v>
      </c>
      <c r="CP9" s="304"/>
      <c r="CQ9" s="304"/>
      <c r="CR9" s="304">
        <v>31.6</v>
      </c>
      <c r="CS9" s="304"/>
      <c r="CT9" s="304">
        <v>9742.93</v>
      </c>
      <c r="CU9" s="304">
        <v>7703.03</v>
      </c>
      <c r="CV9" s="304">
        <v>716.5</v>
      </c>
      <c r="CW9" s="304">
        <v>5721.4099999999989</v>
      </c>
      <c r="CX9" s="304"/>
      <c r="CY9" s="304"/>
      <c r="CZ9" s="304"/>
      <c r="DA9" s="304"/>
      <c r="DB9" s="304"/>
      <c r="DC9" s="304">
        <v>105.05</v>
      </c>
      <c r="DD9" s="304"/>
      <c r="DE9" s="304">
        <v>546</v>
      </c>
      <c r="DF9" s="304"/>
      <c r="DG9" s="304"/>
      <c r="DH9" s="304">
        <v>8640</v>
      </c>
      <c r="DI9" s="304"/>
      <c r="DJ9" s="304">
        <v>60.959999999999994</v>
      </c>
      <c r="DK9" s="304"/>
      <c r="DL9" s="304">
        <v>39369.62999999999</v>
      </c>
      <c r="DM9" s="304">
        <v>447.68000000000006</v>
      </c>
      <c r="DN9" s="304"/>
      <c r="DO9" s="304">
        <v>1796.7</v>
      </c>
      <c r="DP9" s="304">
        <v>6247.59</v>
      </c>
      <c r="DQ9" s="304">
        <v>11709.62</v>
      </c>
      <c r="DR9" s="304">
        <v>39293.37999999999</v>
      </c>
      <c r="DS9" s="304"/>
      <c r="DT9" s="304">
        <v>138.65</v>
      </c>
      <c r="DU9" s="304">
        <v>2084.4700000000003</v>
      </c>
      <c r="DV9" s="426"/>
      <c r="DW9" s="304"/>
      <c r="DX9" s="304"/>
      <c r="DY9" s="304"/>
      <c r="DZ9" s="304"/>
      <c r="EA9" s="304">
        <v>769.65000000000009</v>
      </c>
      <c r="EB9" s="304">
        <v>4526.5</v>
      </c>
      <c r="EC9" s="304">
        <v>3721.1800000000003</v>
      </c>
      <c r="ED9" s="304"/>
      <c r="EE9" s="304">
        <v>4972</v>
      </c>
      <c r="EF9" s="304"/>
      <c r="EG9" s="304"/>
      <c r="EH9" s="304"/>
      <c r="EI9" s="304">
        <v>140</v>
      </c>
      <c r="EJ9" s="304">
        <v>5373</v>
      </c>
      <c r="EK9" s="304">
        <v>10284.119999999999</v>
      </c>
      <c r="EL9" s="304">
        <v>5122</v>
      </c>
      <c r="EM9" s="304">
        <v>45943.34</v>
      </c>
      <c r="EN9" s="304">
        <v>32194.23</v>
      </c>
      <c r="EO9" s="304"/>
      <c r="EP9" s="304"/>
      <c r="EQ9" s="304"/>
      <c r="ER9" s="304"/>
      <c r="ES9" s="304">
        <v>-1787981.89</v>
      </c>
      <c r="ET9" s="304"/>
      <c r="EU9" s="304"/>
      <c r="EV9" s="304">
        <v>-438.8</v>
      </c>
      <c r="EW9" s="304">
        <v>-130180</v>
      </c>
      <c r="EX9" s="304"/>
      <c r="EY9" s="304"/>
      <c r="EZ9" s="304"/>
      <c r="FA9" s="304">
        <v>-1428.2199999999998</v>
      </c>
      <c r="FB9" s="304"/>
      <c r="FC9" s="304"/>
      <c r="FD9" s="304"/>
      <c r="FE9" s="304">
        <v>-11678.75</v>
      </c>
      <c r="FF9" s="304">
        <v>-34065</v>
      </c>
      <c r="FG9" s="304">
        <v>-31754</v>
      </c>
      <c r="FH9" s="304"/>
      <c r="FI9" s="304">
        <v>-177167.75</v>
      </c>
      <c r="FJ9" s="304"/>
      <c r="FK9" s="304">
        <v>-19908.509999999998</v>
      </c>
      <c r="FL9" s="304"/>
      <c r="FM9" s="304"/>
      <c r="FN9" s="304">
        <v>-110894</v>
      </c>
      <c r="FO9" s="304">
        <v>6341.7199999999993</v>
      </c>
      <c r="FP9" s="304">
        <v>939.4</v>
      </c>
      <c r="FQ9" s="304">
        <v>-27664.79</v>
      </c>
      <c r="FR9" s="304">
        <v>-16896</v>
      </c>
      <c r="FS9" s="304">
        <v>-34598</v>
      </c>
      <c r="FT9" s="304">
        <v>881.75</v>
      </c>
      <c r="FU9" s="304">
        <v>0</v>
      </c>
      <c r="FV9" s="304"/>
      <c r="FW9" s="304">
        <v>2969.04</v>
      </c>
      <c r="FX9" s="304">
        <v>8134.3400000000011</v>
      </c>
      <c r="FY9" s="304">
        <v>1014</v>
      </c>
      <c r="FZ9" s="304">
        <v>710</v>
      </c>
      <c r="GA9" s="304">
        <v>1148</v>
      </c>
      <c r="GB9" s="304">
        <v>13365.779999999999</v>
      </c>
      <c r="GC9" s="304"/>
      <c r="GD9" s="304">
        <v>5925.18</v>
      </c>
      <c r="GE9" s="304">
        <v>5055.8600000000006</v>
      </c>
      <c r="GF9" s="304">
        <v>3234</v>
      </c>
      <c r="GG9" s="304">
        <v>1120</v>
      </c>
      <c r="GH9" s="304">
        <v>1963.76</v>
      </c>
      <c r="GI9" s="304">
        <v>2295.2299999999996</v>
      </c>
      <c r="GJ9" s="304"/>
      <c r="GK9" s="304"/>
      <c r="GL9" s="304"/>
      <c r="GM9" s="304"/>
      <c r="GN9" s="304">
        <v>-600</v>
      </c>
      <c r="GO9" s="304"/>
      <c r="GP9" s="304"/>
      <c r="GQ9" s="304"/>
      <c r="GR9" s="304">
        <v>-1924.2400000000002</v>
      </c>
      <c r="GS9" s="304">
        <v>-21206.65</v>
      </c>
      <c r="GT9" s="304"/>
      <c r="GU9" s="304"/>
      <c r="GV9" s="304"/>
      <c r="GW9" s="304">
        <v>-3417</v>
      </c>
      <c r="GX9" s="304">
        <v>-28592.999999999993</v>
      </c>
      <c r="GY9" s="304">
        <v>-6200</v>
      </c>
      <c r="GZ9" s="304">
        <v>-4727.5</v>
      </c>
      <c r="HA9" s="304">
        <v>-11678.5</v>
      </c>
      <c r="HB9" s="304"/>
      <c r="HC9" s="304"/>
      <c r="HD9" s="304">
        <v>-4200</v>
      </c>
      <c r="HE9" s="304"/>
      <c r="HF9" s="304"/>
      <c r="HG9" s="304">
        <v>-10292.52</v>
      </c>
    </row>
    <row r="10" spans="1:217">
      <c r="A10" s="116">
        <v>107730</v>
      </c>
      <c r="B10" s="304"/>
      <c r="C10" s="304">
        <v>311451.21999999997</v>
      </c>
      <c r="D10" s="304">
        <v>1655.22</v>
      </c>
      <c r="E10" s="304">
        <v>32238.020000000004</v>
      </c>
      <c r="F10" s="304">
        <v>91998.17</v>
      </c>
      <c r="G10" s="304">
        <v>42437.48</v>
      </c>
      <c r="H10" s="304">
        <v>3227.15</v>
      </c>
      <c r="I10" s="304"/>
      <c r="J10" s="304">
        <v>429.64000000000004</v>
      </c>
      <c r="K10" s="304">
        <v>207.11</v>
      </c>
      <c r="L10" s="304"/>
      <c r="M10" s="304"/>
      <c r="N10" s="304"/>
      <c r="O10" s="304"/>
      <c r="P10" s="304"/>
      <c r="Q10" s="304"/>
      <c r="R10" s="304"/>
      <c r="S10" s="304"/>
      <c r="T10" s="304"/>
      <c r="U10" s="304"/>
      <c r="V10" s="304">
        <v>11324.21</v>
      </c>
      <c r="W10" s="304">
        <v>281.17000000000007</v>
      </c>
      <c r="X10" s="304">
        <v>169.39999999999998</v>
      </c>
      <c r="Y10" s="304">
        <v>3108.4400000000005</v>
      </c>
      <c r="Z10" s="304">
        <v>1003.8599999999999</v>
      </c>
      <c r="AA10" s="304">
        <v>20273.329999999998</v>
      </c>
      <c r="AB10" s="304">
        <v>141.79000000000002</v>
      </c>
      <c r="AC10" s="304">
        <v>754.46</v>
      </c>
      <c r="AD10" s="304">
        <v>5588.4299999999985</v>
      </c>
      <c r="AE10" s="304">
        <v>317.57</v>
      </c>
      <c r="AF10" s="304"/>
      <c r="AG10" s="304"/>
      <c r="AH10" s="304"/>
      <c r="AI10" s="304"/>
      <c r="AJ10" s="304"/>
      <c r="AK10" s="304">
        <v>70704.430000000008</v>
      </c>
      <c r="AL10" s="304">
        <v>784.56</v>
      </c>
      <c r="AM10" s="304">
        <v>1371.3100000000002</v>
      </c>
      <c r="AN10" s="304">
        <v>17798.899999999998</v>
      </c>
      <c r="AO10" s="304">
        <v>7637.9900000000007</v>
      </c>
      <c r="AP10" s="304"/>
      <c r="AQ10" s="304"/>
      <c r="AR10" s="304"/>
      <c r="AS10" s="304"/>
      <c r="AT10" s="304"/>
      <c r="AU10" s="304"/>
      <c r="AV10" s="304"/>
      <c r="AW10" s="304"/>
      <c r="AX10" s="304">
        <v>34673.640000000007</v>
      </c>
      <c r="AY10" s="304"/>
      <c r="AZ10" s="304">
        <v>1413.6000000000001</v>
      </c>
      <c r="BA10" s="304"/>
      <c r="BB10" s="304">
        <v>9526.98</v>
      </c>
      <c r="BC10" s="304">
        <v>4663.9299999999994</v>
      </c>
      <c r="BD10" s="304"/>
      <c r="BE10" s="304"/>
      <c r="BF10" s="304"/>
      <c r="BG10" s="304"/>
      <c r="BH10" s="304"/>
      <c r="BI10" s="304">
        <v>26504.600000000002</v>
      </c>
      <c r="BJ10" s="304"/>
      <c r="BK10" s="304">
        <v>235.74</v>
      </c>
      <c r="BL10" s="304">
        <v>7059.1999999999971</v>
      </c>
      <c r="BM10" s="304">
        <v>1759.2200000000003</v>
      </c>
      <c r="BN10" s="304"/>
      <c r="BO10" s="304"/>
      <c r="BP10" s="304"/>
      <c r="BQ10" s="304"/>
      <c r="BR10" s="304"/>
      <c r="BS10" s="304"/>
      <c r="BT10" s="304"/>
      <c r="BU10" s="304"/>
      <c r="BV10" s="304"/>
      <c r="BW10" s="304"/>
      <c r="BX10" s="304"/>
      <c r="BY10" s="304"/>
      <c r="BZ10" s="304">
        <v>3912</v>
      </c>
      <c r="CA10" s="304"/>
      <c r="CB10" s="304"/>
      <c r="CC10" s="304"/>
      <c r="CD10" s="304"/>
      <c r="CE10" s="304">
        <v>135</v>
      </c>
      <c r="CF10" s="304">
        <v>6448.57</v>
      </c>
      <c r="CG10" s="304">
        <v>12.7</v>
      </c>
      <c r="CH10" s="304">
        <v>3712.5</v>
      </c>
      <c r="CI10" s="304"/>
      <c r="CJ10" s="304"/>
      <c r="CK10" s="304"/>
      <c r="CL10" s="304">
        <v>3970</v>
      </c>
      <c r="CM10" s="304">
        <v>911.8</v>
      </c>
      <c r="CN10" s="304">
        <v>14977.69</v>
      </c>
      <c r="CO10" s="304"/>
      <c r="CP10" s="304">
        <v>8513.4500000000007</v>
      </c>
      <c r="CQ10" s="304"/>
      <c r="CR10" s="304"/>
      <c r="CS10" s="304"/>
      <c r="CT10" s="304">
        <v>22205.5</v>
      </c>
      <c r="CU10" s="304">
        <v>2806.61</v>
      </c>
      <c r="CV10" s="304">
        <v>137.75</v>
      </c>
      <c r="CW10" s="304">
        <v>2126.3000000000002</v>
      </c>
      <c r="CX10" s="304">
        <v>937.39</v>
      </c>
      <c r="CY10" s="304"/>
      <c r="CZ10" s="304"/>
      <c r="DA10" s="304"/>
      <c r="DB10" s="304">
        <v>4665</v>
      </c>
      <c r="DC10" s="304">
        <v>71.61999999999999</v>
      </c>
      <c r="DD10" s="304"/>
      <c r="DE10" s="304">
        <v>477.96999999999997</v>
      </c>
      <c r="DF10" s="304"/>
      <c r="DG10" s="304"/>
      <c r="DH10" s="304">
        <v>3529.99</v>
      </c>
      <c r="DI10" s="304"/>
      <c r="DJ10" s="304"/>
      <c r="DK10" s="304">
        <v>2441</v>
      </c>
      <c r="DL10" s="304">
        <v>21186.250000000004</v>
      </c>
      <c r="DM10" s="304">
        <v>422.85</v>
      </c>
      <c r="DN10" s="304"/>
      <c r="DO10" s="304">
        <v>1196.54</v>
      </c>
      <c r="DP10" s="304">
        <v>1647.9899999999998</v>
      </c>
      <c r="DQ10" s="304">
        <v>900.13</v>
      </c>
      <c r="DR10" s="304">
        <v>19245.330000000002</v>
      </c>
      <c r="DS10" s="304"/>
      <c r="DT10" s="304"/>
      <c r="DU10" s="304">
        <v>1622.57</v>
      </c>
      <c r="DV10" s="426"/>
      <c r="DW10" s="304"/>
      <c r="DX10" s="304">
        <v>2410.1999999999998</v>
      </c>
      <c r="DY10" s="304"/>
      <c r="DZ10" s="304"/>
      <c r="EA10" s="304">
        <v>1954.6299999999999</v>
      </c>
      <c r="EB10" s="304">
        <v>7527</v>
      </c>
      <c r="EC10" s="304">
        <v>0</v>
      </c>
      <c r="ED10" s="304"/>
      <c r="EE10" s="304"/>
      <c r="EF10" s="304"/>
      <c r="EG10" s="304"/>
      <c r="EH10" s="304"/>
      <c r="EI10" s="304"/>
      <c r="EJ10" s="304"/>
      <c r="EK10" s="304">
        <v>3839.85</v>
      </c>
      <c r="EL10" s="304"/>
      <c r="EM10" s="304">
        <v>978.53999999999985</v>
      </c>
      <c r="EN10" s="304">
        <v>7948.0199999999995</v>
      </c>
      <c r="EO10" s="304"/>
      <c r="EP10" s="304"/>
      <c r="EQ10" s="304"/>
      <c r="ER10" s="304"/>
      <c r="ES10" s="304">
        <v>-712278.66</v>
      </c>
      <c r="ET10" s="304"/>
      <c r="EU10" s="304"/>
      <c r="EV10" s="304"/>
      <c r="EW10" s="304">
        <v>-30950</v>
      </c>
      <c r="EX10" s="304"/>
      <c r="EY10" s="304"/>
      <c r="EZ10" s="304"/>
      <c r="FA10" s="304">
        <v>-876</v>
      </c>
      <c r="FB10" s="304"/>
      <c r="FC10" s="304"/>
      <c r="FD10" s="304"/>
      <c r="FE10" s="304">
        <v>-5372.5</v>
      </c>
      <c r="FF10" s="304">
        <v>-17279</v>
      </c>
      <c r="FG10" s="304">
        <v>-15576</v>
      </c>
      <c r="FH10" s="304"/>
      <c r="FI10" s="304">
        <v>125912.35</v>
      </c>
      <c r="FJ10" s="304"/>
      <c r="FK10" s="304">
        <v>-8001.58</v>
      </c>
      <c r="FL10" s="304"/>
      <c r="FM10" s="304"/>
      <c r="FN10" s="304">
        <v>-29712</v>
      </c>
      <c r="FO10" s="304">
        <v>2367.85</v>
      </c>
      <c r="FP10" s="304">
        <v>350.75</v>
      </c>
      <c r="FQ10" s="304">
        <v>-13720.24</v>
      </c>
      <c r="FR10" s="304">
        <v>-6361</v>
      </c>
      <c r="FS10" s="304">
        <v>-12879</v>
      </c>
      <c r="FT10" s="304">
        <v>927</v>
      </c>
      <c r="FU10" s="304">
        <v>3631.43</v>
      </c>
      <c r="FV10" s="304"/>
      <c r="FW10" s="304">
        <v>1359.88</v>
      </c>
      <c r="FX10" s="304">
        <v>3496.0999999999995</v>
      </c>
      <c r="FY10" s="304"/>
      <c r="FZ10" s="304">
        <v>27443.879999999997</v>
      </c>
      <c r="GA10" s="304">
        <v>1634.25</v>
      </c>
      <c r="GB10" s="304">
        <v>5796.1400000000021</v>
      </c>
      <c r="GC10" s="304"/>
      <c r="GD10" s="304">
        <v>3183.02</v>
      </c>
      <c r="GE10" s="304">
        <v>2001</v>
      </c>
      <c r="GF10" s="304">
        <v>3707.5</v>
      </c>
      <c r="GG10" s="304">
        <v>975</v>
      </c>
      <c r="GH10" s="304">
        <v>905.65</v>
      </c>
      <c r="GI10" s="304">
        <v>1846.96</v>
      </c>
      <c r="GJ10" s="304"/>
      <c r="GK10" s="304"/>
      <c r="GL10" s="304"/>
      <c r="GM10" s="304"/>
      <c r="GN10" s="304"/>
      <c r="GO10" s="304"/>
      <c r="GP10" s="304"/>
      <c r="GQ10" s="304"/>
      <c r="GR10" s="304">
        <v>-1018.22</v>
      </c>
      <c r="GS10" s="304">
        <v>-8220.27</v>
      </c>
      <c r="GT10" s="304"/>
      <c r="GU10" s="304"/>
      <c r="GV10" s="304">
        <v>-443.88</v>
      </c>
      <c r="GW10" s="304"/>
      <c r="GX10" s="304">
        <v>-1372.1599999999999</v>
      </c>
      <c r="GY10" s="304">
        <v>-2485</v>
      </c>
      <c r="GZ10" s="304"/>
      <c r="HA10" s="304">
        <v>-30791.369999999988</v>
      </c>
      <c r="HB10" s="304"/>
      <c r="HC10" s="304"/>
      <c r="HD10" s="304"/>
      <c r="HE10" s="304"/>
      <c r="HF10" s="304"/>
      <c r="HG10" s="304"/>
    </row>
    <row r="11" spans="1:217">
      <c r="A11" s="116">
        <v>107731</v>
      </c>
      <c r="B11" s="304"/>
      <c r="C11" s="304">
        <v>254156.06</v>
      </c>
      <c r="D11" s="304">
        <v>798.7</v>
      </c>
      <c r="E11" s="304">
        <v>1160</v>
      </c>
      <c r="F11" s="304">
        <v>76105.91</v>
      </c>
      <c r="G11" s="304">
        <v>34848.1</v>
      </c>
      <c r="H11" s="304">
        <v>14473.41</v>
      </c>
      <c r="I11" s="304"/>
      <c r="J11" s="304">
        <v>4150.9800000000005</v>
      </c>
      <c r="K11" s="304">
        <v>1740.51</v>
      </c>
      <c r="L11" s="304"/>
      <c r="M11" s="304"/>
      <c r="N11" s="304"/>
      <c r="O11" s="304"/>
      <c r="P11" s="304"/>
      <c r="Q11" s="304"/>
      <c r="R11" s="304"/>
      <c r="S11" s="304"/>
      <c r="T11" s="304"/>
      <c r="U11" s="304"/>
      <c r="V11" s="304">
        <v>18428.66</v>
      </c>
      <c r="W11" s="304">
        <v>19.13</v>
      </c>
      <c r="X11" s="304">
        <v>75.63</v>
      </c>
      <c r="Y11" s="304">
        <v>3060.5300000000007</v>
      </c>
      <c r="Z11" s="304">
        <v>1859.2500000000005</v>
      </c>
      <c r="AA11" s="304">
        <v>12782.100000000002</v>
      </c>
      <c r="AB11" s="304">
        <v>22.6</v>
      </c>
      <c r="AC11" s="304">
        <v>282.76</v>
      </c>
      <c r="AD11" s="304">
        <v>2525.4900000000002</v>
      </c>
      <c r="AE11" s="304">
        <v>134.73000000000002</v>
      </c>
      <c r="AF11" s="304">
        <v>1367.83</v>
      </c>
      <c r="AG11" s="304"/>
      <c r="AH11" s="304"/>
      <c r="AI11" s="304">
        <v>361.1</v>
      </c>
      <c r="AJ11" s="304">
        <v>149.54</v>
      </c>
      <c r="AK11" s="304">
        <v>70565.360000000015</v>
      </c>
      <c r="AL11" s="304">
        <v>375.77</v>
      </c>
      <c r="AM11" s="304">
        <v>2655.99</v>
      </c>
      <c r="AN11" s="304">
        <v>21423.14</v>
      </c>
      <c r="AO11" s="304">
        <v>7487.6799999999985</v>
      </c>
      <c r="AP11" s="304"/>
      <c r="AQ11" s="304"/>
      <c r="AR11" s="304"/>
      <c r="AS11" s="304"/>
      <c r="AT11" s="304"/>
      <c r="AU11" s="304"/>
      <c r="AV11" s="304"/>
      <c r="AW11" s="304"/>
      <c r="AX11" s="304">
        <v>35904.629999999997</v>
      </c>
      <c r="AY11" s="304"/>
      <c r="AZ11" s="304">
        <v>1366.54</v>
      </c>
      <c r="BA11" s="304"/>
      <c r="BB11" s="304">
        <v>8569.7500000000018</v>
      </c>
      <c r="BC11" s="304">
        <v>4125.13</v>
      </c>
      <c r="BD11" s="304"/>
      <c r="BE11" s="304"/>
      <c r="BF11" s="304"/>
      <c r="BG11" s="304"/>
      <c r="BH11" s="304"/>
      <c r="BI11" s="304">
        <v>13443.480000000003</v>
      </c>
      <c r="BJ11" s="304"/>
      <c r="BK11" s="304"/>
      <c r="BL11" s="304">
        <v>3548.8899999999994</v>
      </c>
      <c r="BM11" s="304">
        <v>910.79999999999973</v>
      </c>
      <c r="BN11" s="304"/>
      <c r="BO11" s="304"/>
      <c r="BP11" s="304"/>
      <c r="BQ11" s="304"/>
      <c r="BR11" s="304"/>
      <c r="BS11" s="304">
        <v>241.65</v>
      </c>
      <c r="BT11" s="304"/>
      <c r="BU11" s="304"/>
      <c r="BV11" s="304"/>
      <c r="BW11" s="304">
        <v>18.34</v>
      </c>
      <c r="BX11" s="304"/>
      <c r="BY11" s="304"/>
      <c r="BZ11" s="304">
        <v>6497.8</v>
      </c>
      <c r="CA11" s="304">
        <v>120</v>
      </c>
      <c r="CB11" s="304"/>
      <c r="CC11" s="304"/>
      <c r="CD11" s="304">
        <v>0</v>
      </c>
      <c r="CE11" s="304">
        <v>19821.199999999997</v>
      </c>
      <c r="CF11" s="304">
        <v>18201.800000000003</v>
      </c>
      <c r="CG11" s="304">
        <v>645.57999999999993</v>
      </c>
      <c r="CH11" s="304"/>
      <c r="CI11" s="304"/>
      <c r="CJ11" s="304"/>
      <c r="CK11" s="304"/>
      <c r="CL11" s="304"/>
      <c r="CM11" s="304">
        <v>3806.9100000000003</v>
      </c>
      <c r="CN11" s="304">
        <v>3034.42</v>
      </c>
      <c r="CO11" s="304">
        <v>3687.34</v>
      </c>
      <c r="CP11" s="304"/>
      <c r="CQ11" s="304"/>
      <c r="CR11" s="304"/>
      <c r="CS11" s="304"/>
      <c r="CT11" s="304">
        <v>1621.75</v>
      </c>
      <c r="CU11" s="304">
        <v>1589.8400000000001</v>
      </c>
      <c r="CV11" s="304"/>
      <c r="CW11" s="304">
        <v>1364.8</v>
      </c>
      <c r="CX11" s="304">
        <v>647.54000000000008</v>
      </c>
      <c r="CY11" s="304"/>
      <c r="CZ11" s="304"/>
      <c r="DA11" s="304"/>
      <c r="DB11" s="304">
        <v>6848.4199999999992</v>
      </c>
      <c r="DC11" s="304">
        <v>171.05</v>
      </c>
      <c r="DD11" s="304"/>
      <c r="DE11" s="304">
        <v>51.310000000000116</v>
      </c>
      <c r="DF11" s="304"/>
      <c r="DG11" s="304"/>
      <c r="DH11" s="304"/>
      <c r="DI11" s="304"/>
      <c r="DJ11" s="304">
        <v>13</v>
      </c>
      <c r="DK11" s="304"/>
      <c r="DL11" s="304">
        <v>19950.709999999995</v>
      </c>
      <c r="DM11" s="304">
        <v>129.28</v>
      </c>
      <c r="DN11" s="304"/>
      <c r="DO11" s="304">
        <v>1039.69</v>
      </c>
      <c r="DP11" s="304">
        <v>1610.1599999999999</v>
      </c>
      <c r="DQ11" s="304">
        <v>29548.98</v>
      </c>
      <c r="DR11" s="304">
        <v>21251.39</v>
      </c>
      <c r="DS11" s="304"/>
      <c r="DT11" s="304">
        <v>6.8</v>
      </c>
      <c r="DU11" s="304">
        <v>653.96</v>
      </c>
      <c r="DV11" s="426"/>
      <c r="DW11" s="304"/>
      <c r="DX11" s="304">
        <v>10148.700000000001</v>
      </c>
      <c r="DY11" s="304"/>
      <c r="DZ11" s="304"/>
      <c r="EA11" s="304">
        <v>683.87</v>
      </c>
      <c r="EB11" s="304">
        <v>3437.9</v>
      </c>
      <c r="EC11" s="304"/>
      <c r="ED11" s="304">
        <v>143.70999999999998</v>
      </c>
      <c r="EE11" s="304"/>
      <c r="EF11" s="304"/>
      <c r="EG11" s="304"/>
      <c r="EH11" s="304"/>
      <c r="EI11" s="304"/>
      <c r="EJ11" s="304">
        <v>6538</v>
      </c>
      <c r="EK11" s="304">
        <v>3572.73</v>
      </c>
      <c r="EL11" s="304">
        <v>1487.27</v>
      </c>
      <c r="EM11" s="304">
        <v>865.2700000000001</v>
      </c>
      <c r="EN11" s="304">
        <v>5954.0199999999986</v>
      </c>
      <c r="EO11" s="304"/>
      <c r="EP11" s="304"/>
      <c r="EQ11" s="304"/>
      <c r="ER11" s="304"/>
      <c r="ES11" s="304">
        <v>-639981.59</v>
      </c>
      <c r="ET11" s="304"/>
      <c r="EU11" s="304">
        <v>-5285.42</v>
      </c>
      <c r="EV11" s="304"/>
      <c r="EW11" s="304">
        <v>-9090</v>
      </c>
      <c r="EX11" s="304"/>
      <c r="EY11" s="304"/>
      <c r="EZ11" s="304"/>
      <c r="FA11" s="304">
        <v>-35669.96</v>
      </c>
      <c r="FB11" s="304"/>
      <c r="FC11" s="304"/>
      <c r="FD11" s="304"/>
      <c r="FE11" s="304"/>
      <c r="FF11" s="304">
        <v>-18108</v>
      </c>
      <c r="FG11" s="304">
        <v>-15529</v>
      </c>
      <c r="FH11" s="304"/>
      <c r="FI11" s="304">
        <v>-147658.17000000001</v>
      </c>
      <c r="FJ11" s="304"/>
      <c r="FK11" s="304"/>
      <c r="FL11" s="304"/>
      <c r="FM11" s="304"/>
      <c r="FN11" s="304">
        <v>-46581</v>
      </c>
      <c r="FO11" s="304">
        <v>2203.13</v>
      </c>
      <c r="FP11" s="304">
        <v>326.35000000000002</v>
      </c>
      <c r="FQ11" s="304">
        <v>-891.77</v>
      </c>
      <c r="FR11" s="304">
        <v>-5605</v>
      </c>
      <c r="FS11" s="304">
        <v>-11269</v>
      </c>
      <c r="FT11" s="304">
        <v>928</v>
      </c>
      <c r="FU11" s="304"/>
      <c r="FV11" s="304"/>
      <c r="FW11" s="304">
        <v>1317.32</v>
      </c>
      <c r="FX11" s="304"/>
      <c r="FY11" s="304"/>
      <c r="FZ11" s="304">
        <v>22279.4</v>
      </c>
      <c r="GA11" s="304">
        <v>334</v>
      </c>
      <c r="GB11" s="304">
        <v>5228.5900000000056</v>
      </c>
      <c r="GC11" s="304"/>
      <c r="GD11" s="304">
        <v>3622.3</v>
      </c>
      <c r="GE11" s="304">
        <v>1627.48</v>
      </c>
      <c r="GF11" s="304">
        <v>2835.5</v>
      </c>
      <c r="GG11" s="304">
        <v>560</v>
      </c>
      <c r="GH11" s="304">
        <v>887.17</v>
      </c>
      <c r="GI11" s="304">
        <v>507.30999999999995</v>
      </c>
      <c r="GJ11" s="304"/>
      <c r="GK11" s="304"/>
      <c r="GL11" s="304"/>
      <c r="GM11" s="304"/>
      <c r="GN11" s="304"/>
      <c r="GO11" s="304"/>
      <c r="GP11" s="304"/>
      <c r="GQ11" s="304"/>
      <c r="GR11" s="304">
        <v>-6669.52</v>
      </c>
      <c r="GS11" s="304">
        <v>-13874.689999999997</v>
      </c>
      <c r="GT11" s="304"/>
      <c r="GU11" s="304"/>
      <c r="GV11" s="304">
        <v>-4140.67</v>
      </c>
      <c r="GW11" s="304"/>
      <c r="GX11" s="304">
        <v>3.49</v>
      </c>
      <c r="GY11" s="304"/>
      <c r="GZ11" s="304"/>
      <c r="HA11" s="304">
        <v>-22888.940000000002</v>
      </c>
      <c r="HB11" s="304"/>
      <c r="HC11" s="304"/>
      <c r="HD11" s="304">
        <v>-500</v>
      </c>
      <c r="HE11" s="304"/>
      <c r="HF11" s="304"/>
      <c r="HG11" s="304">
        <v>-6515.51</v>
      </c>
    </row>
    <row r="12" spans="1:217">
      <c r="A12" s="116">
        <v>107733</v>
      </c>
      <c r="B12" s="304"/>
      <c r="C12" s="304">
        <v>384702.33</v>
      </c>
      <c r="D12" s="304">
        <v>3087.62</v>
      </c>
      <c r="E12" s="304">
        <v>6475</v>
      </c>
      <c r="F12" s="304">
        <v>98518.37</v>
      </c>
      <c r="G12" s="304">
        <v>52299.27</v>
      </c>
      <c r="H12" s="304">
        <v>384</v>
      </c>
      <c r="I12" s="304"/>
      <c r="J12" s="304"/>
      <c r="K12" s="304"/>
      <c r="L12" s="304"/>
      <c r="M12" s="304"/>
      <c r="N12" s="304"/>
      <c r="O12" s="304"/>
      <c r="P12" s="304"/>
      <c r="Q12" s="304"/>
      <c r="R12" s="304"/>
      <c r="S12" s="304"/>
      <c r="T12" s="304"/>
      <c r="U12" s="304"/>
      <c r="V12" s="304">
        <v>12432.07</v>
      </c>
      <c r="W12" s="304">
        <v>122.91999999999999</v>
      </c>
      <c r="X12" s="304">
        <v>33.67</v>
      </c>
      <c r="Y12" s="304">
        <v>2809.84</v>
      </c>
      <c r="Z12" s="304">
        <v>1274.43</v>
      </c>
      <c r="AA12" s="304">
        <v>14479.130000000001</v>
      </c>
      <c r="AB12" s="304">
        <v>109.59000000000002</v>
      </c>
      <c r="AC12" s="304">
        <v>44.980000000000004</v>
      </c>
      <c r="AD12" s="304">
        <v>2714.7299999999996</v>
      </c>
      <c r="AE12" s="304">
        <v>768.64999999999986</v>
      </c>
      <c r="AF12" s="304"/>
      <c r="AG12" s="304"/>
      <c r="AH12" s="304"/>
      <c r="AI12" s="304"/>
      <c r="AJ12" s="304"/>
      <c r="AK12" s="304">
        <v>156309.81</v>
      </c>
      <c r="AL12" s="304">
        <v>6076.7</v>
      </c>
      <c r="AM12" s="304">
        <v>811.62</v>
      </c>
      <c r="AN12" s="304">
        <v>42635.770000000004</v>
      </c>
      <c r="AO12" s="304">
        <v>17000.050000000003</v>
      </c>
      <c r="AP12" s="304">
        <v>54359.21</v>
      </c>
      <c r="AQ12" s="304">
        <v>174.23000000000002</v>
      </c>
      <c r="AR12" s="304">
        <v>712.93</v>
      </c>
      <c r="AS12" s="304">
        <v>11522.94</v>
      </c>
      <c r="AT12" s="304">
        <v>4847.6499999999996</v>
      </c>
      <c r="AU12" s="304"/>
      <c r="AV12" s="304"/>
      <c r="AW12" s="304"/>
      <c r="AX12" s="304">
        <v>43542.739999999991</v>
      </c>
      <c r="AY12" s="304">
        <v>112.35000000000001</v>
      </c>
      <c r="AZ12" s="304"/>
      <c r="BA12" s="304"/>
      <c r="BB12" s="304">
        <v>11524.710000000001</v>
      </c>
      <c r="BC12" s="304">
        <v>4445.8999999999996</v>
      </c>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v>3380.83</v>
      </c>
      <c r="CA12" s="304"/>
      <c r="CB12" s="304"/>
      <c r="CC12" s="304"/>
      <c r="CD12" s="304"/>
      <c r="CE12" s="304">
        <v>290</v>
      </c>
      <c r="CF12" s="304">
        <v>6637.8000000000011</v>
      </c>
      <c r="CG12" s="304">
        <v>1725.4399999999996</v>
      </c>
      <c r="CH12" s="304">
        <v>5855.06</v>
      </c>
      <c r="CI12" s="304"/>
      <c r="CJ12" s="304"/>
      <c r="CK12" s="304"/>
      <c r="CL12" s="304"/>
      <c r="CM12" s="304">
        <v>360.5</v>
      </c>
      <c r="CN12" s="304">
        <v>5867.6900000000005</v>
      </c>
      <c r="CO12" s="304">
        <v>3403.65</v>
      </c>
      <c r="CP12" s="304"/>
      <c r="CQ12" s="304"/>
      <c r="CR12" s="304"/>
      <c r="CS12" s="304">
        <v>6431.25</v>
      </c>
      <c r="CT12" s="304">
        <v>4890.2</v>
      </c>
      <c r="CU12" s="304">
        <v>4559.2400000000007</v>
      </c>
      <c r="CV12" s="304">
        <v>243.75</v>
      </c>
      <c r="CW12" s="304">
        <v>959.47</v>
      </c>
      <c r="CX12" s="304">
        <v>2093.8300000000004</v>
      </c>
      <c r="CY12" s="304"/>
      <c r="CZ12" s="304"/>
      <c r="DA12" s="304"/>
      <c r="DB12" s="304"/>
      <c r="DC12" s="304"/>
      <c r="DD12" s="304"/>
      <c r="DE12" s="304">
        <v>99.99</v>
      </c>
      <c r="DF12" s="304"/>
      <c r="DG12" s="304"/>
      <c r="DH12" s="304"/>
      <c r="DI12" s="304"/>
      <c r="DJ12" s="304"/>
      <c r="DK12" s="304">
        <v>3371</v>
      </c>
      <c r="DL12" s="304">
        <v>30881.440000000006</v>
      </c>
      <c r="DM12" s="304">
        <v>208.65</v>
      </c>
      <c r="DN12" s="304"/>
      <c r="DO12" s="304">
        <v>1215.8200000000002</v>
      </c>
      <c r="DP12" s="304">
        <v>3481.9500000000003</v>
      </c>
      <c r="DQ12" s="304">
        <v>5434</v>
      </c>
      <c r="DR12" s="304"/>
      <c r="DS12" s="304"/>
      <c r="DT12" s="304">
        <v>8.83</v>
      </c>
      <c r="DU12" s="304">
        <v>518.87000000000012</v>
      </c>
      <c r="DV12" s="426"/>
      <c r="DW12" s="304"/>
      <c r="DX12" s="304">
        <v>3738</v>
      </c>
      <c r="DY12" s="304"/>
      <c r="DZ12" s="304"/>
      <c r="EA12" s="304">
        <v>2446</v>
      </c>
      <c r="EB12" s="304"/>
      <c r="EC12" s="304"/>
      <c r="ED12" s="304"/>
      <c r="EE12" s="304"/>
      <c r="EF12" s="304"/>
      <c r="EG12" s="304"/>
      <c r="EH12" s="304"/>
      <c r="EI12" s="304"/>
      <c r="EJ12" s="304"/>
      <c r="EK12" s="304">
        <v>4975.1099999999997</v>
      </c>
      <c r="EL12" s="304">
        <v>11051.94</v>
      </c>
      <c r="EM12" s="304"/>
      <c r="EN12" s="304">
        <v>23176.100000000002</v>
      </c>
      <c r="EO12" s="304">
        <v>178.55</v>
      </c>
      <c r="EP12" s="304">
        <v>4886.92</v>
      </c>
      <c r="EQ12" s="304"/>
      <c r="ER12" s="304">
        <v>5.7</v>
      </c>
      <c r="ES12" s="304">
        <v>-810928.38</v>
      </c>
      <c r="ET12" s="304"/>
      <c r="EU12" s="304"/>
      <c r="EV12" s="304">
        <v>-3000</v>
      </c>
      <c r="EW12" s="304">
        <v>-19750</v>
      </c>
      <c r="EX12" s="304"/>
      <c r="EY12" s="304"/>
      <c r="EZ12" s="304"/>
      <c r="FA12" s="304"/>
      <c r="FB12" s="304"/>
      <c r="FC12" s="304"/>
      <c r="FD12" s="304">
        <v>-78049.640000000014</v>
      </c>
      <c r="FE12" s="304">
        <v>-5710</v>
      </c>
      <c r="FF12" s="304">
        <v>-27196</v>
      </c>
      <c r="FG12" s="304">
        <v>-15852</v>
      </c>
      <c r="FH12" s="304"/>
      <c r="FI12" s="304">
        <v>-106836.18</v>
      </c>
      <c r="FJ12" s="304"/>
      <c r="FK12" s="304">
        <v>-11423.39</v>
      </c>
      <c r="FL12" s="304"/>
      <c r="FM12" s="304">
        <v>-22557.42</v>
      </c>
      <c r="FN12" s="304">
        <v>-79880</v>
      </c>
      <c r="FO12" s="304">
        <v>3067.91</v>
      </c>
      <c r="FP12" s="304">
        <v>454.45</v>
      </c>
      <c r="FQ12" s="304">
        <v>-878.37</v>
      </c>
      <c r="FR12" s="304">
        <v>-7310</v>
      </c>
      <c r="FS12" s="304">
        <v>-14869</v>
      </c>
      <c r="FT12" s="304">
        <v>2402.75</v>
      </c>
      <c r="FU12" s="304"/>
      <c r="FV12" s="304"/>
      <c r="FW12" s="304">
        <v>1454.12</v>
      </c>
      <c r="FX12" s="304">
        <v>134.35</v>
      </c>
      <c r="FY12" s="304">
        <v>19205.370000000003</v>
      </c>
      <c r="FZ12" s="304">
        <v>33895.919999999998</v>
      </c>
      <c r="GA12" s="304">
        <v>1256</v>
      </c>
      <c r="GB12" s="304">
        <v>6204.5400000000027</v>
      </c>
      <c r="GC12" s="304"/>
      <c r="GD12" s="304">
        <v>2819.75</v>
      </c>
      <c r="GE12" s="304">
        <v>2394.5299999999997</v>
      </c>
      <c r="GF12" s="304">
        <v>1564.5</v>
      </c>
      <c r="GG12" s="304">
        <v>925</v>
      </c>
      <c r="GH12" s="304">
        <v>984.19</v>
      </c>
      <c r="GI12" s="304"/>
      <c r="GJ12" s="304"/>
      <c r="GK12" s="304"/>
      <c r="GL12" s="304"/>
      <c r="GM12" s="304"/>
      <c r="GN12" s="304"/>
      <c r="GO12" s="304">
        <v>-384</v>
      </c>
      <c r="GP12" s="304"/>
      <c r="GQ12" s="304"/>
      <c r="GR12" s="304">
        <v>-13083.85</v>
      </c>
      <c r="GS12" s="304">
        <v>-11560.75</v>
      </c>
      <c r="GT12" s="304"/>
      <c r="GU12" s="304">
        <v>-7152</v>
      </c>
      <c r="GV12" s="304">
        <v>-982.3900000000001</v>
      </c>
      <c r="GW12" s="304"/>
      <c r="GX12" s="304">
        <v>-15120.150000000007</v>
      </c>
      <c r="GY12" s="304"/>
      <c r="GZ12" s="304"/>
      <c r="HA12" s="304">
        <v>-31262.410000000007</v>
      </c>
      <c r="HB12" s="304"/>
      <c r="HC12" s="304"/>
      <c r="HD12" s="304">
        <v>-2000</v>
      </c>
      <c r="HE12" s="304">
        <v>-20690.860000000004</v>
      </c>
      <c r="HF12" s="304"/>
      <c r="HG12" s="304">
        <v>-6321.29</v>
      </c>
    </row>
    <row r="13" spans="1:217">
      <c r="A13" s="116">
        <v>107735</v>
      </c>
      <c r="B13" s="304"/>
      <c r="C13" s="304">
        <v>147471.70000000004</v>
      </c>
      <c r="D13" s="304">
        <v>1600.2600000000002</v>
      </c>
      <c r="E13" s="304">
        <v>476</v>
      </c>
      <c r="F13" s="304">
        <v>33330.67</v>
      </c>
      <c r="G13" s="304">
        <v>14763.56</v>
      </c>
      <c r="H13" s="304">
        <v>8514.9600000000009</v>
      </c>
      <c r="I13" s="304"/>
      <c r="J13" s="304">
        <v>2440.08</v>
      </c>
      <c r="K13" s="304">
        <v>993.7</v>
      </c>
      <c r="L13" s="304"/>
      <c r="M13" s="304"/>
      <c r="N13" s="304"/>
      <c r="O13" s="304"/>
      <c r="P13" s="304"/>
      <c r="Q13" s="304"/>
      <c r="R13" s="304"/>
      <c r="S13" s="304"/>
      <c r="T13" s="304"/>
      <c r="U13" s="304"/>
      <c r="V13" s="304">
        <v>2833.4500000000003</v>
      </c>
      <c r="W13" s="304">
        <v>624.48</v>
      </c>
      <c r="X13" s="304"/>
      <c r="Y13" s="304">
        <v>900.95000000000016</v>
      </c>
      <c r="Z13" s="304">
        <v>395.81000000000006</v>
      </c>
      <c r="AA13" s="304">
        <v>5645.9800000000005</v>
      </c>
      <c r="AB13" s="304">
        <v>62.589999999999996</v>
      </c>
      <c r="AC13" s="304">
        <v>31.73</v>
      </c>
      <c r="AD13" s="304">
        <v>1482.79</v>
      </c>
      <c r="AE13" s="304">
        <v>243.04000000000002</v>
      </c>
      <c r="AF13" s="304"/>
      <c r="AG13" s="304"/>
      <c r="AH13" s="304"/>
      <c r="AI13" s="304"/>
      <c r="AJ13" s="304"/>
      <c r="AK13" s="304">
        <v>52972.510000000009</v>
      </c>
      <c r="AL13" s="304">
        <v>3606.2200000000003</v>
      </c>
      <c r="AM13" s="304">
        <v>1890.8000000000002</v>
      </c>
      <c r="AN13" s="304">
        <v>15352.44</v>
      </c>
      <c r="AO13" s="304">
        <v>4339.78</v>
      </c>
      <c r="AP13" s="304"/>
      <c r="AQ13" s="304"/>
      <c r="AR13" s="304"/>
      <c r="AS13" s="304"/>
      <c r="AT13" s="304"/>
      <c r="AU13" s="304"/>
      <c r="AV13" s="304"/>
      <c r="AW13" s="304"/>
      <c r="AX13" s="304">
        <v>25189.61</v>
      </c>
      <c r="AY13" s="304">
        <v>16.04</v>
      </c>
      <c r="AZ13" s="304">
        <v>301.07</v>
      </c>
      <c r="BA13" s="304"/>
      <c r="BB13" s="304">
        <v>2428.12</v>
      </c>
      <c r="BC13" s="304">
        <v>754.12999999999988</v>
      </c>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c r="BZ13" s="304">
        <v>251</v>
      </c>
      <c r="CA13" s="304">
        <v>582.4</v>
      </c>
      <c r="CB13" s="304"/>
      <c r="CC13" s="304"/>
      <c r="CD13" s="304"/>
      <c r="CE13" s="304">
        <v>2077.14</v>
      </c>
      <c r="CF13" s="304">
        <v>2887.3100000000004</v>
      </c>
      <c r="CG13" s="304"/>
      <c r="CH13" s="304"/>
      <c r="CI13" s="304"/>
      <c r="CJ13" s="304"/>
      <c r="CK13" s="304"/>
      <c r="CL13" s="304"/>
      <c r="CM13" s="304"/>
      <c r="CN13" s="304">
        <v>6891.1099999999988</v>
      </c>
      <c r="CO13" s="304"/>
      <c r="CP13" s="304"/>
      <c r="CQ13" s="304"/>
      <c r="CR13" s="304"/>
      <c r="CS13" s="304"/>
      <c r="CT13" s="304">
        <v>558.17999999999995</v>
      </c>
      <c r="CU13" s="304">
        <v>758.42</v>
      </c>
      <c r="CV13" s="304">
        <v>168</v>
      </c>
      <c r="CW13" s="304">
        <v>453.98</v>
      </c>
      <c r="CX13" s="304">
        <v>175</v>
      </c>
      <c r="CY13" s="304"/>
      <c r="CZ13" s="304"/>
      <c r="DA13" s="304"/>
      <c r="DB13" s="304"/>
      <c r="DC13" s="304">
        <v>134.37</v>
      </c>
      <c r="DD13" s="304"/>
      <c r="DE13" s="304">
        <v>387.02000000000004</v>
      </c>
      <c r="DF13" s="304"/>
      <c r="DG13" s="304"/>
      <c r="DH13" s="304"/>
      <c r="DI13" s="304"/>
      <c r="DJ13" s="304"/>
      <c r="DK13" s="304"/>
      <c r="DL13" s="304">
        <v>4141.1099999999997</v>
      </c>
      <c r="DM13" s="304">
        <v>107.09</v>
      </c>
      <c r="DN13" s="304"/>
      <c r="DO13" s="304">
        <v>654.74</v>
      </c>
      <c r="DP13" s="304">
        <v>1375.77</v>
      </c>
      <c r="DQ13" s="304">
        <v>894.6</v>
      </c>
      <c r="DR13" s="304">
        <v>24239.1</v>
      </c>
      <c r="DS13" s="304"/>
      <c r="DT13" s="304">
        <v>38.299999999999997</v>
      </c>
      <c r="DU13" s="304">
        <v>437.62999999999994</v>
      </c>
      <c r="DV13" s="426"/>
      <c r="DW13" s="304"/>
      <c r="DX13" s="304">
        <v>4507.9699999999993</v>
      </c>
      <c r="DY13" s="304"/>
      <c r="DZ13" s="304"/>
      <c r="EA13" s="304">
        <v>662.72</v>
      </c>
      <c r="EB13" s="304">
        <v>2345.25</v>
      </c>
      <c r="EC13" s="304">
        <v>264.19</v>
      </c>
      <c r="ED13" s="304"/>
      <c r="EE13" s="304"/>
      <c r="EF13" s="304">
        <v>158.83000000000001</v>
      </c>
      <c r="EG13" s="304"/>
      <c r="EH13" s="304"/>
      <c r="EI13" s="304">
        <v>223.2</v>
      </c>
      <c r="EJ13" s="304">
        <v>1165</v>
      </c>
      <c r="EK13" s="304">
        <v>1202.04</v>
      </c>
      <c r="EL13" s="304">
        <v>3353.84</v>
      </c>
      <c r="EM13" s="304">
        <v>6021.17</v>
      </c>
      <c r="EN13" s="304">
        <v>7838.83</v>
      </c>
      <c r="EO13" s="304"/>
      <c r="EP13" s="304"/>
      <c r="EQ13" s="304"/>
      <c r="ER13" s="304"/>
      <c r="ES13" s="304">
        <v>-360871.16</v>
      </c>
      <c r="ET13" s="304"/>
      <c r="EU13" s="304"/>
      <c r="EV13" s="304"/>
      <c r="EW13" s="304">
        <v>-9090</v>
      </c>
      <c r="EX13" s="304"/>
      <c r="EY13" s="304"/>
      <c r="EZ13" s="304"/>
      <c r="FA13" s="304"/>
      <c r="FB13" s="304"/>
      <c r="FC13" s="304"/>
      <c r="FD13" s="304"/>
      <c r="FE13" s="304"/>
      <c r="FF13" s="304">
        <v>-8950</v>
      </c>
      <c r="FG13" s="304">
        <v>-14900</v>
      </c>
      <c r="FH13" s="304"/>
      <c r="FI13" s="304">
        <v>-38148.58</v>
      </c>
      <c r="FJ13" s="304"/>
      <c r="FK13" s="304"/>
      <c r="FL13" s="304"/>
      <c r="FM13" s="304"/>
      <c r="FN13" s="304">
        <v>-7161</v>
      </c>
      <c r="FO13" s="304">
        <v>741.24</v>
      </c>
      <c r="FP13" s="304">
        <v>109.8</v>
      </c>
      <c r="FQ13" s="304">
        <v>-3817</v>
      </c>
      <c r="FR13" s="304">
        <v>-2961</v>
      </c>
      <c r="FS13" s="304">
        <v>-5695</v>
      </c>
      <c r="FT13" s="304">
        <v>278</v>
      </c>
      <c r="FU13" s="304"/>
      <c r="FV13" s="304"/>
      <c r="FW13" s="304">
        <v>1052.8399999999999</v>
      </c>
      <c r="FX13" s="304"/>
      <c r="FY13" s="304">
        <v>6779.3100000000013</v>
      </c>
      <c r="FZ13" s="304">
        <v>2520.08</v>
      </c>
      <c r="GA13" s="304">
        <v>0</v>
      </c>
      <c r="GB13" s="304">
        <v>2247.6099999999997</v>
      </c>
      <c r="GC13" s="304">
        <v>261</v>
      </c>
      <c r="GD13" s="304">
        <v>2008.16</v>
      </c>
      <c r="GE13" s="304">
        <v>1073.8699999999999</v>
      </c>
      <c r="GF13" s="304">
        <v>2420.81</v>
      </c>
      <c r="GG13" s="304">
        <v>610</v>
      </c>
      <c r="GH13" s="304">
        <v>723.16</v>
      </c>
      <c r="GI13" s="304">
        <v>670.67</v>
      </c>
      <c r="GJ13" s="304"/>
      <c r="GK13" s="304"/>
      <c r="GL13" s="304"/>
      <c r="GM13" s="304"/>
      <c r="GN13" s="304"/>
      <c r="GO13" s="304"/>
      <c r="GP13" s="304"/>
      <c r="GQ13" s="304"/>
      <c r="GR13" s="304">
        <v>-920.05</v>
      </c>
      <c r="GS13" s="304">
        <v>-3517.4099999999994</v>
      </c>
      <c r="GT13" s="304"/>
      <c r="GU13" s="304"/>
      <c r="GV13" s="304">
        <v>-346.5</v>
      </c>
      <c r="GW13" s="304"/>
      <c r="GX13" s="304">
        <v>-2207.8000000000002</v>
      </c>
      <c r="GY13" s="304"/>
      <c r="GZ13" s="304"/>
      <c r="HA13" s="304">
        <v>-911.77</v>
      </c>
      <c r="HB13" s="304"/>
      <c r="HC13" s="304"/>
      <c r="HD13" s="304"/>
      <c r="HE13" s="304"/>
      <c r="HF13" s="304"/>
      <c r="HG13" s="304">
        <v>-2450.41</v>
      </c>
    </row>
    <row r="14" spans="1:217">
      <c r="A14" s="116">
        <v>107742</v>
      </c>
      <c r="B14" s="304">
        <v>175.49</v>
      </c>
      <c r="C14" s="304">
        <v>409098.57999999996</v>
      </c>
      <c r="D14" s="304">
        <v>282.45000000000005</v>
      </c>
      <c r="E14" s="304">
        <v>9527</v>
      </c>
      <c r="F14" s="304">
        <v>117344.46</v>
      </c>
      <c r="G14" s="304">
        <v>53834.029999999992</v>
      </c>
      <c r="H14" s="304">
        <v>3075.5800000000004</v>
      </c>
      <c r="I14" s="304"/>
      <c r="J14" s="304">
        <v>882.08000000000015</v>
      </c>
      <c r="K14" s="304">
        <v>388.57</v>
      </c>
      <c r="L14" s="304"/>
      <c r="M14" s="304">
        <v>46.319999999999993</v>
      </c>
      <c r="N14" s="304"/>
      <c r="O14" s="304"/>
      <c r="P14" s="304"/>
      <c r="Q14" s="304"/>
      <c r="R14" s="304"/>
      <c r="S14" s="304"/>
      <c r="T14" s="304"/>
      <c r="U14" s="304"/>
      <c r="V14" s="304">
        <v>15380.349999999999</v>
      </c>
      <c r="W14" s="304"/>
      <c r="X14" s="304">
        <v>273.11</v>
      </c>
      <c r="Y14" s="304">
        <v>4132.3999999999996</v>
      </c>
      <c r="Z14" s="304">
        <v>1900.7600000000002</v>
      </c>
      <c r="AA14" s="304">
        <v>12246.720000000001</v>
      </c>
      <c r="AB14" s="304">
        <v>385.85</v>
      </c>
      <c r="AC14" s="304">
        <v>102.83000000000001</v>
      </c>
      <c r="AD14" s="304">
        <v>2578.34</v>
      </c>
      <c r="AE14" s="304">
        <v>831.06999999999994</v>
      </c>
      <c r="AF14" s="304"/>
      <c r="AG14" s="304"/>
      <c r="AH14" s="304"/>
      <c r="AI14" s="304"/>
      <c r="AJ14" s="304"/>
      <c r="AK14" s="304">
        <v>51712.75</v>
      </c>
      <c r="AL14" s="304">
        <v>1889.3599999999997</v>
      </c>
      <c r="AM14" s="304">
        <v>1980.9899999999998</v>
      </c>
      <c r="AN14" s="304">
        <v>14824.779999999999</v>
      </c>
      <c r="AO14" s="304">
        <v>5548.6799999999994</v>
      </c>
      <c r="AP14" s="304"/>
      <c r="AQ14" s="304"/>
      <c r="AR14" s="304"/>
      <c r="AS14" s="304"/>
      <c r="AT14" s="304"/>
      <c r="AU14" s="304"/>
      <c r="AV14" s="304"/>
      <c r="AW14" s="304"/>
      <c r="AX14" s="304">
        <v>32956.86</v>
      </c>
      <c r="AY14" s="304"/>
      <c r="AZ14" s="304">
        <v>391.59000000000003</v>
      </c>
      <c r="BA14" s="304"/>
      <c r="BB14" s="304">
        <v>8803.82</v>
      </c>
      <c r="BC14" s="304">
        <v>3620.82</v>
      </c>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v>2792.24</v>
      </c>
      <c r="CA14" s="304"/>
      <c r="CB14" s="304"/>
      <c r="CC14" s="304"/>
      <c r="CD14" s="304"/>
      <c r="CE14" s="304">
        <v>1266.8699999999999</v>
      </c>
      <c r="CF14" s="304">
        <v>1502.6100000000001</v>
      </c>
      <c r="CG14" s="304"/>
      <c r="CH14" s="304">
        <v>4021.13</v>
      </c>
      <c r="CI14" s="304">
        <v>3938</v>
      </c>
      <c r="CJ14" s="304"/>
      <c r="CK14" s="304"/>
      <c r="CL14" s="304"/>
      <c r="CM14" s="304">
        <v>809</v>
      </c>
      <c r="CN14" s="304">
        <v>8512.07</v>
      </c>
      <c r="CO14" s="304">
        <v>6753.86</v>
      </c>
      <c r="CP14" s="304"/>
      <c r="CQ14" s="304"/>
      <c r="CR14" s="304"/>
      <c r="CS14" s="304"/>
      <c r="CT14" s="304">
        <v>18662.599999999999</v>
      </c>
      <c r="CU14" s="304">
        <v>2451.21</v>
      </c>
      <c r="CV14" s="304"/>
      <c r="CW14" s="304">
        <v>446.36</v>
      </c>
      <c r="CX14" s="304">
        <v>162.16</v>
      </c>
      <c r="CY14" s="304"/>
      <c r="CZ14" s="304"/>
      <c r="DA14" s="304"/>
      <c r="DB14" s="304"/>
      <c r="DC14" s="304">
        <v>188.8</v>
      </c>
      <c r="DD14" s="304"/>
      <c r="DE14" s="304"/>
      <c r="DF14" s="304"/>
      <c r="DG14" s="304"/>
      <c r="DH14" s="304"/>
      <c r="DI14" s="304"/>
      <c r="DJ14" s="304"/>
      <c r="DK14" s="304">
        <v>2627</v>
      </c>
      <c r="DL14" s="304">
        <v>23435.62000000001</v>
      </c>
      <c r="DM14" s="304">
        <v>160.5</v>
      </c>
      <c r="DN14" s="304"/>
      <c r="DO14" s="304">
        <v>948.7399999999999</v>
      </c>
      <c r="DP14" s="304">
        <v>2295.13</v>
      </c>
      <c r="DQ14" s="304">
        <v>1645.5</v>
      </c>
      <c r="DR14" s="304"/>
      <c r="DS14" s="304"/>
      <c r="DT14" s="304">
        <v>32.35</v>
      </c>
      <c r="DU14" s="304">
        <v>852.12000000000012</v>
      </c>
      <c r="DV14" s="426"/>
      <c r="DW14" s="304">
        <v>0</v>
      </c>
      <c r="DX14" s="304">
        <v>1923</v>
      </c>
      <c r="DY14" s="304"/>
      <c r="DZ14" s="304"/>
      <c r="EA14" s="304"/>
      <c r="EB14" s="304"/>
      <c r="EC14" s="304"/>
      <c r="ED14" s="304"/>
      <c r="EE14" s="304"/>
      <c r="EF14" s="304"/>
      <c r="EG14" s="304"/>
      <c r="EH14" s="304"/>
      <c r="EI14" s="304"/>
      <c r="EJ14" s="304">
        <v>2131</v>
      </c>
      <c r="EK14" s="304">
        <v>4707.99</v>
      </c>
      <c r="EL14" s="304">
        <v>4938.8599999999997</v>
      </c>
      <c r="EM14" s="304">
        <v>2202.41</v>
      </c>
      <c r="EN14" s="304">
        <v>16077.069999999998</v>
      </c>
      <c r="EO14" s="304"/>
      <c r="EP14" s="304"/>
      <c r="EQ14" s="304"/>
      <c r="ER14" s="304"/>
      <c r="ES14" s="304">
        <v>-777859.44</v>
      </c>
      <c r="ET14" s="304"/>
      <c r="EU14" s="304"/>
      <c r="EV14" s="304"/>
      <c r="EW14" s="304">
        <v>-27620</v>
      </c>
      <c r="EX14" s="304"/>
      <c r="EY14" s="304"/>
      <c r="EZ14" s="304"/>
      <c r="FA14" s="304">
        <v>-856.93</v>
      </c>
      <c r="FB14" s="304"/>
      <c r="FC14" s="304"/>
      <c r="FD14" s="304"/>
      <c r="FE14" s="304">
        <v>-5653.75</v>
      </c>
      <c r="FF14" s="304">
        <v>-21104</v>
      </c>
      <c r="FG14" s="304">
        <v>-15796</v>
      </c>
      <c r="FH14" s="304"/>
      <c r="FI14" s="304">
        <v>-13712.87</v>
      </c>
      <c r="FJ14" s="304"/>
      <c r="FK14" s="304">
        <v>-7961.34</v>
      </c>
      <c r="FL14" s="304"/>
      <c r="FM14" s="304"/>
      <c r="FN14" s="304">
        <v>-12350</v>
      </c>
      <c r="FO14" s="304">
        <v>2903.19</v>
      </c>
      <c r="FP14" s="304">
        <v>430.05</v>
      </c>
      <c r="FQ14" s="304">
        <v>-32788.14</v>
      </c>
      <c r="FR14" s="304">
        <v>-7294</v>
      </c>
      <c r="FS14" s="304">
        <v>-14844</v>
      </c>
      <c r="FT14" s="304">
        <v>544.25</v>
      </c>
      <c r="FU14" s="304"/>
      <c r="FV14" s="304"/>
      <c r="FW14" s="304">
        <v>1429.8</v>
      </c>
      <c r="FX14" s="304">
        <v>5801.2100000000009</v>
      </c>
      <c r="FY14" s="304">
        <v>23613.31</v>
      </c>
      <c r="FZ14" s="304">
        <v>32061.289999999997</v>
      </c>
      <c r="GA14" s="304">
        <v>1560.1</v>
      </c>
      <c r="GB14" s="304">
        <v>5989.6800000000021</v>
      </c>
      <c r="GC14" s="304"/>
      <c r="GD14" s="304">
        <v>2663.8599999999997</v>
      </c>
      <c r="GE14" s="304">
        <v>1900.95</v>
      </c>
      <c r="GF14" s="304">
        <v>1480.5</v>
      </c>
      <c r="GG14" s="304">
        <v>560</v>
      </c>
      <c r="GH14" s="304">
        <v>953.02</v>
      </c>
      <c r="GI14" s="304">
        <v>1395.0799999999997</v>
      </c>
      <c r="GJ14" s="304"/>
      <c r="GK14" s="304"/>
      <c r="GL14" s="304"/>
      <c r="GM14" s="304"/>
      <c r="GN14" s="304"/>
      <c r="GO14" s="304"/>
      <c r="GP14" s="304">
        <v>-1755</v>
      </c>
      <c r="GQ14" s="304"/>
      <c r="GR14" s="304">
        <v>-6327.52</v>
      </c>
      <c r="GS14" s="304">
        <v>-11089.379999999996</v>
      </c>
      <c r="GT14" s="304"/>
      <c r="GU14" s="304"/>
      <c r="GV14" s="304">
        <v>-1391.55</v>
      </c>
      <c r="GW14" s="304"/>
      <c r="GX14" s="304">
        <v>0.62</v>
      </c>
      <c r="GY14" s="304"/>
      <c r="GZ14" s="304">
        <v>-3035</v>
      </c>
      <c r="HA14" s="304">
        <v>-33982.82</v>
      </c>
      <c r="HB14" s="304"/>
      <c r="HC14" s="304"/>
      <c r="HD14" s="304">
        <v>-266.8</v>
      </c>
      <c r="HE14" s="304"/>
      <c r="HF14" s="304"/>
      <c r="HG14" s="304">
        <v>-2281.52</v>
      </c>
    </row>
    <row r="15" spans="1:217">
      <c r="A15" s="116">
        <v>107743</v>
      </c>
      <c r="B15" s="304"/>
      <c r="C15" s="304">
        <v>255189.04000000007</v>
      </c>
      <c r="D15" s="304">
        <v>127.6</v>
      </c>
      <c r="E15" s="304">
        <v>5055</v>
      </c>
      <c r="F15" s="304">
        <v>26451.179999999993</v>
      </c>
      <c r="G15" s="304">
        <v>12140.339999999998</v>
      </c>
      <c r="H15" s="304"/>
      <c r="I15" s="304"/>
      <c r="J15" s="304"/>
      <c r="K15" s="304"/>
      <c r="L15" s="304"/>
      <c r="M15" s="304"/>
      <c r="N15" s="304"/>
      <c r="O15" s="304"/>
      <c r="P15" s="304"/>
      <c r="Q15" s="304"/>
      <c r="R15" s="304"/>
      <c r="S15" s="304"/>
      <c r="T15" s="304"/>
      <c r="U15" s="304"/>
      <c r="V15" s="304"/>
      <c r="W15" s="304"/>
      <c r="X15" s="304"/>
      <c r="Y15" s="304"/>
      <c r="Z15" s="304"/>
      <c r="AA15" s="304">
        <v>11037.270000000002</v>
      </c>
      <c r="AB15" s="304">
        <v>119.37</v>
      </c>
      <c r="AC15" s="304">
        <v>272.34000000000003</v>
      </c>
      <c r="AD15" s="304">
        <v>3016.9300000000003</v>
      </c>
      <c r="AE15" s="304">
        <v>1200.1600000000001</v>
      </c>
      <c r="AF15" s="304"/>
      <c r="AG15" s="304"/>
      <c r="AH15" s="304"/>
      <c r="AI15" s="304"/>
      <c r="AJ15" s="304"/>
      <c r="AK15" s="304">
        <v>91822.900000000009</v>
      </c>
      <c r="AL15" s="304">
        <v>814.35</v>
      </c>
      <c r="AM15" s="304">
        <v>2275.67</v>
      </c>
      <c r="AN15" s="304">
        <v>23243.38</v>
      </c>
      <c r="AO15" s="304">
        <v>9707.9999999999982</v>
      </c>
      <c r="AP15" s="304"/>
      <c r="AQ15" s="304"/>
      <c r="AR15" s="304"/>
      <c r="AS15" s="304"/>
      <c r="AT15" s="304"/>
      <c r="AU15" s="304"/>
      <c r="AV15" s="304"/>
      <c r="AW15" s="304"/>
      <c r="AX15" s="304">
        <v>30204.690000000006</v>
      </c>
      <c r="AY15" s="304">
        <v>58.28</v>
      </c>
      <c r="AZ15" s="304">
        <v>21.53</v>
      </c>
      <c r="BA15" s="304"/>
      <c r="BB15" s="304">
        <v>5729.94</v>
      </c>
      <c r="BC15" s="304">
        <v>2505.5399999999995</v>
      </c>
      <c r="BD15" s="304"/>
      <c r="BE15" s="304"/>
      <c r="BF15" s="304"/>
      <c r="BG15" s="304"/>
      <c r="BH15" s="304"/>
      <c r="BI15" s="304">
        <v>10779.12</v>
      </c>
      <c r="BJ15" s="304"/>
      <c r="BK15" s="304"/>
      <c r="BL15" s="304">
        <v>2845.6000000000008</v>
      </c>
      <c r="BM15" s="304">
        <v>1037.9199999999996</v>
      </c>
      <c r="BN15" s="304"/>
      <c r="BO15" s="304"/>
      <c r="BP15" s="304"/>
      <c r="BQ15" s="304"/>
      <c r="BR15" s="304"/>
      <c r="BS15" s="304"/>
      <c r="BT15" s="304"/>
      <c r="BU15" s="304"/>
      <c r="BV15" s="304"/>
      <c r="BW15" s="304"/>
      <c r="BX15" s="304"/>
      <c r="BY15" s="304"/>
      <c r="BZ15" s="304">
        <v>645</v>
      </c>
      <c r="CA15" s="304"/>
      <c r="CB15" s="304"/>
      <c r="CC15" s="304"/>
      <c r="CD15" s="304"/>
      <c r="CE15" s="304"/>
      <c r="CF15" s="304">
        <v>9867.41</v>
      </c>
      <c r="CG15" s="304">
        <v>918.5</v>
      </c>
      <c r="CH15" s="304">
        <v>5627.5</v>
      </c>
      <c r="CI15" s="304"/>
      <c r="CJ15" s="304"/>
      <c r="CK15" s="304"/>
      <c r="CL15" s="304"/>
      <c r="CM15" s="304"/>
      <c r="CN15" s="304">
        <v>6440.0399999999991</v>
      </c>
      <c r="CO15" s="304"/>
      <c r="CP15" s="304">
        <v>1476.94</v>
      </c>
      <c r="CQ15" s="304"/>
      <c r="CR15" s="304"/>
      <c r="CS15" s="304"/>
      <c r="CT15" s="304">
        <v>7360.25</v>
      </c>
      <c r="CU15" s="304">
        <v>1393.11</v>
      </c>
      <c r="CV15" s="304"/>
      <c r="CW15" s="304">
        <v>1822.18</v>
      </c>
      <c r="CX15" s="304">
        <v>15.44</v>
      </c>
      <c r="CY15" s="304"/>
      <c r="CZ15" s="304"/>
      <c r="DA15" s="304"/>
      <c r="DB15" s="304">
        <v>1280</v>
      </c>
      <c r="DC15" s="304">
        <v>61.529999999999994</v>
      </c>
      <c r="DD15" s="304"/>
      <c r="DE15" s="304"/>
      <c r="DF15" s="304"/>
      <c r="DG15" s="304"/>
      <c r="DH15" s="304">
        <v>529</v>
      </c>
      <c r="DI15" s="304"/>
      <c r="DJ15" s="304">
        <v>1442.05</v>
      </c>
      <c r="DK15" s="304">
        <v>1122</v>
      </c>
      <c r="DL15" s="304">
        <v>9239.16</v>
      </c>
      <c r="DM15" s="304"/>
      <c r="DN15" s="304"/>
      <c r="DO15" s="304"/>
      <c r="DP15" s="304">
        <v>2143.4300000000003</v>
      </c>
      <c r="DQ15" s="304">
        <v>589.55999999999995</v>
      </c>
      <c r="DR15" s="304">
        <v>7868</v>
      </c>
      <c r="DS15" s="304"/>
      <c r="DT15" s="304">
        <v>388.40999999999997</v>
      </c>
      <c r="DU15" s="304">
        <v>369.37</v>
      </c>
      <c r="DV15" s="426"/>
      <c r="DW15" s="304"/>
      <c r="DX15" s="304">
        <v>2241.5700000000006</v>
      </c>
      <c r="DY15" s="304">
        <v>335</v>
      </c>
      <c r="DZ15" s="304"/>
      <c r="EA15" s="304">
        <v>281.05</v>
      </c>
      <c r="EB15" s="304">
        <v>2088.09</v>
      </c>
      <c r="EC15" s="304">
        <v>255</v>
      </c>
      <c r="ED15" s="304"/>
      <c r="EE15" s="304">
        <v>2982</v>
      </c>
      <c r="EF15" s="304"/>
      <c r="EG15" s="304"/>
      <c r="EH15" s="304"/>
      <c r="EI15" s="304">
        <v>1200</v>
      </c>
      <c r="EJ15" s="304"/>
      <c r="EK15" s="304">
        <v>2136.96</v>
      </c>
      <c r="EL15" s="304"/>
      <c r="EM15" s="304">
        <v>259.38</v>
      </c>
      <c r="EN15" s="304">
        <v>12228.59</v>
      </c>
      <c r="EO15" s="304"/>
      <c r="EP15" s="304"/>
      <c r="EQ15" s="304"/>
      <c r="ER15" s="304"/>
      <c r="ES15" s="304">
        <v>-492922.37</v>
      </c>
      <c r="ET15" s="304"/>
      <c r="EU15" s="304"/>
      <c r="EV15" s="304"/>
      <c r="EW15" s="304">
        <v>-21210</v>
      </c>
      <c r="EX15" s="304"/>
      <c r="EY15" s="304"/>
      <c r="EZ15" s="304"/>
      <c r="FA15" s="304"/>
      <c r="FB15" s="304"/>
      <c r="FC15" s="304">
        <v>-500</v>
      </c>
      <c r="FD15" s="304"/>
      <c r="FE15" s="304">
        <v>-4641.25</v>
      </c>
      <c r="FF15" s="304">
        <v>-12772</v>
      </c>
      <c r="FG15" s="304">
        <v>-15117</v>
      </c>
      <c r="FH15" s="304"/>
      <c r="FI15" s="304">
        <v>-24937.32</v>
      </c>
      <c r="FJ15" s="304"/>
      <c r="FK15" s="304">
        <v>-1120.3699999999999</v>
      </c>
      <c r="FL15" s="304"/>
      <c r="FM15" s="304"/>
      <c r="FN15" s="304">
        <v>-31625</v>
      </c>
      <c r="FO15" s="304">
        <v>1317.76</v>
      </c>
      <c r="FP15" s="304">
        <v>195.2</v>
      </c>
      <c r="FQ15" s="304">
        <v>-11615</v>
      </c>
      <c r="FR15" s="304">
        <v>-4286</v>
      </c>
      <c r="FS15" s="304">
        <v>-8497</v>
      </c>
      <c r="FT15" s="304"/>
      <c r="FU15" s="304"/>
      <c r="FV15" s="304"/>
      <c r="FW15" s="304">
        <v>1159.24</v>
      </c>
      <c r="FX15" s="304">
        <v>562</v>
      </c>
      <c r="FY15" s="304">
        <v>507</v>
      </c>
      <c r="FZ15" s="304">
        <v>20911.189999999999</v>
      </c>
      <c r="GA15" s="304">
        <v>644</v>
      </c>
      <c r="GB15" s="304">
        <v>1872.44</v>
      </c>
      <c r="GC15" s="304"/>
      <c r="GD15" s="304">
        <v>2813.6800000000003</v>
      </c>
      <c r="GE15" s="304">
        <v>893.78</v>
      </c>
      <c r="GF15" s="304">
        <v>790</v>
      </c>
      <c r="GG15" s="304">
        <v>560</v>
      </c>
      <c r="GH15" s="304">
        <v>782.08</v>
      </c>
      <c r="GI15" s="304">
        <v>1553.0900000000001</v>
      </c>
      <c r="GJ15" s="304"/>
      <c r="GK15" s="304"/>
      <c r="GL15" s="304"/>
      <c r="GM15" s="304"/>
      <c r="GN15" s="304"/>
      <c r="GO15" s="304"/>
      <c r="GP15" s="304"/>
      <c r="GQ15" s="304"/>
      <c r="GR15" s="304">
        <v>253.94</v>
      </c>
      <c r="GS15" s="304">
        <v>-8490.89</v>
      </c>
      <c r="GT15" s="304"/>
      <c r="GU15" s="304"/>
      <c r="GV15" s="304">
        <v>-1595.0099999999998</v>
      </c>
      <c r="GW15" s="304"/>
      <c r="GX15" s="304">
        <v>2.71</v>
      </c>
      <c r="GY15" s="304">
        <v>-1548</v>
      </c>
      <c r="GZ15" s="304">
        <v>-516</v>
      </c>
      <c r="HA15" s="304"/>
      <c r="HB15" s="304"/>
      <c r="HC15" s="304"/>
      <c r="HD15" s="304">
        <v>-1350</v>
      </c>
      <c r="HE15" s="304"/>
      <c r="HF15" s="304"/>
      <c r="HG15" s="304">
        <v>-2293.13</v>
      </c>
    </row>
    <row r="16" spans="1:217">
      <c r="A16" s="116">
        <v>107749</v>
      </c>
      <c r="B16" s="304"/>
      <c r="C16" s="304">
        <v>133472.81999999998</v>
      </c>
      <c r="D16" s="304">
        <v>1728.3899999999999</v>
      </c>
      <c r="E16" s="304">
        <v>23552.91</v>
      </c>
      <c r="F16" s="304">
        <v>27996.280000000002</v>
      </c>
      <c r="G16" s="304">
        <v>13142.069999999998</v>
      </c>
      <c r="H16" s="304">
        <v>414</v>
      </c>
      <c r="I16" s="304"/>
      <c r="J16" s="304"/>
      <c r="K16" s="304">
        <v>6.35</v>
      </c>
      <c r="L16" s="304"/>
      <c r="M16" s="304"/>
      <c r="N16" s="304"/>
      <c r="O16" s="304"/>
      <c r="P16" s="304"/>
      <c r="Q16" s="304"/>
      <c r="R16" s="304"/>
      <c r="S16" s="304"/>
      <c r="T16" s="304"/>
      <c r="U16" s="304"/>
      <c r="V16" s="304"/>
      <c r="W16" s="304"/>
      <c r="X16" s="304"/>
      <c r="Y16" s="304"/>
      <c r="Z16" s="304"/>
      <c r="AA16" s="304">
        <v>3541.8500000000008</v>
      </c>
      <c r="AB16" s="304">
        <v>139.37</v>
      </c>
      <c r="AC16" s="304"/>
      <c r="AD16" s="304">
        <v>88.6</v>
      </c>
      <c r="AE16" s="304">
        <v>316.75</v>
      </c>
      <c r="AF16" s="304"/>
      <c r="AG16" s="304"/>
      <c r="AH16" s="304"/>
      <c r="AI16" s="304"/>
      <c r="AJ16" s="304"/>
      <c r="AK16" s="304">
        <v>31925.760000000002</v>
      </c>
      <c r="AL16" s="304">
        <v>1449.97</v>
      </c>
      <c r="AM16" s="304">
        <v>299.11</v>
      </c>
      <c r="AN16" s="304">
        <v>2535.9</v>
      </c>
      <c r="AO16" s="304">
        <v>3432.1099999999997</v>
      </c>
      <c r="AP16" s="304"/>
      <c r="AQ16" s="304"/>
      <c r="AR16" s="304"/>
      <c r="AS16" s="304"/>
      <c r="AT16" s="304"/>
      <c r="AU16" s="304"/>
      <c r="AV16" s="304"/>
      <c r="AW16" s="304"/>
      <c r="AX16" s="304">
        <v>23028.559999999994</v>
      </c>
      <c r="AY16" s="304">
        <v>124.48</v>
      </c>
      <c r="AZ16" s="304"/>
      <c r="BA16" s="304"/>
      <c r="BB16" s="304">
        <v>6112.3399999999992</v>
      </c>
      <c r="BC16" s="304">
        <v>2724.1100000000006</v>
      </c>
      <c r="BD16" s="304">
        <v>9164.4900000000016</v>
      </c>
      <c r="BE16" s="304"/>
      <c r="BF16" s="304">
        <v>504.45000000000005</v>
      </c>
      <c r="BG16" s="304">
        <v>2552.5500000000002</v>
      </c>
      <c r="BH16" s="304">
        <v>699.76</v>
      </c>
      <c r="BI16" s="304">
        <v>11560.160000000002</v>
      </c>
      <c r="BJ16" s="304"/>
      <c r="BK16" s="304"/>
      <c r="BL16" s="304">
        <v>1952.7600000000002</v>
      </c>
      <c r="BM16" s="304">
        <v>358.92000000000007</v>
      </c>
      <c r="BN16" s="304"/>
      <c r="BO16" s="304"/>
      <c r="BP16" s="304"/>
      <c r="BQ16" s="304"/>
      <c r="BR16" s="304"/>
      <c r="BS16" s="304"/>
      <c r="BT16" s="304"/>
      <c r="BU16" s="304"/>
      <c r="BV16" s="304"/>
      <c r="BW16" s="304"/>
      <c r="BX16" s="304"/>
      <c r="BY16" s="304"/>
      <c r="BZ16" s="304">
        <v>653.91999999999996</v>
      </c>
      <c r="CA16" s="304"/>
      <c r="CB16" s="304"/>
      <c r="CC16" s="304">
        <v>0</v>
      </c>
      <c r="CD16" s="304">
        <v>-297.02999999999997</v>
      </c>
      <c r="CE16" s="304"/>
      <c r="CF16" s="304">
        <v>6917.3199999999988</v>
      </c>
      <c r="CG16" s="304">
        <v>2120</v>
      </c>
      <c r="CH16" s="304"/>
      <c r="CI16" s="304"/>
      <c r="CJ16" s="304"/>
      <c r="CK16" s="304"/>
      <c r="CL16" s="304"/>
      <c r="CM16" s="304"/>
      <c r="CN16" s="304">
        <v>11589.720000000001</v>
      </c>
      <c r="CO16" s="304"/>
      <c r="CP16" s="304"/>
      <c r="CQ16" s="304"/>
      <c r="CR16" s="304"/>
      <c r="CS16" s="304"/>
      <c r="CT16" s="304">
        <v>7353.5</v>
      </c>
      <c r="CU16" s="304">
        <v>1025.3800000000001</v>
      </c>
      <c r="CV16" s="304"/>
      <c r="CW16" s="304">
        <v>1166.22</v>
      </c>
      <c r="CX16" s="304"/>
      <c r="CY16" s="304"/>
      <c r="CZ16" s="304"/>
      <c r="DA16" s="304"/>
      <c r="DB16" s="304">
        <v>3046</v>
      </c>
      <c r="DC16" s="304">
        <v>210.84</v>
      </c>
      <c r="DD16" s="304"/>
      <c r="DE16" s="304">
        <v>250.3</v>
      </c>
      <c r="DF16" s="304"/>
      <c r="DG16" s="304"/>
      <c r="DH16" s="304"/>
      <c r="DI16" s="304"/>
      <c r="DJ16" s="304">
        <v>580.35</v>
      </c>
      <c r="DK16" s="304">
        <v>870</v>
      </c>
      <c r="DL16" s="304">
        <v>28512.580000000005</v>
      </c>
      <c r="DM16" s="304"/>
      <c r="DN16" s="304"/>
      <c r="DO16" s="304">
        <v>1232.2</v>
      </c>
      <c r="DP16" s="304"/>
      <c r="DQ16" s="304">
        <v>20669.479999999996</v>
      </c>
      <c r="DR16" s="304">
        <v>4980</v>
      </c>
      <c r="DS16" s="304"/>
      <c r="DT16" s="304"/>
      <c r="DU16" s="304">
        <v>499.24000000000012</v>
      </c>
      <c r="DV16" s="426"/>
      <c r="DW16" s="304"/>
      <c r="DX16" s="304">
        <v>1809</v>
      </c>
      <c r="DY16" s="304"/>
      <c r="DZ16" s="304"/>
      <c r="EA16" s="304"/>
      <c r="EB16" s="304">
        <v>1478.69</v>
      </c>
      <c r="EC16" s="304">
        <v>1638.81</v>
      </c>
      <c r="ED16" s="304"/>
      <c r="EE16" s="304">
        <v>1160</v>
      </c>
      <c r="EF16" s="304"/>
      <c r="EG16" s="304"/>
      <c r="EH16" s="304"/>
      <c r="EI16" s="304"/>
      <c r="EJ16" s="304">
        <v>1232.5999999999999</v>
      </c>
      <c r="EK16" s="304">
        <v>934.92</v>
      </c>
      <c r="EL16" s="304"/>
      <c r="EM16" s="304"/>
      <c r="EN16" s="304">
        <v>2263.4499999999998</v>
      </c>
      <c r="EO16" s="304"/>
      <c r="EP16" s="304"/>
      <c r="EQ16" s="304"/>
      <c r="ER16" s="304"/>
      <c r="ES16" s="304">
        <v>-344351.72</v>
      </c>
      <c r="ET16" s="304"/>
      <c r="EU16" s="304"/>
      <c r="EV16" s="304"/>
      <c r="EW16" s="304">
        <v>-9585</v>
      </c>
      <c r="EX16" s="304"/>
      <c r="EY16" s="304"/>
      <c r="EZ16" s="304"/>
      <c r="FA16" s="304"/>
      <c r="FB16" s="304"/>
      <c r="FC16" s="304"/>
      <c r="FD16" s="304"/>
      <c r="FE16" s="304">
        <v>-4438.75</v>
      </c>
      <c r="FF16" s="304">
        <v>-2933</v>
      </c>
      <c r="FG16" s="304">
        <v>-14919</v>
      </c>
      <c r="FH16" s="304"/>
      <c r="FI16" s="304">
        <v>-203869</v>
      </c>
      <c r="FJ16" s="304"/>
      <c r="FK16" s="304">
        <v>-4322.13</v>
      </c>
      <c r="FL16" s="304"/>
      <c r="FM16" s="304">
        <v>0</v>
      </c>
      <c r="FN16" s="304">
        <v>-29355</v>
      </c>
      <c r="FO16" s="304">
        <v>576.52</v>
      </c>
      <c r="FP16" s="304">
        <v>85.4</v>
      </c>
      <c r="FQ16" s="304">
        <v>-7807.1</v>
      </c>
      <c r="FR16" s="304">
        <v>-2628</v>
      </c>
      <c r="FS16" s="304">
        <v>-4991</v>
      </c>
      <c r="FT16" s="304">
        <v>600</v>
      </c>
      <c r="FU16" s="304"/>
      <c r="FV16" s="304"/>
      <c r="FW16" s="304">
        <v>1101.48</v>
      </c>
      <c r="FX16" s="304">
        <v>55.74</v>
      </c>
      <c r="FY16" s="304"/>
      <c r="FZ16" s="304">
        <v>710</v>
      </c>
      <c r="GA16" s="304">
        <v>45</v>
      </c>
      <c r="GB16" s="304">
        <v>1873.3499999999997</v>
      </c>
      <c r="GC16" s="304"/>
      <c r="GD16" s="304">
        <v>3465.11</v>
      </c>
      <c r="GE16" s="304">
        <v>606.97</v>
      </c>
      <c r="GF16" s="304">
        <v>790</v>
      </c>
      <c r="GG16" s="304">
        <v>560</v>
      </c>
      <c r="GH16" s="304">
        <v>702.16</v>
      </c>
      <c r="GI16" s="304">
        <v>362.36999999999995</v>
      </c>
      <c r="GJ16" s="304"/>
      <c r="GK16" s="304"/>
      <c r="GL16" s="304"/>
      <c r="GM16" s="304"/>
      <c r="GN16" s="304"/>
      <c r="GO16" s="304"/>
      <c r="GP16" s="304"/>
      <c r="GQ16" s="304"/>
      <c r="GR16" s="304">
        <v>-356.58</v>
      </c>
      <c r="GS16" s="304">
        <v>-3312.420000000001</v>
      </c>
      <c r="GT16" s="304"/>
      <c r="GU16" s="304"/>
      <c r="GV16" s="304">
        <v>-236.73</v>
      </c>
      <c r="GW16" s="304"/>
      <c r="GX16" s="304">
        <v>10359.34</v>
      </c>
      <c r="GY16" s="304"/>
      <c r="GZ16" s="304"/>
      <c r="HA16" s="304">
        <v>-6103.8399999999974</v>
      </c>
      <c r="HB16" s="304"/>
      <c r="HC16" s="304"/>
      <c r="HD16" s="304">
        <v>-757.5</v>
      </c>
      <c r="HE16" s="304">
        <v>0</v>
      </c>
      <c r="HF16" s="304"/>
      <c r="HG16" s="304">
        <v>-8302.7099999999991</v>
      </c>
    </row>
    <row r="17" spans="1:215">
      <c r="A17" s="116">
        <v>107754</v>
      </c>
      <c r="B17" s="304"/>
      <c r="C17" s="304">
        <v>576033.66999999993</v>
      </c>
      <c r="D17" s="304">
        <v>35524.32</v>
      </c>
      <c r="E17" s="304">
        <v>11104</v>
      </c>
      <c r="F17" s="304">
        <v>194270.09999999998</v>
      </c>
      <c r="G17" s="304">
        <v>97254.970000000016</v>
      </c>
      <c r="H17" s="304">
        <v>23894.19</v>
      </c>
      <c r="I17" s="304"/>
      <c r="J17" s="304">
        <v>6625.4699999999993</v>
      </c>
      <c r="K17" s="304">
        <v>3207.5099999999998</v>
      </c>
      <c r="L17" s="304"/>
      <c r="M17" s="304"/>
      <c r="N17" s="304"/>
      <c r="O17" s="304"/>
      <c r="P17" s="304"/>
      <c r="Q17" s="304"/>
      <c r="R17" s="304"/>
      <c r="S17" s="304"/>
      <c r="T17" s="304"/>
      <c r="U17" s="304"/>
      <c r="V17" s="304">
        <v>28916.070000000003</v>
      </c>
      <c r="W17" s="304">
        <v>71.19</v>
      </c>
      <c r="X17" s="304">
        <v>367.94000000000005</v>
      </c>
      <c r="Y17" s="304">
        <v>7749.6599999999989</v>
      </c>
      <c r="Z17" s="304">
        <v>3060.07</v>
      </c>
      <c r="AA17" s="304">
        <v>26156.86</v>
      </c>
      <c r="AB17" s="304">
        <v>460.81999999999994</v>
      </c>
      <c r="AC17" s="304">
        <v>63.47</v>
      </c>
      <c r="AD17" s="304">
        <v>6823.6</v>
      </c>
      <c r="AE17" s="304">
        <v>2486.4600000000005</v>
      </c>
      <c r="AF17" s="304">
        <v>4953.7200000000012</v>
      </c>
      <c r="AG17" s="304"/>
      <c r="AH17" s="304">
        <v>171.07</v>
      </c>
      <c r="AI17" s="304">
        <v>2296.87</v>
      </c>
      <c r="AJ17" s="304">
        <v>955.98</v>
      </c>
      <c r="AK17" s="304">
        <v>201176.93000000002</v>
      </c>
      <c r="AL17" s="304">
        <v>1819.65</v>
      </c>
      <c r="AM17" s="304">
        <v>3408.0099999999998</v>
      </c>
      <c r="AN17" s="304">
        <v>55075.519999999997</v>
      </c>
      <c r="AO17" s="304">
        <v>21022.370000000003</v>
      </c>
      <c r="AP17" s="304"/>
      <c r="AQ17" s="304"/>
      <c r="AR17" s="304"/>
      <c r="AS17" s="304"/>
      <c r="AT17" s="304"/>
      <c r="AU17" s="304"/>
      <c r="AV17" s="304"/>
      <c r="AW17" s="304"/>
      <c r="AX17" s="304">
        <v>61261.440000000002</v>
      </c>
      <c r="AY17" s="304">
        <v>319.54000000000002</v>
      </c>
      <c r="AZ17" s="304">
        <v>535.30999999999995</v>
      </c>
      <c r="BA17" s="304"/>
      <c r="BB17" s="304">
        <v>9060.91</v>
      </c>
      <c r="BC17" s="304">
        <v>3692.22</v>
      </c>
      <c r="BD17" s="304"/>
      <c r="BE17" s="304"/>
      <c r="BF17" s="304"/>
      <c r="BG17" s="304"/>
      <c r="BH17" s="304"/>
      <c r="BI17" s="304">
        <v>7556.37</v>
      </c>
      <c r="BJ17" s="304"/>
      <c r="BK17" s="304">
        <v>411.28</v>
      </c>
      <c r="BL17" s="304">
        <v>2103.36</v>
      </c>
      <c r="BM17" s="304">
        <v>879.3</v>
      </c>
      <c r="BN17" s="304"/>
      <c r="BO17" s="304"/>
      <c r="BP17" s="304"/>
      <c r="BQ17" s="304"/>
      <c r="BR17" s="304"/>
      <c r="BS17" s="304"/>
      <c r="BT17" s="304">
        <v>211.38</v>
      </c>
      <c r="BU17" s="304"/>
      <c r="BV17" s="304"/>
      <c r="BW17" s="304"/>
      <c r="BX17" s="304"/>
      <c r="BY17" s="304"/>
      <c r="BZ17" s="304">
        <v>2075</v>
      </c>
      <c r="CA17" s="304"/>
      <c r="CB17" s="304"/>
      <c r="CC17" s="304"/>
      <c r="CD17" s="304"/>
      <c r="CE17" s="304"/>
      <c r="CF17" s="304">
        <v>18093.190000000006</v>
      </c>
      <c r="CG17" s="304"/>
      <c r="CH17" s="304"/>
      <c r="CI17" s="304"/>
      <c r="CJ17" s="304"/>
      <c r="CK17" s="304"/>
      <c r="CL17" s="304"/>
      <c r="CM17" s="304"/>
      <c r="CN17" s="304">
        <v>9069.0899999999983</v>
      </c>
      <c r="CO17" s="304">
        <v>5723.8600000000006</v>
      </c>
      <c r="CP17" s="304"/>
      <c r="CQ17" s="304"/>
      <c r="CR17" s="304"/>
      <c r="CS17" s="304"/>
      <c r="CT17" s="304">
        <v>5039.8999999999996</v>
      </c>
      <c r="CU17" s="304">
        <v>962.7600000000001</v>
      </c>
      <c r="CV17" s="304"/>
      <c r="CW17" s="304">
        <v>13888.319999999998</v>
      </c>
      <c r="CX17" s="304">
        <v>20.3</v>
      </c>
      <c r="CY17" s="304"/>
      <c r="CZ17" s="304"/>
      <c r="DA17" s="304"/>
      <c r="DB17" s="304"/>
      <c r="DC17" s="304">
        <v>167.93</v>
      </c>
      <c r="DD17" s="304"/>
      <c r="DE17" s="304">
        <v>2319</v>
      </c>
      <c r="DF17" s="304"/>
      <c r="DG17" s="304"/>
      <c r="DH17" s="304"/>
      <c r="DI17" s="304"/>
      <c r="DJ17" s="304">
        <v>204.26</v>
      </c>
      <c r="DK17" s="304"/>
      <c r="DL17" s="304">
        <v>28019.28000000001</v>
      </c>
      <c r="DM17" s="304">
        <v>6.84</v>
      </c>
      <c r="DN17" s="304"/>
      <c r="DO17" s="304">
        <v>39.75</v>
      </c>
      <c r="DP17" s="304">
        <v>5673.75</v>
      </c>
      <c r="DQ17" s="304">
        <v>915</v>
      </c>
      <c r="DR17" s="304">
        <v>18535</v>
      </c>
      <c r="DS17" s="304"/>
      <c r="DT17" s="304">
        <v>99.29000000000002</v>
      </c>
      <c r="DU17" s="304">
        <v>1297.0299999999997</v>
      </c>
      <c r="DV17" s="426"/>
      <c r="DW17" s="304"/>
      <c r="DX17" s="304">
        <v>2132</v>
      </c>
      <c r="DY17" s="304"/>
      <c r="DZ17" s="304"/>
      <c r="EA17" s="304">
        <v>3714.6299999999997</v>
      </c>
      <c r="EB17" s="304">
        <v>8554.98</v>
      </c>
      <c r="EC17" s="304"/>
      <c r="ED17" s="304"/>
      <c r="EE17" s="304"/>
      <c r="EF17" s="304">
        <v>781.92000000000007</v>
      </c>
      <c r="EG17" s="304"/>
      <c r="EH17" s="304"/>
      <c r="EI17" s="304"/>
      <c r="EJ17" s="304"/>
      <c r="EK17" s="304">
        <v>8848.35</v>
      </c>
      <c r="EL17" s="304"/>
      <c r="EM17" s="304">
        <v>66.25</v>
      </c>
      <c r="EN17" s="304">
        <v>31831.260000000002</v>
      </c>
      <c r="EO17" s="304"/>
      <c r="EP17" s="304"/>
      <c r="EQ17" s="304"/>
      <c r="ER17" s="304"/>
      <c r="ES17" s="304">
        <v>-1360699.89</v>
      </c>
      <c r="ET17" s="304"/>
      <c r="EU17" s="304"/>
      <c r="EV17" s="304">
        <v>-350</v>
      </c>
      <c r="EW17" s="304">
        <v>-69575</v>
      </c>
      <c r="EX17" s="304"/>
      <c r="EY17" s="304"/>
      <c r="EZ17" s="304"/>
      <c r="FA17" s="304"/>
      <c r="FB17" s="304"/>
      <c r="FC17" s="304"/>
      <c r="FD17" s="304"/>
      <c r="FE17" s="304"/>
      <c r="FF17" s="304"/>
      <c r="FG17" s="304">
        <v>-17127</v>
      </c>
      <c r="FH17" s="304"/>
      <c r="FI17" s="304">
        <v>-20350.740000000002</v>
      </c>
      <c r="FJ17" s="304"/>
      <c r="FK17" s="304"/>
      <c r="FL17" s="304"/>
      <c r="FM17" s="304"/>
      <c r="FN17" s="304">
        <v>-94020</v>
      </c>
      <c r="FO17" s="304">
        <v>5456.35</v>
      </c>
      <c r="FP17" s="304">
        <v>808.25</v>
      </c>
      <c r="FQ17" s="304">
        <v>-3217</v>
      </c>
      <c r="FR17" s="304">
        <v>-12863</v>
      </c>
      <c r="FS17" s="304">
        <v>-26618</v>
      </c>
      <c r="FT17" s="304">
        <v>2009</v>
      </c>
      <c r="FU17" s="304"/>
      <c r="FV17" s="304"/>
      <c r="FW17" s="304">
        <v>1806.76</v>
      </c>
      <c r="FX17" s="304">
        <v>4740.9799999999987</v>
      </c>
      <c r="FY17" s="304"/>
      <c r="FZ17" s="304">
        <v>26090</v>
      </c>
      <c r="GA17" s="304">
        <v>378</v>
      </c>
      <c r="GB17" s="304">
        <v>7166.4600000000037</v>
      </c>
      <c r="GC17" s="304"/>
      <c r="GD17" s="304">
        <v>2086.02</v>
      </c>
      <c r="GE17" s="304">
        <v>3501.75</v>
      </c>
      <c r="GF17" s="304">
        <v>2797.5</v>
      </c>
      <c r="GG17" s="304">
        <v>560</v>
      </c>
      <c r="GH17" s="304">
        <v>1252.1500000000001</v>
      </c>
      <c r="GI17" s="304">
        <v>3317.6699999999996</v>
      </c>
      <c r="GJ17" s="304"/>
      <c r="GK17" s="304"/>
      <c r="GL17" s="304"/>
      <c r="GM17" s="304"/>
      <c r="GN17" s="304"/>
      <c r="GO17" s="304"/>
      <c r="GP17" s="304"/>
      <c r="GQ17" s="304"/>
      <c r="GR17" s="304">
        <v>-3557.58</v>
      </c>
      <c r="GS17" s="304">
        <v>-30196.509999999991</v>
      </c>
      <c r="GT17" s="304"/>
      <c r="GU17" s="304"/>
      <c r="GV17" s="304">
        <v>-4387.01</v>
      </c>
      <c r="GW17" s="304"/>
      <c r="GX17" s="304">
        <v>20.100000000000001</v>
      </c>
      <c r="GY17" s="304"/>
      <c r="GZ17" s="304"/>
      <c r="HA17" s="304">
        <v>-44922.54</v>
      </c>
      <c r="HB17" s="304"/>
      <c r="HC17" s="304"/>
      <c r="HD17" s="304">
        <v>0</v>
      </c>
      <c r="HE17" s="304"/>
      <c r="HF17" s="304"/>
      <c r="HG17" s="304">
        <v>-1683.14</v>
      </c>
    </row>
    <row r="18" spans="1:215" s="142" customFormat="1">
      <c r="A18" s="425">
        <v>107759</v>
      </c>
      <c r="B18" s="426"/>
      <c r="C18" s="426">
        <v>245964.33000000002</v>
      </c>
      <c r="D18" s="426"/>
      <c r="E18" s="426">
        <v>5859</v>
      </c>
      <c r="F18" s="426">
        <v>70542.63</v>
      </c>
      <c r="G18" s="426">
        <v>32943.020000000004</v>
      </c>
      <c r="H18" s="426">
        <v>2009.5800000000002</v>
      </c>
      <c r="I18" s="426"/>
      <c r="J18" s="426">
        <v>576.34999999999991</v>
      </c>
      <c r="K18" s="426">
        <v>260.42</v>
      </c>
      <c r="L18" s="426"/>
      <c r="M18" s="426"/>
      <c r="N18" s="426"/>
      <c r="O18" s="426"/>
      <c r="P18" s="426"/>
      <c r="Q18" s="426"/>
      <c r="R18" s="426"/>
      <c r="S18" s="426"/>
      <c r="T18" s="426"/>
      <c r="U18" s="426"/>
      <c r="V18" s="426">
        <v>20542.679999999997</v>
      </c>
      <c r="W18" s="426"/>
      <c r="X18" s="426"/>
      <c r="Y18" s="426">
        <v>5423.14</v>
      </c>
      <c r="Z18" s="426">
        <v>2281.8200000000002</v>
      </c>
      <c r="AA18" s="426">
        <v>4404.96</v>
      </c>
      <c r="AB18" s="426"/>
      <c r="AC18" s="426"/>
      <c r="AD18" s="426">
        <v>1162.8200000000002</v>
      </c>
      <c r="AE18" s="426"/>
      <c r="AF18" s="426"/>
      <c r="AG18" s="426"/>
      <c r="AH18" s="426"/>
      <c r="AI18" s="426"/>
      <c r="AJ18" s="426"/>
      <c r="AK18" s="426">
        <v>102768.31999999999</v>
      </c>
      <c r="AL18" s="426"/>
      <c r="AM18" s="426">
        <v>85.64</v>
      </c>
      <c r="AN18" s="426">
        <v>27153.08</v>
      </c>
      <c r="AO18" s="426">
        <v>12029.180000000002</v>
      </c>
      <c r="AP18" s="426"/>
      <c r="AQ18" s="426"/>
      <c r="AR18" s="426"/>
      <c r="AS18" s="426"/>
      <c r="AT18" s="426"/>
      <c r="AU18" s="426"/>
      <c r="AV18" s="426"/>
      <c r="AW18" s="426"/>
      <c r="AX18" s="426">
        <v>36380.519999999997</v>
      </c>
      <c r="AY18" s="426"/>
      <c r="AZ18" s="426"/>
      <c r="BA18" s="426"/>
      <c r="BB18" s="426">
        <v>9447.260000000002</v>
      </c>
      <c r="BC18" s="426">
        <v>4620.5</v>
      </c>
      <c r="BD18" s="426">
        <v>12056.400000000001</v>
      </c>
      <c r="BE18" s="426"/>
      <c r="BF18" s="426"/>
      <c r="BG18" s="426">
        <v>3182.8599999999988</v>
      </c>
      <c r="BH18" s="426">
        <v>1057.82</v>
      </c>
      <c r="BI18" s="426">
        <v>310.12</v>
      </c>
      <c r="BJ18" s="426"/>
      <c r="BK18" s="426"/>
      <c r="BL18" s="426">
        <v>81.87</v>
      </c>
      <c r="BM18" s="426"/>
      <c r="BN18" s="426"/>
      <c r="BO18" s="426"/>
      <c r="BP18" s="426"/>
      <c r="BQ18" s="426"/>
      <c r="BR18" s="426"/>
      <c r="BS18" s="426"/>
      <c r="BT18" s="426"/>
      <c r="BU18" s="426"/>
      <c r="BV18" s="426"/>
      <c r="BW18" s="426"/>
      <c r="BX18" s="426"/>
      <c r="BY18" s="426"/>
      <c r="BZ18" s="426">
        <v>2227.9499999999998</v>
      </c>
      <c r="CA18" s="426">
        <v>3799.23</v>
      </c>
      <c r="CB18" s="426"/>
      <c r="CC18" s="426"/>
      <c r="CD18" s="426"/>
      <c r="CE18" s="426"/>
      <c r="CF18" s="426">
        <v>13455.699999999997</v>
      </c>
      <c r="CG18" s="426"/>
      <c r="CH18" s="426"/>
      <c r="CI18" s="426"/>
      <c r="CJ18" s="426"/>
      <c r="CK18" s="426"/>
      <c r="CL18" s="426"/>
      <c r="CM18" s="426"/>
      <c r="CN18" s="426">
        <v>4817.7000000000007</v>
      </c>
      <c r="CO18" s="426">
        <v>4792.18</v>
      </c>
      <c r="CP18" s="426"/>
      <c r="CQ18" s="426"/>
      <c r="CR18" s="426"/>
      <c r="CS18" s="426">
        <v>345.75</v>
      </c>
      <c r="CT18" s="426">
        <v>5613.75</v>
      </c>
      <c r="CU18" s="426">
        <v>2467.1699999999996</v>
      </c>
      <c r="CV18" s="426"/>
      <c r="CW18" s="426">
        <v>14273.079999999998</v>
      </c>
      <c r="CX18" s="426">
        <v>2997.4300000000003</v>
      </c>
      <c r="CY18" s="426"/>
      <c r="CZ18" s="426"/>
      <c r="DA18" s="426"/>
      <c r="DB18" s="426"/>
      <c r="DC18" s="426"/>
      <c r="DD18" s="426"/>
      <c r="DE18" s="426"/>
      <c r="DF18" s="426"/>
      <c r="DG18" s="426"/>
      <c r="DH18" s="426">
        <v>592.48</v>
      </c>
      <c r="DI18" s="426"/>
      <c r="DJ18" s="426"/>
      <c r="DK18" s="426">
        <v>2109</v>
      </c>
      <c r="DL18" s="426">
        <v>19069.399999999998</v>
      </c>
      <c r="DM18" s="426"/>
      <c r="DN18" s="426"/>
      <c r="DO18" s="426">
        <v>378</v>
      </c>
      <c r="DP18" s="426">
        <v>1848.7400000000002</v>
      </c>
      <c r="DQ18" s="426">
        <v>6818.579999999999</v>
      </c>
      <c r="DR18" s="426">
        <v>12003.87</v>
      </c>
      <c r="DS18" s="426"/>
      <c r="DT18" s="426"/>
      <c r="DU18" s="304">
        <v>414</v>
      </c>
      <c r="DV18" s="426"/>
      <c r="DW18" s="426">
        <v>198</v>
      </c>
      <c r="DX18" s="426"/>
      <c r="DY18" s="426"/>
      <c r="DZ18" s="426"/>
      <c r="EA18" s="426"/>
      <c r="EB18" s="426">
        <v>7465.7699999999995</v>
      </c>
      <c r="EC18" s="426"/>
      <c r="ED18" s="426"/>
      <c r="EE18" s="426"/>
      <c r="EF18" s="426"/>
      <c r="EG18" s="426"/>
      <c r="EH18" s="426"/>
      <c r="EI18" s="426"/>
      <c r="EJ18" s="426"/>
      <c r="EK18" s="426">
        <v>2871.54</v>
      </c>
      <c r="EL18" s="426">
        <v>5729.89</v>
      </c>
      <c r="EM18" s="426">
        <v>14488.579999999996</v>
      </c>
      <c r="EN18" s="426">
        <v>7787.61</v>
      </c>
      <c r="EO18" s="426"/>
      <c r="EP18" s="426"/>
      <c r="EQ18" s="426"/>
      <c r="ER18" s="426"/>
      <c r="ES18" s="426">
        <v>-532647.21</v>
      </c>
      <c r="ET18" s="426"/>
      <c r="EU18" s="426"/>
      <c r="EV18" s="426"/>
      <c r="EW18" s="426">
        <v>-16265</v>
      </c>
      <c r="EX18" s="426"/>
      <c r="EY18" s="426"/>
      <c r="EZ18" s="426"/>
      <c r="FA18" s="426"/>
      <c r="FB18" s="426"/>
      <c r="FC18" s="426"/>
      <c r="FD18" s="426"/>
      <c r="FE18" s="426">
        <v>-4922.5</v>
      </c>
      <c r="FF18" s="426">
        <v>-16002</v>
      </c>
      <c r="FG18" s="426">
        <v>-15332</v>
      </c>
      <c r="FH18" s="426"/>
      <c r="FI18" s="426"/>
      <c r="FJ18" s="426">
        <v>22128.49</v>
      </c>
      <c r="FK18" s="426">
        <v>-4639.5200000000004</v>
      </c>
      <c r="FL18" s="426"/>
      <c r="FM18" s="426"/>
      <c r="FN18" s="426">
        <v>-46058</v>
      </c>
      <c r="FO18" s="426">
        <v>1770.74</v>
      </c>
      <c r="FP18" s="426">
        <v>262.3</v>
      </c>
      <c r="FQ18" s="426">
        <v>-5422</v>
      </c>
      <c r="FR18" s="426">
        <v>-4964</v>
      </c>
      <c r="FS18" s="426">
        <v>-9923</v>
      </c>
      <c r="FT18" s="426">
        <v>1206</v>
      </c>
      <c r="FU18" s="426"/>
      <c r="FV18" s="426"/>
      <c r="FW18" s="426">
        <v>2853.24</v>
      </c>
      <c r="FX18" s="426"/>
      <c r="FY18" s="426"/>
      <c r="FZ18" s="426"/>
      <c r="GA18" s="426">
        <v>72</v>
      </c>
      <c r="GB18" s="426">
        <v>2053.91</v>
      </c>
      <c r="GC18" s="426">
        <v>261</v>
      </c>
      <c r="GD18" s="426">
        <v>2555.16</v>
      </c>
      <c r="GE18" s="426">
        <v>1494.08</v>
      </c>
      <c r="GF18" s="426">
        <v>3403</v>
      </c>
      <c r="GG18" s="426">
        <v>560</v>
      </c>
      <c r="GH18" s="426">
        <v>830.92</v>
      </c>
      <c r="GI18" s="426"/>
      <c r="GJ18" s="426"/>
      <c r="GK18" s="426"/>
      <c r="GL18" s="426"/>
      <c r="GM18" s="426"/>
      <c r="GN18" s="426"/>
      <c r="GO18" s="426"/>
      <c r="GP18" s="426"/>
      <c r="GQ18" s="426"/>
      <c r="GR18" s="426">
        <v>-4345.0800000000017</v>
      </c>
      <c r="GS18" s="426">
        <v>-4800.2899999999991</v>
      </c>
      <c r="GT18" s="426"/>
      <c r="GU18" s="426"/>
      <c r="GV18" s="426">
        <v>-1283.9699999999998</v>
      </c>
      <c r="GW18" s="426"/>
      <c r="GX18" s="426">
        <v>-8425.84</v>
      </c>
      <c r="GY18" s="426">
        <v>-9540</v>
      </c>
      <c r="GZ18" s="426"/>
      <c r="HA18" s="426">
        <v>-15909.33</v>
      </c>
      <c r="HB18" s="426"/>
      <c r="HC18" s="426"/>
      <c r="HD18" s="426"/>
      <c r="HE18" s="426"/>
      <c r="HF18" s="426"/>
      <c r="HG18" s="426"/>
    </row>
    <row r="19" spans="1:215">
      <c r="A19" s="116">
        <v>107763</v>
      </c>
      <c r="B19" s="304"/>
      <c r="C19" s="304">
        <v>436038.88</v>
      </c>
      <c r="D19" s="304">
        <v>13854.88</v>
      </c>
      <c r="E19" s="304">
        <v>8468.25</v>
      </c>
      <c r="F19" s="304">
        <v>129029.51</v>
      </c>
      <c r="G19" s="304">
        <v>59213.560000000005</v>
      </c>
      <c r="H19" s="304">
        <v>18747.250000000004</v>
      </c>
      <c r="I19" s="304"/>
      <c r="J19" s="304">
        <v>5299.44</v>
      </c>
      <c r="K19" s="304">
        <v>2191.37</v>
      </c>
      <c r="L19" s="304"/>
      <c r="M19" s="304"/>
      <c r="N19" s="304"/>
      <c r="O19" s="304"/>
      <c r="P19" s="304"/>
      <c r="Q19" s="304"/>
      <c r="R19" s="304"/>
      <c r="S19" s="304"/>
      <c r="T19" s="304"/>
      <c r="U19" s="304"/>
      <c r="V19" s="304"/>
      <c r="W19" s="304"/>
      <c r="X19" s="304"/>
      <c r="Y19" s="304"/>
      <c r="Z19" s="304"/>
      <c r="AA19" s="304">
        <v>22827.67</v>
      </c>
      <c r="AB19" s="304">
        <v>1565.93</v>
      </c>
      <c r="AC19" s="304">
        <v>44.98</v>
      </c>
      <c r="AD19" s="304">
        <v>6219.7800000000007</v>
      </c>
      <c r="AE19" s="304">
        <v>2156.8500000000004</v>
      </c>
      <c r="AF19" s="304">
        <v>3966.4799999999996</v>
      </c>
      <c r="AG19" s="304">
        <v>65.2</v>
      </c>
      <c r="AH19" s="304"/>
      <c r="AI19" s="304">
        <v>990.84999999999968</v>
      </c>
      <c r="AJ19" s="304">
        <v>501.65000000000003</v>
      </c>
      <c r="AK19" s="304">
        <v>116858.44</v>
      </c>
      <c r="AL19" s="304">
        <v>6235.47</v>
      </c>
      <c r="AM19" s="304">
        <v>11267.130000000001</v>
      </c>
      <c r="AN19" s="304">
        <v>32559.23</v>
      </c>
      <c r="AO19" s="304">
        <v>13531.48</v>
      </c>
      <c r="AP19" s="304"/>
      <c r="AQ19" s="304"/>
      <c r="AR19" s="304"/>
      <c r="AS19" s="304"/>
      <c r="AT19" s="304"/>
      <c r="AU19" s="304"/>
      <c r="AV19" s="304"/>
      <c r="AW19" s="304"/>
      <c r="AX19" s="304">
        <v>54087.03</v>
      </c>
      <c r="AY19" s="304">
        <v>562.41000000000008</v>
      </c>
      <c r="AZ19" s="304">
        <v>1427.31</v>
      </c>
      <c r="BA19" s="304"/>
      <c r="BB19" s="304">
        <v>14764.470000000001</v>
      </c>
      <c r="BC19" s="304">
        <v>6186.29</v>
      </c>
      <c r="BD19" s="304"/>
      <c r="BE19" s="304"/>
      <c r="BF19" s="304"/>
      <c r="BG19" s="304"/>
      <c r="BH19" s="304"/>
      <c r="BI19" s="304">
        <v>17226.32</v>
      </c>
      <c r="BJ19" s="304">
        <v>234.76</v>
      </c>
      <c r="BK19" s="304"/>
      <c r="BL19" s="304">
        <v>4609.5</v>
      </c>
      <c r="BM19" s="304">
        <v>2042.8600000000001</v>
      </c>
      <c r="BN19" s="304"/>
      <c r="BO19" s="304"/>
      <c r="BP19" s="304"/>
      <c r="BQ19" s="304"/>
      <c r="BR19" s="304"/>
      <c r="BS19" s="304"/>
      <c r="BT19" s="304"/>
      <c r="BU19" s="304"/>
      <c r="BV19" s="304"/>
      <c r="BW19" s="304"/>
      <c r="BX19" s="304"/>
      <c r="BY19" s="304"/>
      <c r="BZ19" s="304">
        <v>5348.9</v>
      </c>
      <c r="CA19" s="304">
        <v>510</v>
      </c>
      <c r="CB19" s="304"/>
      <c r="CC19" s="304"/>
      <c r="CD19" s="304"/>
      <c r="CE19" s="304">
        <v>10299</v>
      </c>
      <c r="CF19" s="304">
        <v>10854.94</v>
      </c>
      <c r="CG19" s="304">
        <v>17701.759999999998</v>
      </c>
      <c r="CH19" s="304">
        <v>13150.029999999999</v>
      </c>
      <c r="CI19" s="304"/>
      <c r="CJ19" s="304"/>
      <c r="CK19" s="304"/>
      <c r="CL19" s="304"/>
      <c r="CM19" s="304">
        <v>4016.9900000000007</v>
      </c>
      <c r="CN19" s="304">
        <v>12295.830000000002</v>
      </c>
      <c r="CO19" s="304">
        <v>7066.48</v>
      </c>
      <c r="CP19" s="304"/>
      <c r="CQ19" s="304"/>
      <c r="CR19" s="304">
        <v>2492.16</v>
      </c>
      <c r="CS19" s="304"/>
      <c r="CT19" s="304">
        <v>11352.25</v>
      </c>
      <c r="CU19" s="304">
        <v>3686.12</v>
      </c>
      <c r="CV19" s="304"/>
      <c r="CW19" s="304">
        <v>2019.5000000000005</v>
      </c>
      <c r="CX19" s="304">
        <v>737.32999999999993</v>
      </c>
      <c r="CY19" s="304"/>
      <c r="CZ19" s="304"/>
      <c r="DA19" s="304"/>
      <c r="DB19" s="304">
        <v>15</v>
      </c>
      <c r="DC19" s="304">
        <v>385.67</v>
      </c>
      <c r="DD19" s="304"/>
      <c r="DE19" s="304"/>
      <c r="DF19" s="304"/>
      <c r="DG19" s="304"/>
      <c r="DH19" s="304"/>
      <c r="DI19" s="304"/>
      <c r="DJ19" s="304"/>
      <c r="DK19" s="304">
        <v>3421</v>
      </c>
      <c r="DL19" s="304">
        <v>17533.170000000002</v>
      </c>
      <c r="DM19" s="304">
        <v>365.18999999999994</v>
      </c>
      <c r="DN19" s="304"/>
      <c r="DO19" s="304">
        <v>561.75</v>
      </c>
      <c r="DP19" s="304">
        <v>2424.2799999999997</v>
      </c>
      <c r="DQ19" s="304"/>
      <c r="DR19" s="304">
        <v>40461.509999999995</v>
      </c>
      <c r="DS19" s="304"/>
      <c r="DT19" s="304">
        <v>15.3</v>
      </c>
      <c r="DU19" s="304">
        <v>120.91</v>
      </c>
      <c r="DV19" s="426"/>
      <c r="DW19" s="304"/>
      <c r="DX19" s="304">
        <v>1614.36</v>
      </c>
      <c r="DY19" s="304"/>
      <c r="DZ19" s="304"/>
      <c r="EA19" s="304">
        <v>10644.57</v>
      </c>
      <c r="EB19" s="304">
        <v>12292.07</v>
      </c>
      <c r="EC19" s="304">
        <v>13140</v>
      </c>
      <c r="ED19" s="304">
        <v>1135.01</v>
      </c>
      <c r="EE19" s="304">
        <v>3803.75</v>
      </c>
      <c r="EF19" s="304"/>
      <c r="EG19" s="304"/>
      <c r="EH19" s="304">
        <v>-683.4</v>
      </c>
      <c r="EI19" s="304">
        <v>6109</v>
      </c>
      <c r="EJ19" s="304">
        <v>3100.49</v>
      </c>
      <c r="EK19" s="304">
        <v>6010.2</v>
      </c>
      <c r="EL19" s="304">
        <v>445.08</v>
      </c>
      <c r="EM19" s="304">
        <v>728.14999999999986</v>
      </c>
      <c r="EN19" s="304">
        <v>20775.580000000002</v>
      </c>
      <c r="EO19" s="304"/>
      <c r="EP19" s="304"/>
      <c r="EQ19" s="304"/>
      <c r="ER19" s="304">
        <v>17.05</v>
      </c>
      <c r="ES19" s="304">
        <v>-915530.48</v>
      </c>
      <c r="ET19" s="304"/>
      <c r="EU19" s="304">
        <v>-6174</v>
      </c>
      <c r="EV19" s="304">
        <v>-3500</v>
      </c>
      <c r="EW19" s="304">
        <v>-26005</v>
      </c>
      <c r="EX19" s="304"/>
      <c r="EY19" s="304"/>
      <c r="EZ19" s="304">
        <v>-4500</v>
      </c>
      <c r="FA19" s="304">
        <v>-856.93</v>
      </c>
      <c r="FB19" s="304"/>
      <c r="FC19" s="304"/>
      <c r="FD19" s="304"/>
      <c r="FE19" s="304">
        <v>-6250</v>
      </c>
      <c r="FF19" s="304">
        <v>-25937</v>
      </c>
      <c r="FG19" s="304">
        <v>-16180</v>
      </c>
      <c r="FH19" s="304"/>
      <c r="FI19" s="304">
        <v>-45300.87</v>
      </c>
      <c r="FJ19" s="304"/>
      <c r="FK19" s="304">
        <v>-7420.77</v>
      </c>
      <c r="FL19" s="304"/>
      <c r="FM19" s="304"/>
      <c r="FN19" s="304">
        <v>-76873</v>
      </c>
      <c r="FO19" s="304">
        <v>3706.2</v>
      </c>
      <c r="FP19" s="304">
        <v>549</v>
      </c>
      <c r="FQ19" s="304">
        <v>2556</v>
      </c>
      <c r="FR19" s="304">
        <v>-8570</v>
      </c>
      <c r="FS19" s="304">
        <v>-17529</v>
      </c>
      <c r="FT19" s="304">
        <v>1935.25</v>
      </c>
      <c r="FU19" s="304"/>
      <c r="FV19" s="304"/>
      <c r="FW19" s="304">
        <v>1597</v>
      </c>
      <c r="FX19" s="304">
        <v>637</v>
      </c>
      <c r="FY19" s="304">
        <v>507</v>
      </c>
      <c r="FZ19" s="304">
        <v>32866.65</v>
      </c>
      <c r="GA19" s="304">
        <v>516</v>
      </c>
      <c r="GB19" s="304">
        <v>7870.8600000000051</v>
      </c>
      <c r="GC19" s="304">
        <v>261</v>
      </c>
      <c r="GD19" s="304">
        <v>2057.12</v>
      </c>
      <c r="GE19" s="304">
        <v>2694.6800000000003</v>
      </c>
      <c r="GF19" s="304">
        <v>1890</v>
      </c>
      <c r="GG19" s="304">
        <v>560</v>
      </c>
      <c r="GH19" s="304">
        <v>1039.5999999999999</v>
      </c>
      <c r="GI19" s="304">
        <v>2990.4099999999989</v>
      </c>
      <c r="GJ19" s="304"/>
      <c r="GK19" s="304"/>
      <c r="GL19" s="304"/>
      <c r="GM19" s="304"/>
      <c r="GN19" s="304"/>
      <c r="GO19" s="304"/>
      <c r="GP19" s="304"/>
      <c r="GQ19" s="304"/>
      <c r="GR19" s="304">
        <v>-35711.420000000006</v>
      </c>
      <c r="GS19" s="304">
        <v>-15866.579999999998</v>
      </c>
      <c r="GT19" s="304"/>
      <c r="GU19" s="304"/>
      <c r="GV19" s="304">
        <v>-1875.0200000000002</v>
      </c>
      <c r="GW19" s="304"/>
      <c r="GX19" s="304">
        <v>-3565.2900000000004</v>
      </c>
      <c r="GY19" s="304"/>
      <c r="GZ19" s="304"/>
      <c r="HA19" s="304">
        <v>-10269.9</v>
      </c>
      <c r="HB19" s="304"/>
      <c r="HC19" s="304"/>
      <c r="HD19" s="304">
        <v>0</v>
      </c>
      <c r="HE19" s="304"/>
      <c r="HF19" s="304"/>
      <c r="HG19" s="304">
        <v>-3263.01</v>
      </c>
    </row>
    <row r="20" spans="1:215">
      <c r="A20" s="116">
        <v>107764</v>
      </c>
      <c r="B20" s="304"/>
      <c r="C20" s="304">
        <v>213630.81999999998</v>
      </c>
      <c r="D20" s="304">
        <v>3797.78</v>
      </c>
      <c r="E20" s="304">
        <v>430</v>
      </c>
      <c r="F20" s="304">
        <v>62358.59</v>
      </c>
      <c r="G20" s="304">
        <v>27319.959999999995</v>
      </c>
      <c r="H20" s="304">
        <v>7528.0700000000015</v>
      </c>
      <c r="I20" s="304">
        <v>2.86</v>
      </c>
      <c r="J20" s="304">
        <v>2159.0300000000002</v>
      </c>
      <c r="K20" s="304">
        <v>891.42999999999984</v>
      </c>
      <c r="L20" s="304"/>
      <c r="M20" s="304"/>
      <c r="N20" s="304"/>
      <c r="O20" s="304"/>
      <c r="P20" s="304"/>
      <c r="Q20" s="304"/>
      <c r="R20" s="304"/>
      <c r="S20" s="304"/>
      <c r="T20" s="304"/>
      <c r="U20" s="304"/>
      <c r="V20" s="304">
        <v>11989.03</v>
      </c>
      <c r="W20" s="304">
        <v>19.670000000000002</v>
      </c>
      <c r="X20" s="304"/>
      <c r="Y20" s="304">
        <v>2536.92</v>
      </c>
      <c r="Z20" s="304">
        <v>1339.73</v>
      </c>
      <c r="AA20" s="304">
        <v>10166.15</v>
      </c>
      <c r="AB20" s="304">
        <v>3.85</v>
      </c>
      <c r="AC20" s="304"/>
      <c r="AD20" s="304">
        <v>2684.71</v>
      </c>
      <c r="AE20" s="304">
        <v>1011.3499999999999</v>
      </c>
      <c r="AF20" s="304"/>
      <c r="AG20" s="304"/>
      <c r="AH20" s="304"/>
      <c r="AI20" s="304"/>
      <c r="AJ20" s="304"/>
      <c r="AK20" s="304">
        <v>75168.400000000009</v>
      </c>
      <c r="AL20" s="304">
        <v>277.93</v>
      </c>
      <c r="AM20" s="304">
        <v>505.45</v>
      </c>
      <c r="AN20" s="304">
        <v>18827.21</v>
      </c>
      <c r="AO20" s="304">
        <v>8607.8900000000012</v>
      </c>
      <c r="AP20" s="304"/>
      <c r="AQ20" s="304"/>
      <c r="AR20" s="304"/>
      <c r="AS20" s="304"/>
      <c r="AT20" s="304"/>
      <c r="AU20" s="304"/>
      <c r="AV20" s="304"/>
      <c r="AW20" s="304"/>
      <c r="AX20" s="304">
        <v>23544.21</v>
      </c>
      <c r="AY20" s="304">
        <v>2062.23</v>
      </c>
      <c r="AZ20" s="304"/>
      <c r="BA20" s="304"/>
      <c r="BB20" s="304">
        <v>6759.9400000000023</v>
      </c>
      <c r="BC20" s="304">
        <v>2753.2</v>
      </c>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v>3857.14</v>
      </c>
      <c r="CA20" s="304"/>
      <c r="CB20" s="304"/>
      <c r="CC20" s="304"/>
      <c r="CD20" s="304"/>
      <c r="CE20" s="304">
        <v>25140</v>
      </c>
      <c r="CF20" s="304">
        <v>3685.23</v>
      </c>
      <c r="CG20" s="304">
        <v>2519.9599999999996</v>
      </c>
      <c r="CH20" s="304">
        <v>0</v>
      </c>
      <c r="CI20" s="304"/>
      <c r="CJ20" s="304"/>
      <c r="CK20" s="304"/>
      <c r="CL20" s="304"/>
      <c r="CM20" s="304">
        <v>860</v>
      </c>
      <c r="CN20" s="304">
        <v>3284.9400000000005</v>
      </c>
      <c r="CO20" s="304"/>
      <c r="CP20" s="304">
        <v>1309.8</v>
      </c>
      <c r="CQ20" s="304">
        <v>15457</v>
      </c>
      <c r="CR20" s="304">
        <v>105.69999999999999</v>
      </c>
      <c r="CS20" s="304"/>
      <c r="CT20" s="304">
        <v>5364.25</v>
      </c>
      <c r="CU20" s="304">
        <v>716.67000000000007</v>
      </c>
      <c r="CV20" s="304"/>
      <c r="CW20" s="304">
        <v>333.96</v>
      </c>
      <c r="CX20" s="304">
        <v>505</v>
      </c>
      <c r="CY20" s="304"/>
      <c r="CZ20" s="304"/>
      <c r="DA20" s="304"/>
      <c r="DB20" s="304"/>
      <c r="DC20" s="304">
        <v>347.77</v>
      </c>
      <c r="DD20" s="304"/>
      <c r="DE20" s="304">
        <v>399.94</v>
      </c>
      <c r="DF20" s="304"/>
      <c r="DG20" s="304"/>
      <c r="DH20" s="304">
        <v>3981.9399999999996</v>
      </c>
      <c r="DI20" s="304"/>
      <c r="DJ20" s="304"/>
      <c r="DK20" s="304">
        <v>1713</v>
      </c>
      <c r="DL20" s="304">
        <v>14083.700000000006</v>
      </c>
      <c r="DM20" s="304">
        <v>239.85999999999999</v>
      </c>
      <c r="DN20" s="304"/>
      <c r="DO20" s="304">
        <v>1053.4099999999999</v>
      </c>
      <c r="DP20" s="304">
        <v>644.4</v>
      </c>
      <c r="DQ20" s="304">
        <v>813.96</v>
      </c>
      <c r="DR20" s="304">
        <v>14811.9</v>
      </c>
      <c r="DS20" s="304"/>
      <c r="DT20" s="304">
        <v>5.5</v>
      </c>
      <c r="DU20" s="304">
        <v>330.7299999999999</v>
      </c>
      <c r="DV20" s="426"/>
      <c r="DW20" s="304"/>
      <c r="DX20" s="304">
        <v>1061.8600000000001</v>
      </c>
      <c r="DY20" s="304"/>
      <c r="DZ20" s="304"/>
      <c r="EA20" s="304">
        <v>6197.99</v>
      </c>
      <c r="EB20" s="304">
        <v>6186.13</v>
      </c>
      <c r="EC20" s="304">
        <v>4502.5</v>
      </c>
      <c r="ED20" s="304">
        <v>21.35</v>
      </c>
      <c r="EE20" s="304">
        <v>3337.72</v>
      </c>
      <c r="EF20" s="304"/>
      <c r="EG20" s="304"/>
      <c r="EH20" s="304"/>
      <c r="EI20" s="304">
        <v>138.96</v>
      </c>
      <c r="EJ20" s="304"/>
      <c r="EK20" s="304">
        <v>2270.52</v>
      </c>
      <c r="EL20" s="304">
        <v>123</v>
      </c>
      <c r="EM20" s="304">
        <v>495.75</v>
      </c>
      <c r="EN20" s="304">
        <v>9995.59</v>
      </c>
      <c r="EO20" s="304"/>
      <c r="EP20" s="304"/>
      <c r="EQ20" s="304"/>
      <c r="ER20" s="304"/>
      <c r="ES20" s="304">
        <v>-517601.41</v>
      </c>
      <c r="ET20" s="304"/>
      <c r="EU20" s="304"/>
      <c r="EV20" s="304">
        <v>-2337.8000000000002</v>
      </c>
      <c r="EW20" s="304">
        <v>-9805</v>
      </c>
      <c r="EX20" s="304"/>
      <c r="EY20" s="304"/>
      <c r="EZ20" s="304"/>
      <c r="FA20" s="304">
        <v>-876</v>
      </c>
      <c r="FB20" s="304"/>
      <c r="FC20" s="304"/>
      <c r="FD20" s="304"/>
      <c r="FE20" s="304">
        <v>-4686.25</v>
      </c>
      <c r="FF20" s="304">
        <v>-19211</v>
      </c>
      <c r="FG20" s="304">
        <v>-15169</v>
      </c>
      <c r="FH20" s="304"/>
      <c r="FI20" s="304">
        <v>-14668.93</v>
      </c>
      <c r="FJ20" s="304">
        <v>168841.15</v>
      </c>
      <c r="FK20" s="304">
        <v>-28630.37</v>
      </c>
      <c r="FL20" s="304"/>
      <c r="FM20" s="304"/>
      <c r="FN20" s="304">
        <v>-26493</v>
      </c>
      <c r="FO20" s="304">
        <v>1400.12</v>
      </c>
      <c r="FP20" s="304">
        <v>207.4</v>
      </c>
      <c r="FQ20" s="304">
        <v>-5182.54</v>
      </c>
      <c r="FR20" s="304">
        <v>-4047</v>
      </c>
      <c r="FS20" s="304">
        <v>-7981</v>
      </c>
      <c r="FT20" s="304">
        <v>300</v>
      </c>
      <c r="FU20" s="304"/>
      <c r="FV20" s="304"/>
      <c r="FW20" s="304">
        <v>1174.44</v>
      </c>
      <c r="FX20" s="304"/>
      <c r="FY20" s="304">
        <v>12899.709999999997</v>
      </c>
      <c r="FZ20" s="304">
        <v>21492.18</v>
      </c>
      <c r="GA20" s="304">
        <v>644</v>
      </c>
      <c r="GB20" s="304">
        <v>2921.7399999999984</v>
      </c>
      <c r="GC20" s="304"/>
      <c r="GD20" s="304">
        <v>3523.04</v>
      </c>
      <c r="GE20" s="304">
        <v>1467.4</v>
      </c>
      <c r="GF20" s="304">
        <v>790</v>
      </c>
      <c r="GG20" s="304">
        <v>885</v>
      </c>
      <c r="GH20" s="304">
        <v>790.96</v>
      </c>
      <c r="GI20" s="304">
        <v>612.25</v>
      </c>
      <c r="GJ20" s="304"/>
      <c r="GK20" s="304"/>
      <c r="GL20" s="304"/>
      <c r="GM20" s="304"/>
      <c r="GN20" s="304"/>
      <c r="GO20" s="304"/>
      <c r="GP20" s="304"/>
      <c r="GQ20" s="304"/>
      <c r="GR20" s="304">
        <v>-26796.43</v>
      </c>
      <c r="GS20" s="304">
        <v>-5159.25</v>
      </c>
      <c r="GT20" s="304"/>
      <c r="GU20" s="304"/>
      <c r="GV20" s="304">
        <v>-802.92000000000007</v>
      </c>
      <c r="GW20" s="304"/>
      <c r="GX20" s="304">
        <v>5.42</v>
      </c>
      <c r="GY20" s="304"/>
      <c r="GZ20" s="304"/>
      <c r="HA20" s="304">
        <v>-29495.099999999995</v>
      </c>
      <c r="HB20" s="304"/>
      <c r="HC20" s="304">
        <v>-1658.1299999999999</v>
      </c>
      <c r="HD20" s="304">
        <v>-7514.6099999999979</v>
      </c>
      <c r="HE20" s="304"/>
      <c r="HF20" s="304"/>
      <c r="HG20" s="304"/>
    </row>
    <row r="21" spans="1:215">
      <c r="A21" s="116">
        <v>107765</v>
      </c>
      <c r="B21" s="304">
        <v>0</v>
      </c>
      <c r="C21" s="304">
        <v>247254.30000000002</v>
      </c>
      <c r="D21" s="304">
        <v>2419.21</v>
      </c>
      <c r="E21" s="304">
        <v>10354.799999999999</v>
      </c>
      <c r="F21" s="304">
        <v>71606.39</v>
      </c>
      <c r="G21" s="304">
        <v>33717.699999999997</v>
      </c>
      <c r="H21" s="304">
        <v>2727.3899999999994</v>
      </c>
      <c r="I21" s="304"/>
      <c r="J21" s="304">
        <v>782.21</v>
      </c>
      <c r="K21" s="304">
        <v>164.16</v>
      </c>
      <c r="L21" s="304"/>
      <c r="M21" s="304">
        <v>0</v>
      </c>
      <c r="N21" s="304"/>
      <c r="O21" s="304"/>
      <c r="P21" s="304"/>
      <c r="Q21" s="304"/>
      <c r="R21" s="304"/>
      <c r="S21" s="304"/>
      <c r="T21" s="304"/>
      <c r="U21" s="304"/>
      <c r="V21" s="304">
        <v>3540.85</v>
      </c>
      <c r="W21" s="304"/>
      <c r="X21" s="304"/>
      <c r="Y21" s="304"/>
      <c r="Z21" s="304">
        <v>399.9</v>
      </c>
      <c r="AA21" s="304">
        <v>12871.810000000003</v>
      </c>
      <c r="AB21" s="304"/>
      <c r="AC21" s="304"/>
      <c r="AD21" s="304">
        <v>2219.0000000000005</v>
      </c>
      <c r="AE21" s="304">
        <v>855.52000000000021</v>
      </c>
      <c r="AF21" s="304"/>
      <c r="AG21" s="304"/>
      <c r="AH21" s="304"/>
      <c r="AI21" s="304"/>
      <c r="AJ21" s="304"/>
      <c r="AK21" s="304">
        <v>119757.25</v>
      </c>
      <c r="AL21" s="304">
        <v>3053.82</v>
      </c>
      <c r="AM21" s="304">
        <v>1699.1299999999999</v>
      </c>
      <c r="AN21" s="304">
        <v>32870.15</v>
      </c>
      <c r="AO21" s="304">
        <v>13952.42</v>
      </c>
      <c r="AP21" s="304"/>
      <c r="AQ21" s="304"/>
      <c r="AR21" s="304"/>
      <c r="AS21" s="304"/>
      <c r="AT21" s="304"/>
      <c r="AU21" s="304"/>
      <c r="AV21" s="304"/>
      <c r="AW21" s="304"/>
      <c r="AX21" s="304">
        <v>37036.349999999991</v>
      </c>
      <c r="AY21" s="304">
        <v>141.22999999999999</v>
      </c>
      <c r="AZ21" s="304">
        <v>578.01</v>
      </c>
      <c r="BA21" s="304"/>
      <c r="BB21" s="304">
        <v>9967.2999999999993</v>
      </c>
      <c r="BC21" s="304">
        <v>3858.9299999999994</v>
      </c>
      <c r="BD21" s="304"/>
      <c r="BE21" s="304"/>
      <c r="BF21" s="304"/>
      <c r="BG21" s="304"/>
      <c r="BH21" s="304"/>
      <c r="BI21" s="304">
        <v>5522.7400000000007</v>
      </c>
      <c r="BJ21" s="304"/>
      <c r="BK21" s="304"/>
      <c r="BL21" s="304">
        <v>1457.9499999999996</v>
      </c>
      <c r="BM21" s="304">
        <v>18</v>
      </c>
      <c r="BN21" s="304"/>
      <c r="BO21" s="304"/>
      <c r="BP21" s="304"/>
      <c r="BQ21" s="304"/>
      <c r="BR21" s="304"/>
      <c r="BS21" s="304"/>
      <c r="BT21" s="304"/>
      <c r="BU21" s="304"/>
      <c r="BV21" s="304"/>
      <c r="BW21" s="304"/>
      <c r="BX21" s="304"/>
      <c r="BY21" s="304"/>
      <c r="BZ21" s="304">
        <v>4545.7999999999993</v>
      </c>
      <c r="CA21" s="304"/>
      <c r="CB21" s="304"/>
      <c r="CC21" s="304"/>
      <c r="CD21" s="304"/>
      <c r="CE21" s="304">
        <v>626.96</v>
      </c>
      <c r="CF21" s="304">
        <v>38543.320000000007</v>
      </c>
      <c r="CG21" s="304"/>
      <c r="CH21" s="304">
        <v>3235.19</v>
      </c>
      <c r="CI21" s="304"/>
      <c r="CJ21" s="304"/>
      <c r="CK21" s="304"/>
      <c r="CL21" s="304"/>
      <c r="CM21" s="304"/>
      <c r="CN21" s="304">
        <v>19350.48</v>
      </c>
      <c r="CO21" s="304"/>
      <c r="CP21" s="304"/>
      <c r="CQ21" s="304"/>
      <c r="CR21" s="304">
        <v>491.80999999999995</v>
      </c>
      <c r="CS21" s="304"/>
      <c r="CT21" s="304">
        <v>8857.25</v>
      </c>
      <c r="CU21" s="304">
        <v>1209.5899999999999</v>
      </c>
      <c r="CV21" s="304"/>
      <c r="CW21" s="304"/>
      <c r="CX21" s="304">
        <v>89.75</v>
      </c>
      <c r="CY21" s="304">
        <v>198.5</v>
      </c>
      <c r="CZ21" s="304"/>
      <c r="DA21" s="304">
        <v>0</v>
      </c>
      <c r="DB21" s="304"/>
      <c r="DC21" s="304">
        <v>55.54</v>
      </c>
      <c r="DD21" s="304"/>
      <c r="DE21" s="304">
        <v>1715.3400000000001</v>
      </c>
      <c r="DF21" s="304">
        <v>1275</v>
      </c>
      <c r="DG21" s="304"/>
      <c r="DH21" s="304">
        <v>484.99</v>
      </c>
      <c r="DI21" s="304"/>
      <c r="DJ21" s="304">
        <v>47.94</v>
      </c>
      <c r="DK21" s="304">
        <v>2177</v>
      </c>
      <c r="DL21" s="304">
        <v>12776.849999999995</v>
      </c>
      <c r="DM21" s="304">
        <v>105.83000000000001</v>
      </c>
      <c r="DN21" s="304"/>
      <c r="DO21" s="304">
        <v>3509.31</v>
      </c>
      <c r="DP21" s="304">
        <v>3765.12</v>
      </c>
      <c r="DQ21" s="304">
        <v>877.5</v>
      </c>
      <c r="DR21" s="304">
        <v>10579.05</v>
      </c>
      <c r="DS21" s="304"/>
      <c r="DT21" s="304">
        <v>41.78</v>
      </c>
      <c r="DU21" s="304">
        <v>2148.9500000000003</v>
      </c>
      <c r="DV21" s="426"/>
      <c r="DW21" s="304"/>
      <c r="DX21" s="304">
        <v>3806</v>
      </c>
      <c r="DY21" s="304"/>
      <c r="DZ21" s="304"/>
      <c r="EA21" s="304">
        <v>790.45999999999992</v>
      </c>
      <c r="EB21" s="304">
        <v>4526.5599999999995</v>
      </c>
      <c r="EC21" s="304">
        <v>1306.99</v>
      </c>
      <c r="ED21" s="304"/>
      <c r="EE21" s="304">
        <v>789</v>
      </c>
      <c r="EF21" s="304"/>
      <c r="EG21" s="304">
        <v>64.149999999999991</v>
      </c>
      <c r="EH21" s="304"/>
      <c r="EI21" s="304"/>
      <c r="EJ21" s="304">
        <v>3966.92</v>
      </c>
      <c r="EK21" s="304">
        <v>2337.3000000000002</v>
      </c>
      <c r="EL21" s="304">
        <v>115.5</v>
      </c>
      <c r="EM21" s="304">
        <v>601.04000000000008</v>
      </c>
      <c r="EN21" s="304">
        <v>6482.3</v>
      </c>
      <c r="EO21" s="304"/>
      <c r="EP21" s="304"/>
      <c r="EQ21" s="304"/>
      <c r="ER21" s="304"/>
      <c r="ES21" s="304">
        <v>-499428.43</v>
      </c>
      <c r="ET21" s="304"/>
      <c r="EU21" s="304"/>
      <c r="EV21" s="304">
        <v>-1075</v>
      </c>
      <c r="EW21" s="304">
        <v>-24590</v>
      </c>
      <c r="EX21" s="304">
        <v>-76000</v>
      </c>
      <c r="EY21" s="304"/>
      <c r="EZ21" s="304"/>
      <c r="FA21" s="304"/>
      <c r="FB21" s="304"/>
      <c r="FC21" s="304"/>
      <c r="FD21" s="304"/>
      <c r="FE21" s="304">
        <v>-4978.75</v>
      </c>
      <c r="FF21" s="304">
        <v>-6569</v>
      </c>
      <c r="FG21" s="304">
        <v>-15333</v>
      </c>
      <c r="FH21" s="304"/>
      <c r="FI21" s="304">
        <v>-71355.86</v>
      </c>
      <c r="FJ21" s="304"/>
      <c r="FK21" s="304">
        <v>-25.78</v>
      </c>
      <c r="FL21" s="304">
        <v>-26302</v>
      </c>
      <c r="FM21" s="304"/>
      <c r="FN21" s="304">
        <v>-83179</v>
      </c>
      <c r="FO21" s="304">
        <v>1441.3</v>
      </c>
      <c r="FP21" s="304">
        <v>213.5</v>
      </c>
      <c r="FQ21" s="304">
        <v>-52383.19</v>
      </c>
      <c r="FR21" s="304">
        <v>-6311</v>
      </c>
      <c r="FS21" s="304">
        <v>-11998</v>
      </c>
      <c r="FT21" s="304">
        <v>564</v>
      </c>
      <c r="FU21" s="304"/>
      <c r="FV21" s="304"/>
      <c r="FW21" s="304">
        <v>1256.52</v>
      </c>
      <c r="FX21" s="304">
        <v>4530.8300000000008</v>
      </c>
      <c r="FY21" s="304">
        <v>18333.64</v>
      </c>
      <c r="FZ21" s="304">
        <v>15263.25</v>
      </c>
      <c r="GA21" s="304">
        <v>927</v>
      </c>
      <c r="GB21" s="304">
        <v>6052.8400000000011</v>
      </c>
      <c r="GC21" s="304"/>
      <c r="GD21" s="304">
        <v>5283.72</v>
      </c>
      <c r="GE21" s="304">
        <v>1600.8</v>
      </c>
      <c r="GF21" s="304">
        <v>3290</v>
      </c>
      <c r="GG21" s="304">
        <v>530</v>
      </c>
      <c r="GH21" s="304">
        <v>795.4</v>
      </c>
      <c r="GI21" s="304">
        <v>1731.6699999999998</v>
      </c>
      <c r="GJ21" s="304"/>
      <c r="GK21" s="304"/>
      <c r="GL21" s="304"/>
      <c r="GM21" s="304"/>
      <c r="GN21" s="304"/>
      <c r="GO21" s="304"/>
      <c r="GP21" s="304"/>
      <c r="GQ21" s="304"/>
      <c r="GR21" s="304">
        <v>-4237.4100000000008</v>
      </c>
      <c r="GS21" s="304">
        <v>-2464.690000000001</v>
      </c>
      <c r="GT21" s="304"/>
      <c r="GU21" s="304"/>
      <c r="GV21" s="304"/>
      <c r="GW21" s="304"/>
      <c r="GX21" s="304">
        <v>39.26</v>
      </c>
      <c r="GY21" s="304">
        <v>-386</v>
      </c>
      <c r="GZ21" s="304"/>
      <c r="HA21" s="304">
        <v>-3912.3999999999992</v>
      </c>
      <c r="HB21" s="304"/>
      <c r="HC21" s="304"/>
      <c r="HD21" s="304">
        <v>-7667.11</v>
      </c>
      <c r="HE21" s="304"/>
      <c r="HF21" s="304"/>
      <c r="HG21" s="304">
        <v>-5207.8999999999996</v>
      </c>
    </row>
    <row r="22" spans="1:215">
      <c r="A22" s="116">
        <v>107766</v>
      </c>
      <c r="B22" s="304"/>
      <c r="C22" s="304">
        <v>186972.98</v>
      </c>
      <c r="D22" s="304">
        <v>53034.969999999994</v>
      </c>
      <c r="E22" s="304">
        <v>6153.17</v>
      </c>
      <c r="F22" s="304">
        <v>104682.85000000002</v>
      </c>
      <c r="G22" s="304">
        <v>48842.569999999992</v>
      </c>
      <c r="H22" s="304">
        <v>15312.469999999998</v>
      </c>
      <c r="I22" s="304"/>
      <c r="J22" s="304">
        <v>4347.4399999999996</v>
      </c>
      <c r="K22" s="304">
        <v>1482.5200000000002</v>
      </c>
      <c r="L22" s="304"/>
      <c r="M22" s="304"/>
      <c r="N22" s="304"/>
      <c r="O22" s="304"/>
      <c r="P22" s="304"/>
      <c r="Q22" s="304"/>
      <c r="R22" s="304"/>
      <c r="S22" s="304">
        <v>0</v>
      </c>
      <c r="T22" s="304"/>
      <c r="U22" s="304"/>
      <c r="V22" s="304">
        <v>9111.8199999999979</v>
      </c>
      <c r="W22" s="304">
        <v>26.9</v>
      </c>
      <c r="X22" s="304"/>
      <c r="Y22" s="304">
        <v>2412.5099999999998</v>
      </c>
      <c r="Z22" s="304">
        <v>600.40000000000009</v>
      </c>
      <c r="AA22" s="304">
        <v>4494.0999999999995</v>
      </c>
      <c r="AB22" s="304">
        <v>7.53</v>
      </c>
      <c r="AC22" s="304">
        <v>55.269999999999996</v>
      </c>
      <c r="AD22" s="304">
        <v>1122.8600000000001</v>
      </c>
      <c r="AE22" s="304">
        <v>311.8</v>
      </c>
      <c r="AF22" s="304"/>
      <c r="AG22" s="304"/>
      <c r="AH22" s="304"/>
      <c r="AI22" s="304"/>
      <c r="AJ22" s="304"/>
      <c r="AK22" s="304">
        <v>95556.380000000019</v>
      </c>
      <c r="AL22" s="304">
        <v>710.43000000000006</v>
      </c>
      <c r="AM22" s="304">
        <v>3578.58</v>
      </c>
      <c r="AN22" s="304">
        <v>26544.160000000003</v>
      </c>
      <c r="AO22" s="304">
        <v>10155.650000000001</v>
      </c>
      <c r="AP22" s="304">
        <v>29798.34</v>
      </c>
      <c r="AQ22" s="304">
        <v>641.65</v>
      </c>
      <c r="AR22" s="304">
        <v>5187.41</v>
      </c>
      <c r="AS22" s="304">
        <v>11881.64</v>
      </c>
      <c r="AT22" s="304">
        <v>3196.0500000000006</v>
      </c>
      <c r="AU22" s="304"/>
      <c r="AV22" s="304"/>
      <c r="AW22" s="304"/>
      <c r="AX22" s="304">
        <v>55461.560000000005</v>
      </c>
      <c r="AY22" s="304">
        <v>66.240000000000009</v>
      </c>
      <c r="AZ22" s="304"/>
      <c r="BA22" s="304"/>
      <c r="BB22" s="304">
        <v>14598.440000000002</v>
      </c>
      <c r="BC22" s="304">
        <v>6804.7100000000009</v>
      </c>
      <c r="BD22" s="304"/>
      <c r="BE22" s="304"/>
      <c r="BF22" s="304"/>
      <c r="BG22" s="304"/>
      <c r="BH22" s="304"/>
      <c r="BI22" s="304"/>
      <c r="BJ22" s="304"/>
      <c r="BK22" s="304"/>
      <c r="BL22" s="304"/>
      <c r="BM22" s="304"/>
      <c r="BN22" s="304"/>
      <c r="BO22" s="304"/>
      <c r="BP22" s="304"/>
      <c r="BQ22" s="304"/>
      <c r="BR22" s="304"/>
      <c r="BS22" s="304"/>
      <c r="BT22" s="304"/>
      <c r="BU22" s="304"/>
      <c r="BV22" s="304"/>
      <c r="BW22" s="304">
        <v>117.66</v>
      </c>
      <c r="BX22" s="304"/>
      <c r="BY22" s="304"/>
      <c r="BZ22" s="304">
        <v>1337.6599999999999</v>
      </c>
      <c r="CA22" s="304"/>
      <c r="CB22" s="304"/>
      <c r="CC22" s="304"/>
      <c r="CD22" s="304">
        <v>0</v>
      </c>
      <c r="CE22" s="304"/>
      <c r="CF22" s="304">
        <v>8170.59</v>
      </c>
      <c r="CG22" s="304"/>
      <c r="CH22" s="304">
        <v>1607.1799999999998</v>
      </c>
      <c r="CI22" s="304"/>
      <c r="CJ22" s="304"/>
      <c r="CK22" s="304"/>
      <c r="CL22" s="304"/>
      <c r="CM22" s="304">
        <v>1183</v>
      </c>
      <c r="CN22" s="304">
        <v>8012.72</v>
      </c>
      <c r="CO22" s="304"/>
      <c r="CP22" s="304">
        <v>3181.6099999999997</v>
      </c>
      <c r="CQ22" s="304"/>
      <c r="CR22" s="304"/>
      <c r="CS22" s="304"/>
      <c r="CT22" s="304">
        <v>12724.5</v>
      </c>
      <c r="CU22" s="304">
        <v>2661.67</v>
      </c>
      <c r="CV22" s="304"/>
      <c r="CW22" s="304">
        <v>1232.3800000000001</v>
      </c>
      <c r="CX22" s="304">
        <v>172.08000000000004</v>
      </c>
      <c r="CY22" s="304"/>
      <c r="CZ22" s="304"/>
      <c r="DA22" s="304"/>
      <c r="DB22" s="304"/>
      <c r="DC22" s="304">
        <v>54.32</v>
      </c>
      <c r="DD22" s="304"/>
      <c r="DE22" s="304">
        <v>204.38</v>
      </c>
      <c r="DF22" s="304"/>
      <c r="DG22" s="304"/>
      <c r="DH22" s="304">
        <v>534.99</v>
      </c>
      <c r="DI22" s="304">
        <v>1662.16</v>
      </c>
      <c r="DJ22" s="304"/>
      <c r="DK22" s="304">
        <v>2869</v>
      </c>
      <c r="DL22" s="304">
        <v>6307.04</v>
      </c>
      <c r="DM22" s="304">
        <v>150.20000000000002</v>
      </c>
      <c r="DN22" s="304"/>
      <c r="DO22" s="304">
        <v>2570.6999999999998</v>
      </c>
      <c r="DP22" s="304">
        <v>2014.8799999999999</v>
      </c>
      <c r="DQ22" s="304">
        <v>951.03</v>
      </c>
      <c r="DR22" s="304">
        <v>17621.75</v>
      </c>
      <c r="DS22" s="304"/>
      <c r="DT22" s="304"/>
      <c r="DU22" s="304">
        <v>1941.4399999999998</v>
      </c>
      <c r="DV22" s="426"/>
      <c r="DW22" s="304"/>
      <c r="DX22" s="304">
        <v>4213.9799999999996</v>
      </c>
      <c r="DY22" s="304"/>
      <c r="DZ22" s="304"/>
      <c r="EA22" s="304">
        <v>4387.21</v>
      </c>
      <c r="EB22" s="304">
        <v>1875.8400000000001</v>
      </c>
      <c r="EC22" s="304">
        <v>467.49</v>
      </c>
      <c r="ED22" s="304"/>
      <c r="EE22" s="304">
        <v>430</v>
      </c>
      <c r="EF22" s="304"/>
      <c r="EG22" s="304"/>
      <c r="EH22" s="304"/>
      <c r="EI22" s="304"/>
      <c r="EJ22" s="304">
        <v>11500.63</v>
      </c>
      <c r="EK22" s="304">
        <v>3739.68</v>
      </c>
      <c r="EL22" s="304">
        <v>194.5</v>
      </c>
      <c r="EM22" s="304">
        <v>1487.079999999999</v>
      </c>
      <c r="EN22" s="304">
        <v>8062.72</v>
      </c>
      <c r="EO22" s="304"/>
      <c r="EP22" s="304">
        <v>488.14000000000004</v>
      </c>
      <c r="EQ22" s="304"/>
      <c r="ER22" s="304"/>
      <c r="ES22" s="304">
        <v>-670375.32999999996</v>
      </c>
      <c r="ET22" s="304"/>
      <c r="EU22" s="304"/>
      <c r="EV22" s="304">
        <v>-2344</v>
      </c>
      <c r="EW22" s="304">
        <v>-19645</v>
      </c>
      <c r="EX22" s="304"/>
      <c r="EY22" s="304"/>
      <c r="EZ22" s="304"/>
      <c r="FA22" s="304"/>
      <c r="FB22" s="304"/>
      <c r="FC22" s="304"/>
      <c r="FD22" s="304">
        <v>-63100.19</v>
      </c>
      <c r="FE22" s="304">
        <v>-5203.75</v>
      </c>
      <c r="FF22" s="304">
        <v>-23426</v>
      </c>
      <c r="FG22" s="304">
        <v>-15517</v>
      </c>
      <c r="FH22" s="304"/>
      <c r="FI22" s="304">
        <v>-7235.03</v>
      </c>
      <c r="FJ22" s="304"/>
      <c r="FK22" s="304">
        <v>-8.16</v>
      </c>
      <c r="FL22" s="304"/>
      <c r="FM22" s="304">
        <v>3510.44</v>
      </c>
      <c r="FN22" s="304">
        <v>-24124</v>
      </c>
      <c r="FO22" s="304">
        <v>2306.08</v>
      </c>
      <c r="FP22" s="304">
        <v>341.6</v>
      </c>
      <c r="FQ22" s="304">
        <v>-185.4</v>
      </c>
      <c r="FR22" s="304">
        <v>-6003</v>
      </c>
      <c r="FS22" s="304">
        <v>-12115</v>
      </c>
      <c r="FT22" s="304">
        <v>662</v>
      </c>
      <c r="FU22" s="304"/>
      <c r="FV22" s="304"/>
      <c r="FW22" s="304">
        <v>1311.24</v>
      </c>
      <c r="FX22" s="304">
        <v>2062.7200000000003</v>
      </c>
      <c r="FY22" s="304">
        <v>24203.74</v>
      </c>
      <c r="FZ22" s="304">
        <v>31101.9</v>
      </c>
      <c r="GA22" s="304">
        <v>302</v>
      </c>
      <c r="GB22" s="304">
        <v>2537.1499999999996</v>
      </c>
      <c r="GC22" s="304">
        <v>261</v>
      </c>
      <c r="GD22" s="304">
        <v>3980</v>
      </c>
      <c r="GE22" s="304">
        <v>2294.48</v>
      </c>
      <c r="GF22" s="304">
        <v>3676</v>
      </c>
      <c r="GG22" s="304">
        <v>560</v>
      </c>
      <c r="GH22" s="304">
        <v>898.72</v>
      </c>
      <c r="GI22" s="304">
        <v>1293.1100000000001</v>
      </c>
      <c r="GJ22" s="304">
        <v>0</v>
      </c>
      <c r="GK22" s="304"/>
      <c r="GL22" s="304"/>
      <c r="GM22" s="304"/>
      <c r="GN22" s="304"/>
      <c r="GO22" s="304"/>
      <c r="GP22" s="304">
        <v>-16962</v>
      </c>
      <c r="GQ22" s="304"/>
      <c r="GR22" s="304">
        <v>-4191.1900000000005</v>
      </c>
      <c r="GS22" s="304">
        <v>-10750.4</v>
      </c>
      <c r="GT22" s="304"/>
      <c r="GU22" s="304"/>
      <c r="GV22" s="304"/>
      <c r="GW22" s="304"/>
      <c r="GX22" s="304">
        <v>1.93</v>
      </c>
      <c r="GY22" s="304"/>
      <c r="GZ22" s="304"/>
      <c r="HA22" s="304">
        <v>-10796.069999999998</v>
      </c>
      <c r="HB22" s="304"/>
      <c r="HC22" s="304"/>
      <c r="HD22" s="304">
        <v>18309.199999999997</v>
      </c>
      <c r="HE22" s="304">
        <v>-4322.2500000000009</v>
      </c>
      <c r="HF22" s="304"/>
      <c r="HG22" s="304">
        <v>-318.64</v>
      </c>
    </row>
    <row r="23" spans="1:215">
      <c r="A23" s="116">
        <v>107767</v>
      </c>
      <c r="B23" s="304"/>
      <c r="C23" s="304">
        <v>533492.62</v>
      </c>
      <c r="D23" s="304">
        <v>8725.4700000000012</v>
      </c>
      <c r="E23" s="304">
        <v>27570</v>
      </c>
      <c r="F23" s="304">
        <v>176231.11</v>
      </c>
      <c r="G23" s="304">
        <v>81501.010000000009</v>
      </c>
      <c r="H23" s="304">
        <v>325.26</v>
      </c>
      <c r="I23" s="304"/>
      <c r="J23" s="304">
        <v>93.28</v>
      </c>
      <c r="K23" s="304">
        <v>36.57</v>
      </c>
      <c r="L23" s="304"/>
      <c r="M23" s="304"/>
      <c r="N23" s="304"/>
      <c r="O23" s="304"/>
      <c r="P23" s="304"/>
      <c r="Q23" s="304"/>
      <c r="R23" s="304"/>
      <c r="S23" s="304"/>
      <c r="T23" s="304"/>
      <c r="U23" s="304"/>
      <c r="V23" s="304">
        <v>22075.7</v>
      </c>
      <c r="W23" s="304">
        <v>139.56</v>
      </c>
      <c r="X23" s="304">
        <v>89.99</v>
      </c>
      <c r="Y23" s="304">
        <v>5844.1399999999994</v>
      </c>
      <c r="Z23" s="304">
        <v>1997.9</v>
      </c>
      <c r="AA23" s="304">
        <v>30826.079999999998</v>
      </c>
      <c r="AB23" s="304">
        <v>464.83999999999992</v>
      </c>
      <c r="AC23" s="304">
        <v>188</v>
      </c>
      <c r="AD23" s="304">
        <v>6918.7100000000009</v>
      </c>
      <c r="AE23" s="304">
        <v>2078.5100000000002</v>
      </c>
      <c r="AF23" s="304"/>
      <c r="AG23" s="304"/>
      <c r="AH23" s="304"/>
      <c r="AI23" s="304"/>
      <c r="AJ23" s="304"/>
      <c r="AK23" s="304">
        <v>280103.37</v>
      </c>
      <c r="AL23" s="304">
        <v>6768.2099999999991</v>
      </c>
      <c r="AM23" s="304">
        <v>1444.24</v>
      </c>
      <c r="AN23" s="304">
        <v>75533.820000000007</v>
      </c>
      <c r="AO23" s="304">
        <v>32002.77</v>
      </c>
      <c r="AP23" s="304"/>
      <c r="AQ23" s="304"/>
      <c r="AR23" s="304"/>
      <c r="AS23" s="304"/>
      <c r="AT23" s="304"/>
      <c r="AU23" s="304"/>
      <c r="AV23" s="304"/>
      <c r="AW23" s="304"/>
      <c r="AX23" s="304">
        <v>68243.900000000009</v>
      </c>
      <c r="AY23" s="304">
        <v>1269.1099999999999</v>
      </c>
      <c r="AZ23" s="304">
        <v>1144.8599999999999</v>
      </c>
      <c r="BA23" s="304"/>
      <c r="BB23" s="304">
        <v>18653.46</v>
      </c>
      <c r="BC23" s="304">
        <v>8407.6899999999987</v>
      </c>
      <c r="BD23" s="304"/>
      <c r="BE23" s="304"/>
      <c r="BF23" s="304"/>
      <c r="BG23" s="304"/>
      <c r="BH23" s="304"/>
      <c r="BI23" s="304">
        <v>31908.109999999997</v>
      </c>
      <c r="BJ23" s="304"/>
      <c r="BK23" s="304">
        <v>1268.5400000000002</v>
      </c>
      <c r="BL23" s="304">
        <v>7889.7899999999991</v>
      </c>
      <c r="BM23" s="304">
        <v>2983.8399999999992</v>
      </c>
      <c r="BN23" s="304"/>
      <c r="BO23" s="304"/>
      <c r="BP23" s="304"/>
      <c r="BQ23" s="304"/>
      <c r="BR23" s="304"/>
      <c r="BS23" s="304"/>
      <c r="BT23" s="304">
        <v>25</v>
      </c>
      <c r="BU23" s="304">
        <v>215.38</v>
      </c>
      <c r="BV23" s="304"/>
      <c r="BW23" s="304"/>
      <c r="BX23" s="304"/>
      <c r="BY23" s="304"/>
      <c r="BZ23" s="304">
        <v>1972.67</v>
      </c>
      <c r="CA23" s="304"/>
      <c r="CB23" s="304"/>
      <c r="CC23" s="304">
        <v>87.569999999999936</v>
      </c>
      <c r="CD23" s="304"/>
      <c r="CE23" s="304"/>
      <c r="CF23" s="304">
        <v>15871.159999999998</v>
      </c>
      <c r="CG23" s="304"/>
      <c r="CH23" s="304"/>
      <c r="CI23" s="304"/>
      <c r="CJ23" s="304"/>
      <c r="CK23" s="304">
        <v>11967.33</v>
      </c>
      <c r="CL23" s="304"/>
      <c r="CM23" s="304">
        <v>1442.95</v>
      </c>
      <c r="CN23" s="304">
        <v>27774.5</v>
      </c>
      <c r="CO23" s="304">
        <v>7044.7400000000007</v>
      </c>
      <c r="CP23" s="304"/>
      <c r="CQ23" s="304"/>
      <c r="CR23" s="304"/>
      <c r="CS23" s="304"/>
      <c r="CT23" s="304">
        <v>61255.42</v>
      </c>
      <c r="CU23" s="304">
        <v>4243.7600000000011</v>
      </c>
      <c r="CV23" s="304">
        <v>1674.35</v>
      </c>
      <c r="CW23" s="304">
        <v>2840.2000000000003</v>
      </c>
      <c r="CX23" s="304"/>
      <c r="CY23" s="304"/>
      <c r="CZ23" s="304">
        <v>0</v>
      </c>
      <c r="DA23" s="304"/>
      <c r="DB23" s="304">
        <v>18941.87</v>
      </c>
      <c r="DC23" s="304">
        <v>306.49000000000007</v>
      </c>
      <c r="DD23" s="304"/>
      <c r="DE23" s="304">
        <v>101.61</v>
      </c>
      <c r="DF23" s="304"/>
      <c r="DG23" s="304"/>
      <c r="DH23" s="304">
        <v>8761.99</v>
      </c>
      <c r="DI23" s="304"/>
      <c r="DJ23" s="304"/>
      <c r="DK23" s="304">
        <v>5300</v>
      </c>
      <c r="DL23" s="304">
        <v>21036.010000000017</v>
      </c>
      <c r="DM23" s="304">
        <v>720.84</v>
      </c>
      <c r="DN23" s="304"/>
      <c r="DO23" s="304">
        <v>1561.95</v>
      </c>
      <c r="DP23" s="304">
        <v>6803.8300000000017</v>
      </c>
      <c r="DQ23" s="304">
        <v>3182.05</v>
      </c>
      <c r="DR23" s="304">
        <v>10697.25</v>
      </c>
      <c r="DS23" s="304"/>
      <c r="DT23" s="304">
        <v>12.6</v>
      </c>
      <c r="DU23" s="304">
        <v>1432.13</v>
      </c>
      <c r="DV23" s="426"/>
      <c r="DW23" s="304"/>
      <c r="DX23" s="304">
        <v>1101.48</v>
      </c>
      <c r="DY23" s="304"/>
      <c r="DZ23" s="304"/>
      <c r="EA23" s="304">
        <v>8729.7999999999993</v>
      </c>
      <c r="EB23" s="304">
        <v>8485.35</v>
      </c>
      <c r="EC23" s="304"/>
      <c r="ED23" s="304"/>
      <c r="EE23" s="304"/>
      <c r="EF23" s="304"/>
      <c r="EG23" s="304"/>
      <c r="EH23" s="304"/>
      <c r="EI23" s="304"/>
      <c r="EJ23" s="304">
        <v>2073.42</v>
      </c>
      <c r="EK23" s="304">
        <v>8347.5</v>
      </c>
      <c r="EL23" s="304">
        <v>174.5</v>
      </c>
      <c r="EM23" s="304">
        <v>2213.2200000000007</v>
      </c>
      <c r="EN23" s="304">
        <v>33107.589999999997</v>
      </c>
      <c r="EO23" s="304"/>
      <c r="EP23" s="304"/>
      <c r="EQ23" s="304"/>
      <c r="ER23" s="304"/>
      <c r="ES23" s="304">
        <v>-1424095.21</v>
      </c>
      <c r="ET23" s="304"/>
      <c r="EU23" s="304"/>
      <c r="EV23" s="304">
        <v>-3500</v>
      </c>
      <c r="EW23" s="304">
        <v>-101340</v>
      </c>
      <c r="EX23" s="304"/>
      <c r="EY23" s="304"/>
      <c r="EZ23" s="304"/>
      <c r="FA23" s="304">
        <v>-5676</v>
      </c>
      <c r="FB23" s="304"/>
      <c r="FC23" s="304"/>
      <c r="FD23" s="304"/>
      <c r="FE23" s="304">
        <v>-7037.5</v>
      </c>
      <c r="FF23" s="304">
        <v>-33014</v>
      </c>
      <c r="FG23" s="304">
        <v>-16776</v>
      </c>
      <c r="FH23" s="304"/>
      <c r="FI23" s="304">
        <v>-586601.81000000006</v>
      </c>
      <c r="FJ23" s="304"/>
      <c r="FK23" s="304">
        <v>-17105.62</v>
      </c>
      <c r="FL23" s="304"/>
      <c r="FM23" s="304"/>
      <c r="FN23" s="304">
        <v>-86182</v>
      </c>
      <c r="FO23" s="304">
        <v>5147.5</v>
      </c>
      <c r="FP23" s="304">
        <v>762.5</v>
      </c>
      <c r="FQ23" s="304">
        <v>-21497</v>
      </c>
      <c r="FR23" s="304">
        <v>-12974</v>
      </c>
      <c r="FS23" s="304">
        <v>-26875</v>
      </c>
      <c r="FT23" s="304">
        <v>995.75</v>
      </c>
      <c r="FU23" s="304"/>
      <c r="FV23" s="304"/>
      <c r="FW23" s="304">
        <v>1791.56</v>
      </c>
      <c r="FX23" s="304">
        <v>2063.1799999999994</v>
      </c>
      <c r="FY23" s="304"/>
      <c r="FZ23" s="304">
        <v>67524.52</v>
      </c>
      <c r="GA23" s="304">
        <v>3720.5</v>
      </c>
      <c r="GB23" s="304">
        <v>10048.140000000003</v>
      </c>
      <c r="GC23" s="304">
        <v>261</v>
      </c>
      <c r="GD23" s="304">
        <v>3318.92</v>
      </c>
      <c r="GE23" s="304">
        <v>3961.9799999999996</v>
      </c>
      <c r="GF23" s="304">
        <v>6679.5</v>
      </c>
      <c r="GG23" s="304">
        <v>925</v>
      </c>
      <c r="GH23" s="304">
        <v>1217.5</v>
      </c>
      <c r="GI23" s="304">
        <v>3364.02</v>
      </c>
      <c r="GJ23" s="304">
        <v>250</v>
      </c>
      <c r="GK23" s="304"/>
      <c r="GL23" s="304"/>
      <c r="GM23" s="304"/>
      <c r="GN23" s="304"/>
      <c r="GO23" s="304">
        <v>-2433.06</v>
      </c>
      <c r="GP23" s="304"/>
      <c r="GQ23" s="304"/>
      <c r="GR23" s="304">
        <v>-563.94999999999993</v>
      </c>
      <c r="GS23" s="304">
        <v>-25272.150000000012</v>
      </c>
      <c r="GT23" s="304"/>
      <c r="GU23" s="304"/>
      <c r="GV23" s="304">
        <v>-3612.4899999999993</v>
      </c>
      <c r="GW23" s="304"/>
      <c r="GX23" s="304">
        <v>-6013.8</v>
      </c>
      <c r="GY23" s="304"/>
      <c r="GZ23" s="304"/>
      <c r="HA23" s="304">
        <v>-34123.29</v>
      </c>
      <c r="HB23" s="304"/>
      <c r="HC23" s="304"/>
      <c r="HD23" s="304">
        <v>-8731.7000000000007</v>
      </c>
      <c r="HE23" s="304"/>
      <c r="HF23" s="304"/>
      <c r="HG23" s="304">
        <v>-30756.75</v>
      </c>
    </row>
    <row r="24" spans="1:215">
      <c r="A24" s="116">
        <v>107768</v>
      </c>
      <c r="B24" s="304"/>
      <c r="C24" s="304">
        <v>434546.77</v>
      </c>
      <c r="D24" s="304">
        <v>2788.21</v>
      </c>
      <c r="E24" s="304">
        <v>8678</v>
      </c>
      <c r="F24" s="304">
        <v>96621.8</v>
      </c>
      <c r="G24" s="304">
        <v>44193.530000000006</v>
      </c>
      <c r="H24" s="304">
        <v>7370.6500000000005</v>
      </c>
      <c r="I24" s="304"/>
      <c r="J24" s="304">
        <v>1853.0200000000002</v>
      </c>
      <c r="K24" s="304">
        <v>830.00000000000011</v>
      </c>
      <c r="L24" s="304"/>
      <c r="M24" s="304"/>
      <c r="N24" s="304"/>
      <c r="O24" s="304"/>
      <c r="P24" s="304"/>
      <c r="Q24" s="304"/>
      <c r="R24" s="304"/>
      <c r="S24" s="304"/>
      <c r="T24" s="304"/>
      <c r="U24" s="304"/>
      <c r="V24" s="304">
        <v>66.09</v>
      </c>
      <c r="W24" s="304"/>
      <c r="X24" s="304"/>
      <c r="Y24" s="304"/>
      <c r="Z24" s="304">
        <v>8.09</v>
      </c>
      <c r="AA24" s="304">
        <v>21904.140000000003</v>
      </c>
      <c r="AB24" s="304">
        <v>214.11</v>
      </c>
      <c r="AC24" s="304">
        <v>192.8</v>
      </c>
      <c r="AD24" s="304">
        <v>4583.0199999999995</v>
      </c>
      <c r="AE24" s="304">
        <v>2042.26</v>
      </c>
      <c r="AF24" s="304">
        <v>14111.619999999997</v>
      </c>
      <c r="AG24" s="304">
        <v>-342.04999999999995</v>
      </c>
      <c r="AH24" s="304"/>
      <c r="AI24" s="304">
        <v>2407.3900000000003</v>
      </c>
      <c r="AJ24" s="304">
        <v>1170.5000000000002</v>
      </c>
      <c r="AK24" s="304">
        <v>190416.18000000002</v>
      </c>
      <c r="AL24" s="304">
        <v>3489.8700000000003</v>
      </c>
      <c r="AM24" s="304">
        <v>3689.9300000000003</v>
      </c>
      <c r="AN24" s="304">
        <v>52298.090000000004</v>
      </c>
      <c r="AO24" s="304">
        <v>20668.880000000005</v>
      </c>
      <c r="AP24" s="304"/>
      <c r="AQ24" s="304"/>
      <c r="AR24" s="304"/>
      <c r="AS24" s="304"/>
      <c r="AT24" s="304"/>
      <c r="AU24" s="304"/>
      <c r="AV24" s="304"/>
      <c r="AW24" s="304"/>
      <c r="AX24" s="304">
        <v>24134.03</v>
      </c>
      <c r="AY24" s="304"/>
      <c r="AZ24" s="304">
        <v>233.5</v>
      </c>
      <c r="BA24" s="304"/>
      <c r="BB24" s="304">
        <v>13770.480000000003</v>
      </c>
      <c r="BC24" s="304">
        <v>6324.8400000000011</v>
      </c>
      <c r="BD24" s="304"/>
      <c r="BE24" s="304"/>
      <c r="BF24" s="304"/>
      <c r="BG24" s="304"/>
      <c r="BH24" s="304"/>
      <c r="BI24" s="304"/>
      <c r="BJ24" s="304"/>
      <c r="BK24" s="304"/>
      <c r="BL24" s="304"/>
      <c r="BM24" s="304"/>
      <c r="BN24" s="304"/>
      <c r="BO24" s="304"/>
      <c r="BP24" s="304"/>
      <c r="BQ24" s="304"/>
      <c r="BR24" s="304"/>
      <c r="BS24" s="304"/>
      <c r="BT24" s="304">
        <v>126.33</v>
      </c>
      <c r="BU24" s="304"/>
      <c r="BV24" s="304"/>
      <c r="BW24" s="304"/>
      <c r="BX24" s="304"/>
      <c r="BY24" s="304"/>
      <c r="BZ24" s="304">
        <v>1355</v>
      </c>
      <c r="CA24" s="304"/>
      <c r="CB24" s="304"/>
      <c r="CC24" s="304"/>
      <c r="CD24" s="304"/>
      <c r="CE24" s="304"/>
      <c r="CF24" s="304">
        <v>26101.279999999999</v>
      </c>
      <c r="CG24" s="304">
        <v>296</v>
      </c>
      <c r="CH24" s="304">
        <v>2517.56</v>
      </c>
      <c r="CI24" s="304"/>
      <c r="CJ24" s="304"/>
      <c r="CK24" s="304"/>
      <c r="CL24" s="304"/>
      <c r="CM24" s="304">
        <v>370</v>
      </c>
      <c r="CN24" s="304">
        <v>20520.959999999995</v>
      </c>
      <c r="CO24" s="304">
        <v>6625.8499999999995</v>
      </c>
      <c r="CP24" s="304"/>
      <c r="CQ24" s="304"/>
      <c r="CR24" s="304"/>
      <c r="CS24" s="304"/>
      <c r="CT24" s="304">
        <v>3343.3</v>
      </c>
      <c r="CU24" s="304">
        <v>4114.16</v>
      </c>
      <c r="CV24" s="304">
        <v>550</v>
      </c>
      <c r="CW24" s="304">
        <v>31582.229999999992</v>
      </c>
      <c r="CX24" s="304">
        <v>890.4</v>
      </c>
      <c r="CY24" s="304"/>
      <c r="CZ24" s="304"/>
      <c r="DA24" s="304"/>
      <c r="DB24" s="304"/>
      <c r="DC24" s="304">
        <v>58.1</v>
      </c>
      <c r="DD24" s="304"/>
      <c r="DE24" s="304">
        <v>5529.01</v>
      </c>
      <c r="DF24" s="304"/>
      <c r="DG24" s="304"/>
      <c r="DH24" s="304"/>
      <c r="DI24" s="304"/>
      <c r="DJ24" s="304"/>
      <c r="DK24" s="304"/>
      <c r="DL24" s="304">
        <v>18968.869999999995</v>
      </c>
      <c r="DM24" s="304">
        <v>507.49</v>
      </c>
      <c r="DN24" s="304"/>
      <c r="DO24" s="304">
        <v>344.82</v>
      </c>
      <c r="DP24" s="304">
        <v>5181.3100000000004</v>
      </c>
      <c r="DQ24" s="304">
        <v>5211.7700000000004</v>
      </c>
      <c r="DR24" s="304">
        <v>4444</v>
      </c>
      <c r="DS24" s="304"/>
      <c r="DT24" s="304">
        <v>120.12</v>
      </c>
      <c r="DU24" s="304">
        <v>392.83999999999992</v>
      </c>
      <c r="DV24" s="426"/>
      <c r="DW24" s="304"/>
      <c r="DX24" s="304">
        <v>2132</v>
      </c>
      <c r="DY24" s="304"/>
      <c r="DZ24" s="304"/>
      <c r="EA24" s="304">
        <v>1467.8600000000001</v>
      </c>
      <c r="EB24" s="304">
        <v>13275.93</v>
      </c>
      <c r="EC24" s="304"/>
      <c r="ED24" s="304"/>
      <c r="EE24" s="304"/>
      <c r="EF24" s="304">
        <v>448.36</v>
      </c>
      <c r="EG24" s="304"/>
      <c r="EH24" s="304"/>
      <c r="EI24" s="304"/>
      <c r="EJ24" s="304"/>
      <c r="EK24" s="304">
        <v>5910.03</v>
      </c>
      <c r="EL24" s="304"/>
      <c r="EM24" s="304">
        <v>-1628.73</v>
      </c>
      <c r="EN24" s="304">
        <v>4223.7999999999993</v>
      </c>
      <c r="EO24" s="304"/>
      <c r="EP24" s="304"/>
      <c r="EQ24" s="304"/>
      <c r="ER24" s="304"/>
      <c r="ES24" s="304">
        <v>-934222.86</v>
      </c>
      <c r="ET24" s="304"/>
      <c r="EU24" s="304"/>
      <c r="EV24" s="304">
        <v>-900</v>
      </c>
      <c r="EW24" s="304">
        <v>-28709.040000000001</v>
      </c>
      <c r="EX24" s="304"/>
      <c r="EY24" s="304"/>
      <c r="EZ24" s="304"/>
      <c r="FA24" s="304"/>
      <c r="FB24" s="304"/>
      <c r="FC24" s="304"/>
      <c r="FD24" s="304"/>
      <c r="FE24" s="304"/>
      <c r="FF24" s="304">
        <v>-60560</v>
      </c>
      <c r="FG24" s="304">
        <v>-15757</v>
      </c>
      <c r="FH24" s="304"/>
      <c r="FI24" s="304">
        <v>-58795.56</v>
      </c>
      <c r="FJ24" s="304"/>
      <c r="FK24" s="304"/>
      <c r="FL24" s="304"/>
      <c r="FM24" s="304"/>
      <c r="FN24" s="304">
        <v>-61430</v>
      </c>
      <c r="FO24" s="304">
        <v>3644.4300000000003</v>
      </c>
      <c r="FP24" s="304">
        <v>539.85</v>
      </c>
      <c r="FQ24" s="304"/>
      <c r="FR24" s="304">
        <v>-8529</v>
      </c>
      <c r="FS24" s="304">
        <v>-17444</v>
      </c>
      <c r="FT24" s="304">
        <v>600</v>
      </c>
      <c r="FU24" s="304"/>
      <c r="FV24" s="304"/>
      <c r="FW24" s="304">
        <v>1533.16</v>
      </c>
      <c r="FX24" s="304">
        <v>1899.8299999999995</v>
      </c>
      <c r="FY24" s="304"/>
      <c r="FZ24" s="304">
        <v>68458.040000000008</v>
      </c>
      <c r="GA24" s="304">
        <v>1242</v>
      </c>
      <c r="GB24" s="304">
        <v>4121.63</v>
      </c>
      <c r="GC24" s="304"/>
      <c r="GD24" s="304">
        <v>2056.1</v>
      </c>
      <c r="GE24" s="304">
        <v>2541.27</v>
      </c>
      <c r="GF24" s="304">
        <v>1858.5</v>
      </c>
      <c r="GG24" s="304"/>
      <c r="GH24" s="304">
        <v>1032.94</v>
      </c>
      <c r="GI24" s="304">
        <v>3096.49</v>
      </c>
      <c r="GJ24" s="304"/>
      <c r="GK24" s="304"/>
      <c r="GL24" s="304"/>
      <c r="GM24" s="304"/>
      <c r="GN24" s="304"/>
      <c r="GO24" s="304"/>
      <c r="GP24" s="304"/>
      <c r="GQ24" s="304"/>
      <c r="GR24" s="304">
        <v>-6228.9</v>
      </c>
      <c r="GS24" s="304">
        <v>-1761.1399999999999</v>
      </c>
      <c r="GT24" s="304"/>
      <c r="GU24" s="304"/>
      <c r="GV24" s="304"/>
      <c r="GW24" s="304"/>
      <c r="GX24" s="304">
        <v>-7702.0199999999995</v>
      </c>
      <c r="GY24" s="304">
        <v>-2500</v>
      </c>
      <c r="GZ24" s="304"/>
      <c r="HA24" s="304">
        <v>-42897.82</v>
      </c>
      <c r="HB24" s="304"/>
      <c r="HC24" s="304"/>
      <c r="HD24" s="304">
        <v>-382.5</v>
      </c>
      <c r="HE24" s="304"/>
      <c r="HF24" s="304"/>
      <c r="HG24" s="304">
        <v>-3339.48</v>
      </c>
    </row>
    <row r="25" spans="1:215">
      <c r="A25" s="116">
        <v>107769</v>
      </c>
      <c r="B25" s="304"/>
      <c r="C25" s="304">
        <v>426538.90999999992</v>
      </c>
      <c r="D25" s="304">
        <v>8885.2800000000007</v>
      </c>
      <c r="E25" s="304">
        <v>465</v>
      </c>
      <c r="F25" s="304">
        <v>124567.88999999998</v>
      </c>
      <c r="G25" s="304">
        <v>58209.210000000006</v>
      </c>
      <c r="H25" s="304">
        <v>19775.64</v>
      </c>
      <c r="I25" s="304"/>
      <c r="J25" s="304">
        <v>5671.65</v>
      </c>
      <c r="K25" s="304">
        <v>1519.41</v>
      </c>
      <c r="L25" s="304"/>
      <c r="M25" s="304"/>
      <c r="N25" s="304"/>
      <c r="O25" s="304"/>
      <c r="P25" s="304"/>
      <c r="Q25" s="304"/>
      <c r="R25" s="304"/>
      <c r="S25" s="304"/>
      <c r="T25" s="304"/>
      <c r="U25" s="304"/>
      <c r="V25" s="304">
        <v>16049.02</v>
      </c>
      <c r="W25" s="304">
        <v>34.11</v>
      </c>
      <c r="X25" s="304">
        <v>750.02</v>
      </c>
      <c r="Y25" s="304">
        <v>4443.67</v>
      </c>
      <c r="Z25" s="304">
        <v>1629.9899999999998</v>
      </c>
      <c r="AA25" s="304">
        <v>15836.56</v>
      </c>
      <c r="AB25" s="304">
        <v>456.08</v>
      </c>
      <c r="AC25" s="304">
        <v>2020.76</v>
      </c>
      <c r="AD25" s="304">
        <v>4834.5</v>
      </c>
      <c r="AE25" s="304">
        <v>402.45</v>
      </c>
      <c r="AF25" s="304"/>
      <c r="AG25" s="304"/>
      <c r="AH25" s="304"/>
      <c r="AI25" s="304"/>
      <c r="AJ25" s="304"/>
      <c r="AK25" s="304">
        <v>181043.69</v>
      </c>
      <c r="AL25" s="304">
        <v>341.93</v>
      </c>
      <c r="AM25" s="304">
        <v>2307.19</v>
      </c>
      <c r="AN25" s="304">
        <v>48493.950000000004</v>
      </c>
      <c r="AO25" s="304">
        <v>19071.829999999998</v>
      </c>
      <c r="AP25" s="304">
        <v>53116.21</v>
      </c>
      <c r="AQ25" s="304"/>
      <c r="AR25" s="304">
        <v>488.62</v>
      </c>
      <c r="AS25" s="304">
        <v>14151.399999999998</v>
      </c>
      <c r="AT25" s="304">
        <v>5530.44</v>
      </c>
      <c r="AU25" s="304"/>
      <c r="AV25" s="304"/>
      <c r="AW25" s="304"/>
      <c r="AX25" s="304">
        <v>59229.9</v>
      </c>
      <c r="AY25" s="304">
        <v>171.96999999999994</v>
      </c>
      <c r="AZ25" s="304">
        <v>287.25</v>
      </c>
      <c r="BA25" s="304"/>
      <c r="BB25" s="304">
        <v>15757.600000000002</v>
      </c>
      <c r="BC25" s="304">
        <v>5638.2800000000007</v>
      </c>
      <c r="BD25" s="304">
        <v>26684.46</v>
      </c>
      <c r="BE25" s="304"/>
      <c r="BF25" s="304">
        <v>120.12</v>
      </c>
      <c r="BG25" s="304">
        <v>7076.3100000000013</v>
      </c>
      <c r="BH25" s="304">
        <v>3061.9</v>
      </c>
      <c r="BI25" s="304">
        <v>14077.919999999998</v>
      </c>
      <c r="BJ25" s="304"/>
      <c r="BK25" s="304">
        <v>7684.0300000000007</v>
      </c>
      <c r="BL25" s="304">
        <v>5744.9999999999991</v>
      </c>
      <c r="BM25" s="304">
        <v>2417.7200000000007</v>
      </c>
      <c r="BN25" s="304"/>
      <c r="BO25" s="304"/>
      <c r="BP25" s="304"/>
      <c r="BQ25" s="304"/>
      <c r="BR25" s="304"/>
      <c r="BS25" s="304"/>
      <c r="BT25" s="304"/>
      <c r="BU25" s="304"/>
      <c r="BV25" s="304"/>
      <c r="BW25" s="304"/>
      <c r="BX25" s="304">
        <v>15</v>
      </c>
      <c r="BY25" s="304"/>
      <c r="BZ25" s="304">
        <v>2851</v>
      </c>
      <c r="CA25" s="304"/>
      <c r="CB25" s="304"/>
      <c r="CC25" s="304"/>
      <c r="CD25" s="304"/>
      <c r="CE25" s="304"/>
      <c r="CF25" s="304">
        <v>9910.2899999999991</v>
      </c>
      <c r="CG25" s="304">
        <v>2226.8999999999996</v>
      </c>
      <c r="CH25" s="304"/>
      <c r="CI25" s="304"/>
      <c r="CJ25" s="304"/>
      <c r="CK25" s="304"/>
      <c r="CL25" s="304"/>
      <c r="CM25" s="304">
        <v>2474.96</v>
      </c>
      <c r="CN25" s="304">
        <v>25062.919999999995</v>
      </c>
      <c r="CO25" s="304"/>
      <c r="CP25" s="304"/>
      <c r="CQ25" s="304"/>
      <c r="CR25" s="304"/>
      <c r="CS25" s="304">
        <v>52.5</v>
      </c>
      <c r="CT25" s="304">
        <v>5189.6000000000004</v>
      </c>
      <c r="CU25" s="304">
        <v>4227.4199999999992</v>
      </c>
      <c r="CV25" s="304">
        <v>488.36</v>
      </c>
      <c r="CW25" s="304">
        <v>2154.8500000000004</v>
      </c>
      <c r="CX25" s="304"/>
      <c r="CY25" s="304"/>
      <c r="CZ25" s="304"/>
      <c r="DA25" s="304"/>
      <c r="DB25" s="304"/>
      <c r="DC25" s="304">
        <v>35.9</v>
      </c>
      <c r="DD25" s="304"/>
      <c r="DE25" s="304">
        <v>475.8</v>
      </c>
      <c r="DF25" s="304"/>
      <c r="DG25" s="304"/>
      <c r="DH25" s="304">
        <v>4922</v>
      </c>
      <c r="DI25" s="304"/>
      <c r="DJ25" s="304"/>
      <c r="DK25" s="304">
        <v>609</v>
      </c>
      <c r="DL25" s="304">
        <v>28428.62000000001</v>
      </c>
      <c r="DM25" s="304">
        <v>291.02</v>
      </c>
      <c r="DN25" s="304"/>
      <c r="DO25" s="304">
        <v>2395.0500000000002</v>
      </c>
      <c r="DP25" s="304">
        <v>5970.3099999999995</v>
      </c>
      <c r="DQ25" s="304">
        <v>9673.14</v>
      </c>
      <c r="DR25" s="304">
        <v>13885</v>
      </c>
      <c r="DS25" s="304">
        <v>30.000000000000007</v>
      </c>
      <c r="DT25" s="304">
        <v>10.940000000000001</v>
      </c>
      <c r="DU25" s="304">
        <v>2256.06</v>
      </c>
      <c r="DV25" s="426"/>
      <c r="DW25" s="304"/>
      <c r="DX25" s="304">
        <v>4915.08</v>
      </c>
      <c r="DY25" s="304">
        <v>750</v>
      </c>
      <c r="DZ25" s="304"/>
      <c r="EA25" s="304"/>
      <c r="EB25" s="304">
        <v>4142.91</v>
      </c>
      <c r="EC25" s="304">
        <v>16537.27</v>
      </c>
      <c r="ED25" s="304"/>
      <c r="EE25" s="304"/>
      <c r="EF25" s="304"/>
      <c r="EG25" s="304"/>
      <c r="EH25" s="304"/>
      <c r="EI25" s="304"/>
      <c r="EJ25" s="304"/>
      <c r="EK25" s="304">
        <v>5309.01</v>
      </c>
      <c r="EL25" s="304"/>
      <c r="EM25" s="304">
        <v>22892.71000000001</v>
      </c>
      <c r="EN25" s="304">
        <v>22787.400000000005</v>
      </c>
      <c r="EO25" s="304"/>
      <c r="EP25" s="304">
        <v>523.32999999999993</v>
      </c>
      <c r="EQ25" s="304"/>
      <c r="ER25" s="304"/>
      <c r="ES25" s="304">
        <v>-1067547.28</v>
      </c>
      <c r="ET25" s="304">
        <v>-6776</v>
      </c>
      <c r="EU25" s="304"/>
      <c r="EV25" s="304">
        <v>-2400</v>
      </c>
      <c r="EW25" s="304">
        <v>-26820</v>
      </c>
      <c r="EX25" s="304"/>
      <c r="EY25" s="304"/>
      <c r="EZ25" s="304"/>
      <c r="FA25" s="304"/>
      <c r="FB25" s="304"/>
      <c r="FC25" s="304"/>
      <c r="FD25" s="304">
        <v>-75688.949999999983</v>
      </c>
      <c r="FE25" s="304">
        <v>-4348.75</v>
      </c>
      <c r="FF25" s="304">
        <v>-27401</v>
      </c>
      <c r="FG25" s="304">
        <v>-30598</v>
      </c>
      <c r="FH25" s="304"/>
      <c r="FI25" s="304">
        <v>-125593.75</v>
      </c>
      <c r="FJ25" s="304"/>
      <c r="FK25" s="304">
        <v>-550.66</v>
      </c>
      <c r="FL25" s="304"/>
      <c r="FM25" s="304">
        <v>-25289</v>
      </c>
      <c r="FN25" s="304">
        <v>-51239</v>
      </c>
      <c r="FO25" s="304">
        <v>3273.81</v>
      </c>
      <c r="FP25" s="304">
        <v>484.95</v>
      </c>
      <c r="FQ25" s="304">
        <v>-13250.74</v>
      </c>
      <c r="FR25" s="304">
        <v>-9268</v>
      </c>
      <c r="FS25" s="304">
        <v>-18447</v>
      </c>
      <c r="FT25" s="304">
        <v>1094</v>
      </c>
      <c r="FU25" s="304"/>
      <c r="FV25" s="304"/>
      <c r="FW25" s="304">
        <v>2458.3199999999997</v>
      </c>
      <c r="FX25" s="304">
        <v>889.4899999999999</v>
      </c>
      <c r="FY25" s="304">
        <v>5268.81</v>
      </c>
      <c r="FZ25" s="304">
        <v>6442.9699999999993</v>
      </c>
      <c r="GA25" s="304">
        <v>858</v>
      </c>
      <c r="GB25" s="304">
        <v>4717.9600000000037</v>
      </c>
      <c r="GC25" s="304"/>
      <c r="GD25" s="304">
        <v>2658.16</v>
      </c>
      <c r="GE25" s="304">
        <v>3221.61</v>
      </c>
      <c r="GF25" s="304">
        <v>5218</v>
      </c>
      <c r="GG25" s="304">
        <v>560</v>
      </c>
      <c r="GH25" s="304">
        <v>1632.98</v>
      </c>
      <c r="GI25" s="304">
        <v>2469.81</v>
      </c>
      <c r="GJ25" s="304"/>
      <c r="GK25" s="304">
        <v>2642.8900000000003</v>
      </c>
      <c r="GL25" s="304"/>
      <c r="GM25" s="304"/>
      <c r="GN25" s="304"/>
      <c r="GO25" s="304">
        <v>-100</v>
      </c>
      <c r="GP25" s="304"/>
      <c r="GQ25" s="304"/>
      <c r="GR25" s="304">
        <v>-2261.7300000000005</v>
      </c>
      <c r="GS25" s="304">
        <v>-23733.430000000011</v>
      </c>
      <c r="GT25" s="304"/>
      <c r="GU25" s="304"/>
      <c r="GV25" s="304">
        <v>-2207.64</v>
      </c>
      <c r="GW25" s="304"/>
      <c r="GX25" s="304">
        <v>-18175.119999999995</v>
      </c>
      <c r="GY25" s="304">
        <v>-20</v>
      </c>
      <c r="GZ25" s="304"/>
      <c r="HA25" s="304">
        <v>-30540.73999999998</v>
      </c>
      <c r="HB25" s="304"/>
      <c r="HC25" s="304"/>
      <c r="HD25" s="304">
        <v>-6372.49</v>
      </c>
      <c r="HE25" s="304">
        <v>-3713.2500000000018</v>
      </c>
      <c r="HF25" s="304"/>
      <c r="HG25" s="304">
        <v>-6449.63</v>
      </c>
    </row>
    <row r="26" spans="1:215">
      <c r="A26" s="116">
        <v>107771</v>
      </c>
      <c r="B26" s="304"/>
      <c r="C26" s="304">
        <v>197532.59</v>
      </c>
      <c r="D26" s="304">
        <v>680.98</v>
      </c>
      <c r="E26" s="304"/>
      <c r="F26" s="304">
        <v>46349.279999999999</v>
      </c>
      <c r="G26" s="304">
        <v>20544.999999999996</v>
      </c>
      <c r="H26" s="304">
        <v>6152.49</v>
      </c>
      <c r="I26" s="304">
        <v>0</v>
      </c>
      <c r="J26" s="304">
        <v>1764.5300000000002</v>
      </c>
      <c r="K26" s="304">
        <v>588.86000000000013</v>
      </c>
      <c r="L26" s="304"/>
      <c r="M26" s="304"/>
      <c r="N26" s="304"/>
      <c r="O26" s="304"/>
      <c r="P26" s="304"/>
      <c r="Q26" s="304"/>
      <c r="R26" s="304"/>
      <c r="S26" s="304"/>
      <c r="T26" s="304"/>
      <c r="U26" s="304"/>
      <c r="V26" s="304">
        <v>11818.869999999999</v>
      </c>
      <c r="W26" s="304">
        <v>30.28</v>
      </c>
      <c r="X26" s="304">
        <v>456.93000000000006</v>
      </c>
      <c r="Y26" s="304">
        <v>3262.75</v>
      </c>
      <c r="Z26" s="304">
        <v>594.97</v>
      </c>
      <c r="AA26" s="304">
        <v>6052.5000000000009</v>
      </c>
      <c r="AB26" s="304">
        <v>10.9</v>
      </c>
      <c r="AC26" s="304"/>
      <c r="AD26" s="304">
        <v>1604.1899999999998</v>
      </c>
      <c r="AE26" s="304">
        <v>219.76</v>
      </c>
      <c r="AF26" s="304"/>
      <c r="AG26" s="304"/>
      <c r="AH26" s="304"/>
      <c r="AI26" s="304"/>
      <c r="AJ26" s="304"/>
      <c r="AK26" s="304">
        <v>58596.79</v>
      </c>
      <c r="AL26" s="304">
        <v>466.36</v>
      </c>
      <c r="AM26" s="304">
        <v>606.79999999999995</v>
      </c>
      <c r="AN26" s="304">
        <v>15198.78</v>
      </c>
      <c r="AO26" s="304">
        <v>6411.7199999999993</v>
      </c>
      <c r="AP26" s="304"/>
      <c r="AQ26" s="304"/>
      <c r="AR26" s="304"/>
      <c r="AS26" s="304"/>
      <c r="AT26" s="304"/>
      <c r="AU26" s="304"/>
      <c r="AV26" s="304"/>
      <c r="AW26" s="304"/>
      <c r="AX26" s="304">
        <v>36428.29</v>
      </c>
      <c r="AY26" s="304">
        <v>93.25</v>
      </c>
      <c r="AZ26" s="304"/>
      <c r="BA26" s="304"/>
      <c r="BB26" s="304">
        <v>9641.4799999999977</v>
      </c>
      <c r="BC26" s="304">
        <v>3669.3999999999992</v>
      </c>
      <c r="BD26" s="304"/>
      <c r="BE26" s="304"/>
      <c r="BF26" s="304"/>
      <c r="BG26" s="304"/>
      <c r="BH26" s="304"/>
      <c r="BI26" s="304">
        <v>1293.06</v>
      </c>
      <c r="BJ26" s="304"/>
      <c r="BK26" s="304"/>
      <c r="BL26" s="304"/>
      <c r="BM26" s="304">
        <v>62.84</v>
      </c>
      <c r="BN26" s="304"/>
      <c r="BO26" s="304"/>
      <c r="BP26" s="304"/>
      <c r="BQ26" s="304"/>
      <c r="BR26" s="304">
        <v>36</v>
      </c>
      <c r="BS26" s="304"/>
      <c r="BT26" s="304"/>
      <c r="BU26" s="304"/>
      <c r="BV26" s="304"/>
      <c r="BW26" s="304"/>
      <c r="BX26" s="304"/>
      <c r="BY26" s="304"/>
      <c r="BZ26" s="304">
        <v>1510</v>
      </c>
      <c r="CA26" s="304">
        <v>152.04</v>
      </c>
      <c r="CB26" s="304"/>
      <c r="CC26" s="304"/>
      <c r="CD26" s="304"/>
      <c r="CE26" s="304"/>
      <c r="CF26" s="304">
        <v>2463.86</v>
      </c>
      <c r="CG26" s="304">
        <v>2605.9500000000003</v>
      </c>
      <c r="CH26" s="304"/>
      <c r="CI26" s="304"/>
      <c r="CJ26" s="304"/>
      <c r="CK26" s="304"/>
      <c r="CL26" s="304"/>
      <c r="CM26" s="304">
        <v>750</v>
      </c>
      <c r="CN26" s="304">
        <v>10513.869999999999</v>
      </c>
      <c r="CO26" s="304"/>
      <c r="CP26" s="304"/>
      <c r="CQ26" s="304">
        <v>620</v>
      </c>
      <c r="CR26" s="304"/>
      <c r="CS26" s="304"/>
      <c r="CT26" s="304">
        <v>938.12</v>
      </c>
      <c r="CU26" s="304">
        <v>531.08999999999992</v>
      </c>
      <c r="CV26" s="304"/>
      <c r="CW26" s="304">
        <v>518.99000000000012</v>
      </c>
      <c r="CX26" s="304">
        <v>43.620000000000005</v>
      </c>
      <c r="CY26" s="304"/>
      <c r="CZ26" s="304"/>
      <c r="DA26" s="304"/>
      <c r="DB26" s="304"/>
      <c r="DC26" s="304">
        <v>77.789999999999992</v>
      </c>
      <c r="DD26" s="304"/>
      <c r="DE26" s="304">
        <v>1101.5900000000001</v>
      </c>
      <c r="DF26" s="304"/>
      <c r="DG26" s="304"/>
      <c r="DH26" s="304"/>
      <c r="DI26" s="304"/>
      <c r="DJ26" s="304"/>
      <c r="DK26" s="304"/>
      <c r="DL26" s="304">
        <v>5700.8099999999986</v>
      </c>
      <c r="DM26" s="304">
        <v>159.20000000000002</v>
      </c>
      <c r="DN26" s="304"/>
      <c r="DO26" s="304">
        <v>151.5</v>
      </c>
      <c r="DP26" s="304">
        <v>1102.06</v>
      </c>
      <c r="DQ26" s="304">
        <v>493.5</v>
      </c>
      <c r="DR26" s="304">
        <v>21587.5</v>
      </c>
      <c r="DS26" s="304"/>
      <c r="DT26" s="304">
        <v>1.5</v>
      </c>
      <c r="DU26" s="304">
        <v>575.88</v>
      </c>
      <c r="DV26" s="426"/>
      <c r="DW26" s="304"/>
      <c r="DX26" s="304">
        <v>1000</v>
      </c>
      <c r="DY26" s="304"/>
      <c r="DZ26" s="304"/>
      <c r="EA26" s="304">
        <v>2884.2</v>
      </c>
      <c r="EB26" s="304">
        <v>5890.57</v>
      </c>
      <c r="EC26" s="304">
        <v>878</v>
      </c>
      <c r="ED26" s="304"/>
      <c r="EE26" s="304">
        <v>4696</v>
      </c>
      <c r="EF26" s="304">
        <v>213.17000000000002</v>
      </c>
      <c r="EG26" s="304"/>
      <c r="EH26" s="304"/>
      <c r="EI26" s="304"/>
      <c r="EJ26" s="304">
        <v>2639.55</v>
      </c>
      <c r="EK26" s="304">
        <v>1702.89</v>
      </c>
      <c r="EL26" s="304"/>
      <c r="EM26" s="304">
        <v>1055.6300000000001</v>
      </c>
      <c r="EN26" s="304">
        <v>13399.99</v>
      </c>
      <c r="EO26" s="304"/>
      <c r="EP26" s="304"/>
      <c r="EQ26" s="304"/>
      <c r="ER26" s="304"/>
      <c r="ES26" s="304">
        <v>-445361.15</v>
      </c>
      <c r="ET26" s="304"/>
      <c r="EU26" s="304"/>
      <c r="EV26" s="304"/>
      <c r="EW26" s="304">
        <v>-22210</v>
      </c>
      <c r="EX26" s="304"/>
      <c r="EY26" s="304"/>
      <c r="EZ26" s="304"/>
      <c r="FA26" s="304">
        <v>-39276</v>
      </c>
      <c r="FB26" s="304"/>
      <c r="FC26" s="304"/>
      <c r="FD26" s="304">
        <v>-2201.7299999999996</v>
      </c>
      <c r="FE26" s="304"/>
      <c r="FF26" s="304">
        <v>-6208</v>
      </c>
      <c r="FG26" s="304">
        <v>-15096</v>
      </c>
      <c r="FH26" s="304"/>
      <c r="FI26" s="304">
        <v>-83788.73</v>
      </c>
      <c r="FJ26" s="304"/>
      <c r="FK26" s="304"/>
      <c r="FL26" s="304"/>
      <c r="FM26" s="304"/>
      <c r="FN26" s="304">
        <v>-40084</v>
      </c>
      <c r="FO26" s="304">
        <v>1050.0899999999999</v>
      </c>
      <c r="FP26" s="304">
        <v>155.55000000000001</v>
      </c>
      <c r="FQ26" s="304">
        <v>-11445.07</v>
      </c>
      <c r="FR26" s="304">
        <v>-3802</v>
      </c>
      <c r="FS26" s="304">
        <v>-7477</v>
      </c>
      <c r="FT26" s="304">
        <v>206</v>
      </c>
      <c r="FU26" s="304"/>
      <c r="FV26" s="304"/>
      <c r="FW26" s="304">
        <v>2780.28</v>
      </c>
      <c r="FX26" s="304">
        <v>25.02</v>
      </c>
      <c r="FY26" s="304">
        <v>10459.169999999998</v>
      </c>
      <c r="FZ26" s="304">
        <v>13660.91</v>
      </c>
      <c r="GA26" s="304">
        <v>1873</v>
      </c>
      <c r="GB26" s="304">
        <v>6057.8600000000015</v>
      </c>
      <c r="GC26" s="304"/>
      <c r="GD26" s="304">
        <v>4813.09</v>
      </c>
      <c r="GE26" s="304">
        <v>1313.99</v>
      </c>
      <c r="GF26" s="304">
        <v>1140</v>
      </c>
      <c r="GG26" s="304">
        <v>560</v>
      </c>
      <c r="GH26" s="304">
        <v>753.22</v>
      </c>
      <c r="GI26" s="304">
        <v>796.90000000000009</v>
      </c>
      <c r="GJ26" s="304">
        <v>248</v>
      </c>
      <c r="GK26" s="304">
        <v>500</v>
      </c>
      <c r="GL26" s="304"/>
      <c r="GM26" s="304"/>
      <c r="GN26" s="304"/>
      <c r="GO26" s="304"/>
      <c r="GP26" s="304"/>
      <c r="GQ26" s="304"/>
      <c r="GR26" s="304">
        <v>-1302.49</v>
      </c>
      <c r="GS26" s="304">
        <v>-7633.7499999999991</v>
      </c>
      <c r="GT26" s="304"/>
      <c r="GU26" s="304"/>
      <c r="GV26" s="304">
        <v>-2035.0200000000002</v>
      </c>
      <c r="GW26" s="304">
        <v>-216</v>
      </c>
      <c r="GX26" s="304">
        <v>-0.97000000000000597</v>
      </c>
      <c r="GY26" s="304"/>
      <c r="GZ26" s="304"/>
      <c r="HA26" s="304">
        <v>-16114.250000000013</v>
      </c>
      <c r="HB26" s="304"/>
      <c r="HC26" s="304"/>
      <c r="HD26" s="304">
        <v>750</v>
      </c>
      <c r="HE26" s="304"/>
      <c r="HF26" s="304"/>
      <c r="HG26" s="304">
        <v>-5593.5</v>
      </c>
    </row>
    <row r="27" spans="1:215" s="142" customFormat="1">
      <c r="A27" s="425">
        <v>107775</v>
      </c>
      <c r="B27" s="426">
        <v>0</v>
      </c>
      <c r="C27" s="426">
        <v>294250.46000000002</v>
      </c>
      <c r="D27" s="426">
        <v>3132.1499999999996</v>
      </c>
      <c r="E27" s="426">
        <v>18036.07</v>
      </c>
      <c r="F27" s="426">
        <v>85289.379999999976</v>
      </c>
      <c r="G27" s="426">
        <v>38847.819999999992</v>
      </c>
      <c r="H27" s="426">
        <v>1821.16</v>
      </c>
      <c r="I27" s="426"/>
      <c r="J27" s="426">
        <v>467.24</v>
      </c>
      <c r="K27" s="426">
        <v>195.35000000000002</v>
      </c>
      <c r="L27" s="426"/>
      <c r="M27" s="426">
        <v>0</v>
      </c>
      <c r="N27" s="426"/>
      <c r="O27" s="426"/>
      <c r="P27" s="426"/>
      <c r="Q27" s="426"/>
      <c r="R27" s="426"/>
      <c r="S27" s="426"/>
      <c r="T27" s="426"/>
      <c r="U27" s="426"/>
      <c r="V27" s="426"/>
      <c r="W27" s="426"/>
      <c r="X27" s="426"/>
      <c r="Y27" s="426"/>
      <c r="Z27" s="426"/>
      <c r="AA27" s="426">
        <v>14676.64</v>
      </c>
      <c r="AB27" s="426">
        <v>857.07</v>
      </c>
      <c r="AC27" s="426">
        <v>2588.0299999999997</v>
      </c>
      <c r="AD27" s="426">
        <v>4213.71</v>
      </c>
      <c r="AE27" s="426">
        <v>1480.78</v>
      </c>
      <c r="AF27" s="426"/>
      <c r="AG27" s="426"/>
      <c r="AH27" s="426"/>
      <c r="AI27" s="426"/>
      <c r="AJ27" s="426"/>
      <c r="AK27" s="426">
        <v>127128.98999999999</v>
      </c>
      <c r="AL27" s="426">
        <v>2550.16</v>
      </c>
      <c r="AM27" s="426">
        <v>71.8</v>
      </c>
      <c r="AN27" s="426">
        <v>34253.949999999997</v>
      </c>
      <c r="AO27" s="426">
        <v>13834.720000000001</v>
      </c>
      <c r="AP27" s="426"/>
      <c r="AQ27" s="426"/>
      <c r="AR27" s="426"/>
      <c r="AS27" s="426"/>
      <c r="AT27" s="426"/>
      <c r="AU27" s="426"/>
      <c r="AV27" s="426"/>
      <c r="AW27" s="426"/>
      <c r="AX27" s="426">
        <v>19295.29</v>
      </c>
      <c r="AY27" s="426">
        <v>7412.659999999998</v>
      </c>
      <c r="AZ27" s="426"/>
      <c r="BA27" s="426">
        <v>7415.3000000000011</v>
      </c>
      <c r="BB27" s="426">
        <v>7050.7700000000013</v>
      </c>
      <c r="BC27" s="426">
        <v>2965.6799999999994</v>
      </c>
      <c r="BD27" s="426"/>
      <c r="BE27" s="426"/>
      <c r="BF27" s="426"/>
      <c r="BG27" s="426"/>
      <c r="BH27" s="426"/>
      <c r="BI27" s="426">
        <v>16084.480000000001</v>
      </c>
      <c r="BJ27" s="426"/>
      <c r="BK27" s="426">
        <v>77.12</v>
      </c>
      <c r="BL27" s="426">
        <v>3534.9799999999996</v>
      </c>
      <c r="BM27" s="426">
        <v>1673.6499999999996</v>
      </c>
      <c r="BN27" s="426">
        <v>4362.8</v>
      </c>
      <c r="BO27" s="426">
        <v>1151.76</v>
      </c>
      <c r="BP27" s="426">
        <v>467.63</v>
      </c>
      <c r="BQ27" s="426"/>
      <c r="BR27" s="426"/>
      <c r="BS27" s="426"/>
      <c r="BT27" s="426"/>
      <c r="BU27" s="426"/>
      <c r="BV27" s="426"/>
      <c r="BW27" s="426"/>
      <c r="BX27" s="426"/>
      <c r="BY27" s="426"/>
      <c r="BZ27" s="426">
        <v>3108.04</v>
      </c>
      <c r="CA27" s="426"/>
      <c r="CB27" s="426"/>
      <c r="CC27" s="426"/>
      <c r="CD27" s="426"/>
      <c r="CE27" s="426"/>
      <c r="CF27" s="426">
        <v>4992.1400000000003</v>
      </c>
      <c r="CG27" s="426">
        <v>5124.76</v>
      </c>
      <c r="CH27" s="426">
        <v>2731.92</v>
      </c>
      <c r="CI27" s="426"/>
      <c r="CJ27" s="426"/>
      <c r="CK27" s="426">
        <v>395</v>
      </c>
      <c r="CL27" s="426"/>
      <c r="CM27" s="426">
        <v>669.03</v>
      </c>
      <c r="CN27" s="426">
        <v>6217.2900000000018</v>
      </c>
      <c r="CO27" s="426">
        <v>2844.68</v>
      </c>
      <c r="CP27" s="426"/>
      <c r="CQ27" s="426"/>
      <c r="CR27" s="426"/>
      <c r="CS27" s="426"/>
      <c r="CT27" s="426">
        <v>14346.25</v>
      </c>
      <c r="CU27" s="426">
        <v>4300.34</v>
      </c>
      <c r="CV27" s="426">
        <v>647.92999999999995</v>
      </c>
      <c r="CW27" s="426">
        <v>1059.3500000000001</v>
      </c>
      <c r="CX27" s="426">
        <v>148.6</v>
      </c>
      <c r="CY27" s="426"/>
      <c r="CZ27" s="426"/>
      <c r="DA27" s="426"/>
      <c r="DB27" s="426"/>
      <c r="DC27" s="426">
        <v>18</v>
      </c>
      <c r="DD27" s="426"/>
      <c r="DE27" s="426">
        <v>4172.67</v>
      </c>
      <c r="DF27" s="426"/>
      <c r="DG27" s="426"/>
      <c r="DH27" s="426"/>
      <c r="DI27" s="426"/>
      <c r="DJ27" s="426"/>
      <c r="DK27" s="426">
        <v>2449</v>
      </c>
      <c r="DL27" s="426">
        <v>19111.669999999998</v>
      </c>
      <c r="DM27" s="426">
        <v>418.5</v>
      </c>
      <c r="DN27" s="426"/>
      <c r="DO27" s="426">
        <v>1008.8699999999999</v>
      </c>
      <c r="DP27" s="426">
        <v>4407.6099999999997</v>
      </c>
      <c r="DQ27" s="426">
        <v>8776.6</v>
      </c>
      <c r="DR27" s="426">
        <v>6726.35</v>
      </c>
      <c r="DS27" s="426"/>
      <c r="DT27" s="426">
        <v>5.0999999999999996</v>
      </c>
      <c r="DU27" s="304">
        <v>288.97000000000003</v>
      </c>
      <c r="DV27" s="426"/>
      <c r="DW27" s="426">
        <v>0</v>
      </c>
      <c r="DX27" s="426">
        <v>5670</v>
      </c>
      <c r="DY27" s="426"/>
      <c r="DZ27" s="426"/>
      <c r="EA27" s="426">
        <v>894.27</v>
      </c>
      <c r="EB27" s="426">
        <v>353.4</v>
      </c>
      <c r="EC27" s="426">
        <v>75</v>
      </c>
      <c r="ED27" s="426"/>
      <c r="EE27" s="426">
        <v>399</v>
      </c>
      <c r="EF27" s="426"/>
      <c r="EG27" s="426"/>
      <c r="EH27" s="426"/>
      <c r="EI27" s="426"/>
      <c r="EJ27" s="426">
        <v>810</v>
      </c>
      <c r="EK27" s="426">
        <v>3839.85</v>
      </c>
      <c r="EL27" s="426"/>
      <c r="EM27" s="426">
        <v>20629.249999999996</v>
      </c>
      <c r="EN27" s="426">
        <v>13823.130000000001</v>
      </c>
      <c r="EO27" s="426"/>
      <c r="EP27" s="426"/>
      <c r="EQ27" s="426">
        <v>8124.1</v>
      </c>
      <c r="ER27" s="426"/>
      <c r="ES27" s="426">
        <v>-699840.82</v>
      </c>
      <c r="ET27" s="426"/>
      <c r="EU27" s="426">
        <v>493.1</v>
      </c>
      <c r="EV27" s="426"/>
      <c r="EW27" s="426">
        <v>-32930</v>
      </c>
      <c r="EX27" s="426"/>
      <c r="EY27" s="426"/>
      <c r="EZ27" s="426"/>
      <c r="FA27" s="426"/>
      <c r="FB27" s="426"/>
      <c r="FC27" s="426"/>
      <c r="FD27" s="426"/>
      <c r="FE27" s="426">
        <v>-5203.75</v>
      </c>
      <c r="FF27" s="426">
        <v>-16282</v>
      </c>
      <c r="FG27" s="426">
        <v>-15525</v>
      </c>
      <c r="FH27" s="426"/>
      <c r="FI27" s="426">
        <v>-119525.84</v>
      </c>
      <c r="FJ27" s="426"/>
      <c r="FK27" s="426">
        <v>-29428.22</v>
      </c>
      <c r="FL27" s="426"/>
      <c r="FM27" s="426"/>
      <c r="FN27" s="426">
        <v>-66377</v>
      </c>
      <c r="FO27" s="426">
        <v>2367.85</v>
      </c>
      <c r="FP27" s="426">
        <v>350.75</v>
      </c>
      <c r="FQ27" s="426">
        <v>-15994.29</v>
      </c>
      <c r="FR27" s="426">
        <v>-6396</v>
      </c>
      <c r="FS27" s="426">
        <v>-12954</v>
      </c>
      <c r="FT27" s="426">
        <v>858.45</v>
      </c>
      <c r="FU27" s="426"/>
      <c r="FV27" s="426"/>
      <c r="FW27" s="426">
        <v>1326.44</v>
      </c>
      <c r="FX27" s="426">
        <v>666.31</v>
      </c>
      <c r="FY27" s="426"/>
      <c r="FZ27" s="426"/>
      <c r="GA27" s="426">
        <v>1126</v>
      </c>
      <c r="GB27" s="426">
        <v>6615.1900000000023</v>
      </c>
      <c r="GC27" s="426"/>
      <c r="GD27" s="426">
        <v>3970.52</v>
      </c>
      <c r="GE27" s="426">
        <v>1754.21</v>
      </c>
      <c r="GF27" s="426">
        <v>1207.5</v>
      </c>
      <c r="GG27" s="426">
        <v>530</v>
      </c>
      <c r="GH27" s="426">
        <v>905.65</v>
      </c>
      <c r="GI27" s="426">
        <v>859.65000000000009</v>
      </c>
      <c r="GJ27" s="426">
        <v>225</v>
      </c>
      <c r="GK27" s="426"/>
      <c r="GL27" s="426"/>
      <c r="GM27" s="426"/>
      <c r="GN27" s="426"/>
      <c r="GO27" s="426"/>
      <c r="GP27" s="426"/>
      <c r="GQ27" s="426"/>
      <c r="GR27" s="426">
        <v>-3792.73</v>
      </c>
      <c r="GS27" s="426">
        <v>-11928.820000000007</v>
      </c>
      <c r="GT27" s="426"/>
      <c r="GU27" s="426"/>
      <c r="GV27" s="426">
        <v>-1119.57</v>
      </c>
      <c r="GW27" s="426"/>
      <c r="GX27" s="426">
        <v>-7956.2600000000011</v>
      </c>
      <c r="GY27" s="426">
        <v>-1360</v>
      </c>
      <c r="GZ27" s="426"/>
      <c r="HA27" s="426"/>
      <c r="HB27" s="426"/>
      <c r="HC27" s="426"/>
      <c r="HD27" s="426">
        <v>-2931.63</v>
      </c>
      <c r="HE27" s="426">
        <v>2835.52</v>
      </c>
      <c r="HF27" s="426">
        <v>1121.3399999999999</v>
      </c>
      <c r="HG27" s="426">
        <v>-7662.17</v>
      </c>
    </row>
    <row r="28" spans="1:215">
      <c r="A28" s="116">
        <v>107776</v>
      </c>
      <c r="B28" s="304"/>
      <c r="C28" s="304">
        <v>248356.06999999998</v>
      </c>
      <c r="D28" s="304">
        <v>4349.3499999999995</v>
      </c>
      <c r="E28" s="304">
        <v>6105</v>
      </c>
      <c r="F28" s="304">
        <v>72475.97</v>
      </c>
      <c r="G28" s="304">
        <v>32769.120000000003</v>
      </c>
      <c r="H28" s="304">
        <v>5740.75</v>
      </c>
      <c r="I28" s="304"/>
      <c r="J28" s="304">
        <v>1646.4399999999998</v>
      </c>
      <c r="K28" s="304">
        <v>634.41999999999996</v>
      </c>
      <c r="L28" s="304"/>
      <c r="M28" s="304"/>
      <c r="N28" s="304"/>
      <c r="O28" s="304"/>
      <c r="P28" s="304"/>
      <c r="Q28" s="304"/>
      <c r="R28" s="304"/>
      <c r="S28" s="304"/>
      <c r="T28" s="304"/>
      <c r="U28" s="304"/>
      <c r="V28" s="304">
        <v>1412.5899999999997</v>
      </c>
      <c r="W28" s="304">
        <v>19.850000000000001</v>
      </c>
      <c r="X28" s="304"/>
      <c r="Y28" s="304">
        <v>378.10999999999996</v>
      </c>
      <c r="Z28" s="304">
        <v>177.11</v>
      </c>
      <c r="AA28" s="304">
        <v>1849.17</v>
      </c>
      <c r="AB28" s="304">
        <v>18.830000000000002</v>
      </c>
      <c r="AC28" s="304"/>
      <c r="AD28" s="304">
        <v>493.10999999999996</v>
      </c>
      <c r="AE28" s="304">
        <v>142.80999999999997</v>
      </c>
      <c r="AF28" s="304"/>
      <c r="AG28" s="304"/>
      <c r="AH28" s="304"/>
      <c r="AI28" s="304"/>
      <c r="AJ28" s="304"/>
      <c r="AK28" s="304">
        <v>45179.859999999993</v>
      </c>
      <c r="AL28" s="304">
        <v>1448.16</v>
      </c>
      <c r="AM28" s="304">
        <v>133.97</v>
      </c>
      <c r="AN28" s="304">
        <v>10843.329999999998</v>
      </c>
      <c r="AO28" s="304">
        <v>4962.4299999999994</v>
      </c>
      <c r="AP28" s="304"/>
      <c r="AQ28" s="304"/>
      <c r="AR28" s="304"/>
      <c r="AS28" s="304"/>
      <c r="AT28" s="304"/>
      <c r="AU28" s="304"/>
      <c r="AV28" s="304"/>
      <c r="AW28" s="304"/>
      <c r="AX28" s="304">
        <v>28077.240000000005</v>
      </c>
      <c r="AY28" s="304">
        <v>365.23</v>
      </c>
      <c r="AZ28" s="304"/>
      <c r="BA28" s="304"/>
      <c r="BB28" s="304">
        <v>7508.6500000000015</v>
      </c>
      <c r="BC28" s="304">
        <v>3473.3999999999996</v>
      </c>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v>1020</v>
      </c>
      <c r="CA28" s="304"/>
      <c r="CB28" s="304"/>
      <c r="CC28" s="304"/>
      <c r="CD28" s="304"/>
      <c r="CE28" s="304">
        <v>14898.5</v>
      </c>
      <c r="CF28" s="304">
        <v>2193.66</v>
      </c>
      <c r="CG28" s="304"/>
      <c r="CH28" s="304">
        <v>1375</v>
      </c>
      <c r="CI28" s="304"/>
      <c r="CJ28" s="304"/>
      <c r="CK28" s="304"/>
      <c r="CL28" s="304">
        <v>6064.4</v>
      </c>
      <c r="CM28" s="304"/>
      <c r="CN28" s="304">
        <v>4732.6099999999997</v>
      </c>
      <c r="CO28" s="304"/>
      <c r="CP28" s="304"/>
      <c r="CQ28" s="304"/>
      <c r="CR28" s="304"/>
      <c r="CS28" s="304"/>
      <c r="CT28" s="304">
        <v>3243.5</v>
      </c>
      <c r="CU28" s="304">
        <v>507.46</v>
      </c>
      <c r="CV28" s="304"/>
      <c r="CW28" s="304">
        <v>654.5100000000001</v>
      </c>
      <c r="CX28" s="304">
        <v>2167.81</v>
      </c>
      <c r="CY28" s="304"/>
      <c r="CZ28" s="304"/>
      <c r="DA28" s="304"/>
      <c r="DB28" s="304">
        <v>1480</v>
      </c>
      <c r="DC28" s="304">
        <v>66.5</v>
      </c>
      <c r="DD28" s="304"/>
      <c r="DE28" s="304"/>
      <c r="DF28" s="304"/>
      <c r="DG28" s="304"/>
      <c r="DH28" s="304"/>
      <c r="DI28" s="304"/>
      <c r="DJ28" s="304"/>
      <c r="DK28" s="304">
        <v>1678</v>
      </c>
      <c r="DL28" s="304">
        <v>4651.6500000000005</v>
      </c>
      <c r="DM28" s="304">
        <v>71.400000000000006</v>
      </c>
      <c r="DN28" s="304"/>
      <c r="DO28" s="304">
        <v>1292.06</v>
      </c>
      <c r="DP28" s="304">
        <v>826.27</v>
      </c>
      <c r="DQ28" s="304">
        <v>2000</v>
      </c>
      <c r="DR28" s="304">
        <v>21348.609999999997</v>
      </c>
      <c r="DS28" s="304"/>
      <c r="DT28" s="304"/>
      <c r="DU28" s="304">
        <v>1614.21</v>
      </c>
      <c r="DV28" s="426"/>
      <c r="DW28" s="304"/>
      <c r="DX28" s="304">
        <v>2777.95</v>
      </c>
      <c r="DY28" s="304">
        <v>350</v>
      </c>
      <c r="DZ28" s="304"/>
      <c r="EA28" s="304"/>
      <c r="EB28" s="304">
        <v>703.02</v>
      </c>
      <c r="EC28" s="304"/>
      <c r="ED28" s="304"/>
      <c r="EE28" s="304">
        <v>440.25</v>
      </c>
      <c r="EF28" s="304"/>
      <c r="EG28" s="304"/>
      <c r="EH28" s="304"/>
      <c r="EI28" s="304"/>
      <c r="EJ28" s="304">
        <v>5957.05</v>
      </c>
      <c r="EK28" s="304">
        <v>2303.91</v>
      </c>
      <c r="EL28" s="304">
        <v>5142.619999999999</v>
      </c>
      <c r="EM28" s="304">
        <v>4173.55</v>
      </c>
      <c r="EN28" s="304">
        <v>15084.42</v>
      </c>
      <c r="EO28" s="304"/>
      <c r="EP28" s="304"/>
      <c r="EQ28" s="304"/>
      <c r="ER28" s="304"/>
      <c r="ES28" s="304">
        <v>-492130.7</v>
      </c>
      <c r="ET28" s="304"/>
      <c r="EU28" s="304"/>
      <c r="EV28" s="304">
        <v>-800</v>
      </c>
      <c r="EW28" s="304">
        <v>-4545</v>
      </c>
      <c r="EX28" s="304"/>
      <c r="EY28" s="304"/>
      <c r="EZ28" s="304"/>
      <c r="FA28" s="304">
        <v>-1752</v>
      </c>
      <c r="FB28" s="304"/>
      <c r="FC28" s="304"/>
      <c r="FD28" s="304">
        <v>-31001.609999999997</v>
      </c>
      <c r="FE28" s="304">
        <v>-4810</v>
      </c>
      <c r="FF28" s="304">
        <v>-7239</v>
      </c>
      <c r="FG28" s="304">
        <v>-15221</v>
      </c>
      <c r="FH28" s="304"/>
      <c r="FI28" s="304">
        <v>-11047.51</v>
      </c>
      <c r="FJ28" s="304"/>
      <c r="FK28" s="304">
        <v>-12966.82</v>
      </c>
      <c r="FL28" s="304"/>
      <c r="FM28" s="304"/>
      <c r="FN28" s="304">
        <v>-31168</v>
      </c>
      <c r="FO28" s="304">
        <v>1420.71</v>
      </c>
      <c r="FP28" s="304">
        <v>210.45</v>
      </c>
      <c r="FQ28" s="304">
        <v>-9323.2999999999993</v>
      </c>
      <c r="FR28" s="304">
        <v>-4084</v>
      </c>
      <c r="FS28" s="304">
        <v>-8059</v>
      </c>
      <c r="FT28" s="304">
        <v>478</v>
      </c>
      <c r="FU28" s="304"/>
      <c r="FV28" s="304"/>
      <c r="FW28" s="304">
        <v>1309.8</v>
      </c>
      <c r="FX28" s="304"/>
      <c r="FY28" s="304">
        <v>8966.380000000001</v>
      </c>
      <c r="FZ28" s="304">
        <v>8890.06</v>
      </c>
      <c r="GA28" s="304">
        <v>3939.1</v>
      </c>
      <c r="GB28" s="304">
        <v>7016.7700000000032</v>
      </c>
      <c r="GC28" s="304">
        <v>261</v>
      </c>
      <c r="GD28" s="304">
        <v>3343.38</v>
      </c>
      <c r="GE28" s="304">
        <v>1313.99</v>
      </c>
      <c r="GF28" s="304">
        <v>790</v>
      </c>
      <c r="GG28" s="304">
        <v>945</v>
      </c>
      <c r="GH28" s="304">
        <v>793.18</v>
      </c>
      <c r="GI28" s="304"/>
      <c r="GJ28" s="304"/>
      <c r="GK28" s="304"/>
      <c r="GL28" s="304"/>
      <c r="GM28" s="304"/>
      <c r="GN28" s="304"/>
      <c r="GO28" s="304"/>
      <c r="GP28" s="304">
        <v>-2064</v>
      </c>
      <c r="GQ28" s="304"/>
      <c r="GR28" s="304">
        <v>-9288.57</v>
      </c>
      <c r="GS28" s="304">
        <v>-17819.07</v>
      </c>
      <c r="GT28" s="304"/>
      <c r="GU28" s="304"/>
      <c r="GV28" s="304"/>
      <c r="GW28" s="304"/>
      <c r="GX28" s="304">
        <v>25.7</v>
      </c>
      <c r="GY28" s="304"/>
      <c r="GZ28" s="304"/>
      <c r="HA28" s="304">
        <v>-2283.3599999999997</v>
      </c>
      <c r="HB28" s="304"/>
      <c r="HC28" s="304"/>
      <c r="HD28" s="304"/>
      <c r="HE28" s="304">
        <v>-4921.67</v>
      </c>
      <c r="HF28" s="304"/>
      <c r="HG28" s="304">
        <v>-1621.32</v>
      </c>
    </row>
    <row r="29" spans="1:215">
      <c r="A29" s="116">
        <v>107779</v>
      </c>
      <c r="B29" s="304"/>
      <c r="C29" s="304">
        <v>525295.01</v>
      </c>
      <c r="D29" s="304"/>
      <c r="E29" s="304">
        <v>5242.29</v>
      </c>
      <c r="F29" s="304">
        <v>153479.25</v>
      </c>
      <c r="G29" s="304">
        <v>69448.830000000016</v>
      </c>
      <c r="H29" s="304">
        <v>11154.609999999999</v>
      </c>
      <c r="I29" s="304"/>
      <c r="J29" s="304">
        <v>2905.3900000000003</v>
      </c>
      <c r="K29" s="304">
        <v>1105.24</v>
      </c>
      <c r="L29" s="304"/>
      <c r="M29" s="304"/>
      <c r="N29" s="304"/>
      <c r="O29" s="304"/>
      <c r="P29" s="304"/>
      <c r="Q29" s="304"/>
      <c r="R29" s="304"/>
      <c r="S29" s="304"/>
      <c r="T29" s="304"/>
      <c r="U29" s="304"/>
      <c r="V29" s="304">
        <v>20329.310000000001</v>
      </c>
      <c r="W29" s="304">
        <v>31.83</v>
      </c>
      <c r="X29" s="304">
        <v>955.1</v>
      </c>
      <c r="Y29" s="304">
        <v>5573</v>
      </c>
      <c r="Z29" s="304">
        <v>1884.4600000000005</v>
      </c>
      <c r="AA29" s="304">
        <v>28354.2</v>
      </c>
      <c r="AB29" s="304">
        <v>37</v>
      </c>
      <c r="AC29" s="304">
        <v>1675.86</v>
      </c>
      <c r="AD29" s="304">
        <v>6494.420000000001</v>
      </c>
      <c r="AE29" s="304">
        <v>2227.5599999999995</v>
      </c>
      <c r="AF29" s="304"/>
      <c r="AG29" s="304"/>
      <c r="AH29" s="304"/>
      <c r="AI29" s="304"/>
      <c r="AJ29" s="304"/>
      <c r="AK29" s="304">
        <v>202133.34999999998</v>
      </c>
      <c r="AL29" s="304"/>
      <c r="AM29" s="304">
        <v>726.18999999999994</v>
      </c>
      <c r="AN29" s="304">
        <v>52661.53</v>
      </c>
      <c r="AO29" s="304">
        <v>21219.79</v>
      </c>
      <c r="AP29" s="304"/>
      <c r="AQ29" s="304"/>
      <c r="AR29" s="304"/>
      <c r="AS29" s="304"/>
      <c r="AT29" s="304"/>
      <c r="AU29" s="304"/>
      <c r="AV29" s="304"/>
      <c r="AW29" s="304"/>
      <c r="AX29" s="304">
        <v>25993.040000000005</v>
      </c>
      <c r="AY29" s="304"/>
      <c r="AZ29" s="304">
        <v>630.07999999999993</v>
      </c>
      <c r="BA29" s="304">
        <v>616</v>
      </c>
      <c r="BB29" s="304">
        <v>6585.23</v>
      </c>
      <c r="BC29" s="304">
        <v>2307.25</v>
      </c>
      <c r="BD29" s="304"/>
      <c r="BE29" s="304"/>
      <c r="BF29" s="304"/>
      <c r="BG29" s="304"/>
      <c r="BH29" s="304"/>
      <c r="BI29" s="304">
        <v>20637.900000000001</v>
      </c>
      <c r="BJ29" s="304">
        <v>31.34</v>
      </c>
      <c r="BK29" s="304">
        <v>975.74</v>
      </c>
      <c r="BL29" s="304">
        <v>4529.6900000000005</v>
      </c>
      <c r="BM29" s="304">
        <v>1005.45</v>
      </c>
      <c r="BN29" s="304"/>
      <c r="BO29" s="304"/>
      <c r="BP29" s="304"/>
      <c r="BQ29" s="304"/>
      <c r="BR29" s="304"/>
      <c r="BS29" s="304"/>
      <c r="BT29" s="304"/>
      <c r="BU29" s="304"/>
      <c r="BV29" s="304"/>
      <c r="BW29" s="304"/>
      <c r="BX29" s="304"/>
      <c r="BY29" s="304"/>
      <c r="BZ29" s="304">
        <v>3305</v>
      </c>
      <c r="CA29" s="304">
        <v>9436.9</v>
      </c>
      <c r="CB29" s="304"/>
      <c r="CC29" s="304">
        <v>0</v>
      </c>
      <c r="CD29" s="304">
        <v>79.41</v>
      </c>
      <c r="CE29" s="304">
        <v>2553.4300000000003</v>
      </c>
      <c r="CF29" s="304">
        <v>6882.23</v>
      </c>
      <c r="CG29" s="304">
        <v>283.94</v>
      </c>
      <c r="CH29" s="304">
        <v>0</v>
      </c>
      <c r="CI29" s="304"/>
      <c r="CJ29" s="304"/>
      <c r="CK29" s="304"/>
      <c r="CL29" s="304"/>
      <c r="CM29" s="304">
        <v>1082.8900000000001</v>
      </c>
      <c r="CN29" s="304">
        <v>8903.26</v>
      </c>
      <c r="CO29" s="304">
        <v>4853.08</v>
      </c>
      <c r="CP29" s="304"/>
      <c r="CQ29" s="304"/>
      <c r="CR29" s="304"/>
      <c r="CS29" s="304"/>
      <c r="CT29" s="304">
        <v>26817.25</v>
      </c>
      <c r="CU29" s="304">
        <v>2422.7800000000002</v>
      </c>
      <c r="CV29" s="304"/>
      <c r="CW29" s="304">
        <v>2668.7500000000005</v>
      </c>
      <c r="CX29" s="304"/>
      <c r="CY29" s="304"/>
      <c r="CZ29" s="304"/>
      <c r="DA29" s="304"/>
      <c r="DB29" s="304">
        <v>7939.66</v>
      </c>
      <c r="DC29" s="304">
        <v>304.45000000000005</v>
      </c>
      <c r="DD29" s="304"/>
      <c r="DE29" s="304">
        <v>7.47</v>
      </c>
      <c r="DF29" s="304"/>
      <c r="DG29" s="304">
        <v>6491.77</v>
      </c>
      <c r="DH29" s="304"/>
      <c r="DI29" s="304"/>
      <c r="DJ29" s="304">
        <v>93.99</v>
      </c>
      <c r="DK29" s="304">
        <v>4169</v>
      </c>
      <c r="DL29" s="304">
        <v>19266.910000000011</v>
      </c>
      <c r="DM29" s="304">
        <v>134.44</v>
      </c>
      <c r="DN29" s="304"/>
      <c r="DO29" s="304">
        <v>699.83</v>
      </c>
      <c r="DP29" s="304">
        <v>1412.6399999999999</v>
      </c>
      <c r="DQ29" s="304">
        <v>9664.32</v>
      </c>
      <c r="DR29" s="304">
        <v>13613</v>
      </c>
      <c r="DS29" s="304"/>
      <c r="DT29" s="304">
        <v>28.75</v>
      </c>
      <c r="DU29" s="304">
        <v>2207.44</v>
      </c>
      <c r="DV29" s="426"/>
      <c r="DW29" s="304"/>
      <c r="DX29" s="304">
        <v>1950</v>
      </c>
      <c r="DY29" s="304">
        <v>-1281.7800000000007</v>
      </c>
      <c r="DZ29" s="304"/>
      <c r="EA29" s="304">
        <v>2011.44</v>
      </c>
      <c r="EB29" s="304">
        <v>6022.68</v>
      </c>
      <c r="EC29" s="304">
        <v>7112.78</v>
      </c>
      <c r="ED29" s="304">
        <v>276.95</v>
      </c>
      <c r="EE29" s="304">
        <v>6624</v>
      </c>
      <c r="EF29" s="304">
        <v>530.75</v>
      </c>
      <c r="EG29" s="304">
        <v>101</v>
      </c>
      <c r="EH29" s="304"/>
      <c r="EI29" s="304"/>
      <c r="EJ29" s="304"/>
      <c r="EK29" s="304">
        <v>6711.39</v>
      </c>
      <c r="EL29" s="304">
        <v>5785</v>
      </c>
      <c r="EM29" s="304">
        <v>785.96000000000026</v>
      </c>
      <c r="EN29" s="304">
        <v>17815.590000000004</v>
      </c>
      <c r="EO29" s="304"/>
      <c r="EP29" s="304"/>
      <c r="EQ29" s="304"/>
      <c r="ER29" s="304"/>
      <c r="ES29" s="304">
        <v>-1109745.33</v>
      </c>
      <c r="ET29" s="304"/>
      <c r="EU29" s="304"/>
      <c r="EV29" s="304"/>
      <c r="EW29" s="304">
        <v>-71555</v>
      </c>
      <c r="EX29" s="304"/>
      <c r="EY29" s="304"/>
      <c r="EZ29" s="304"/>
      <c r="FA29" s="304"/>
      <c r="FB29" s="304">
        <v>-225</v>
      </c>
      <c r="FC29" s="304"/>
      <c r="FD29" s="304"/>
      <c r="FE29" s="304">
        <v>-6238.75</v>
      </c>
      <c r="FF29" s="304">
        <v>-32629</v>
      </c>
      <c r="FG29" s="304">
        <v>-16251</v>
      </c>
      <c r="FH29" s="304"/>
      <c r="FI29" s="304"/>
      <c r="FJ29" s="304">
        <v>83891.96</v>
      </c>
      <c r="FK29" s="304">
        <v>-253.02</v>
      </c>
      <c r="FL29" s="304"/>
      <c r="FM29" s="304"/>
      <c r="FN29" s="304">
        <v>-143944</v>
      </c>
      <c r="FO29" s="304">
        <v>4138.59</v>
      </c>
      <c r="FP29" s="304">
        <v>613.04999999999995</v>
      </c>
      <c r="FQ29" s="304">
        <v>-4889.3999999999996</v>
      </c>
      <c r="FR29" s="304">
        <v>-10585</v>
      </c>
      <c r="FS29" s="304">
        <v>-21820</v>
      </c>
      <c r="FT29" s="304">
        <v>3414</v>
      </c>
      <c r="FU29" s="304"/>
      <c r="FV29" s="304"/>
      <c r="FW29" s="304">
        <v>1609.16</v>
      </c>
      <c r="FX29" s="304">
        <v>5867.68</v>
      </c>
      <c r="FY29" s="304">
        <v>507</v>
      </c>
      <c r="FZ29" s="304">
        <v>60347.450000000004</v>
      </c>
      <c r="GA29" s="304">
        <v>1932.71</v>
      </c>
      <c r="GB29" s="304">
        <v>5605.270000000005</v>
      </c>
      <c r="GC29" s="304">
        <v>261</v>
      </c>
      <c r="GD29" s="304">
        <v>8548.0300000000007</v>
      </c>
      <c r="GE29" s="304">
        <v>3668.5</v>
      </c>
      <c r="GF29" s="304">
        <v>1231.1199999999999</v>
      </c>
      <c r="GG29" s="304">
        <v>735</v>
      </c>
      <c r="GH29" s="304">
        <v>1104.31</v>
      </c>
      <c r="GI29" s="304">
        <v>2805.4699999999993</v>
      </c>
      <c r="GJ29" s="304"/>
      <c r="GK29" s="304"/>
      <c r="GL29" s="304"/>
      <c r="GM29" s="304"/>
      <c r="GN29" s="304"/>
      <c r="GO29" s="304">
        <v>-4860</v>
      </c>
      <c r="GP29" s="304">
        <v>-1800</v>
      </c>
      <c r="GQ29" s="304"/>
      <c r="GR29" s="304">
        <v>-6421.2400000000007</v>
      </c>
      <c r="GS29" s="304">
        <v>-10185.210000000001</v>
      </c>
      <c r="GT29" s="304"/>
      <c r="GU29" s="304"/>
      <c r="GV29" s="304">
        <v>-2060.7400000000002</v>
      </c>
      <c r="GW29" s="304">
        <v>-2430</v>
      </c>
      <c r="GX29" s="304">
        <v>-4819.9599999999991</v>
      </c>
      <c r="GY29" s="304">
        <v>-4876.25</v>
      </c>
      <c r="GZ29" s="304"/>
      <c r="HA29" s="304">
        <v>-31279.759999999973</v>
      </c>
      <c r="HB29" s="304"/>
      <c r="HC29" s="304"/>
      <c r="HD29" s="304">
        <v>-6086.1</v>
      </c>
      <c r="HE29" s="304"/>
      <c r="HF29" s="304"/>
      <c r="HG29" s="304"/>
    </row>
    <row r="30" spans="1:215">
      <c r="A30" s="116">
        <v>107781</v>
      </c>
      <c r="B30" s="304"/>
      <c r="C30" s="304">
        <v>445872.31999999989</v>
      </c>
      <c r="D30" s="304">
        <v>22458.39</v>
      </c>
      <c r="E30" s="304">
        <v>24820.1</v>
      </c>
      <c r="F30" s="304">
        <v>119990.58000000002</v>
      </c>
      <c r="G30" s="304">
        <v>56540.74</v>
      </c>
      <c r="H30" s="304">
        <v>26234.43</v>
      </c>
      <c r="I30" s="304">
        <v>0</v>
      </c>
      <c r="J30" s="304">
        <v>7524.0000000000009</v>
      </c>
      <c r="K30" s="304">
        <v>3301.8999999999996</v>
      </c>
      <c r="L30" s="304"/>
      <c r="M30" s="304"/>
      <c r="N30" s="304"/>
      <c r="O30" s="304"/>
      <c r="P30" s="304"/>
      <c r="Q30" s="304"/>
      <c r="R30" s="304"/>
      <c r="S30" s="304"/>
      <c r="T30" s="304"/>
      <c r="U30" s="304"/>
      <c r="V30" s="304">
        <v>22459.929999999997</v>
      </c>
      <c r="W30" s="304">
        <v>41.41</v>
      </c>
      <c r="X30" s="304"/>
      <c r="Y30" s="304">
        <v>5946.8300000000008</v>
      </c>
      <c r="Z30" s="304">
        <v>2229.38</v>
      </c>
      <c r="AA30" s="304">
        <v>17333.309999999998</v>
      </c>
      <c r="AB30" s="304">
        <v>3040.2</v>
      </c>
      <c r="AC30" s="304">
        <v>555.29000000000008</v>
      </c>
      <c r="AD30" s="304">
        <v>5345.0300000000007</v>
      </c>
      <c r="AE30" s="304">
        <v>1520.4399999999998</v>
      </c>
      <c r="AF30" s="304"/>
      <c r="AG30" s="304"/>
      <c r="AH30" s="304"/>
      <c r="AI30" s="304"/>
      <c r="AJ30" s="304"/>
      <c r="AK30" s="304">
        <v>268254.85000000003</v>
      </c>
      <c r="AL30" s="304">
        <v>5251.5</v>
      </c>
      <c r="AM30" s="304">
        <v>12069.029999999999</v>
      </c>
      <c r="AN30" s="304">
        <v>73641.37</v>
      </c>
      <c r="AO30" s="304">
        <v>27602.179999999997</v>
      </c>
      <c r="AP30" s="304"/>
      <c r="AQ30" s="304"/>
      <c r="AR30" s="304"/>
      <c r="AS30" s="304"/>
      <c r="AT30" s="304"/>
      <c r="AU30" s="304"/>
      <c r="AV30" s="304"/>
      <c r="AW30" s="304"/>
      <c r="AX30" s="304">
        <v>40275.64</v>
      </c>
      <c r="AY30" s="304">
        <v>790.67</v>
      </c>
      <c r="AZ30" s="304">
        <v>2287.62</v>
      </c>
      <c r="BA30" s="304">
        <v>2361.7799999999997</v>
      </c>
      <c r="BB30" s="304">
        <v>11445.150000000001</v>
      </c>
      <c r="BC30" s="304">
        <v>4591.1600000000008</v>
      </c>
      <c r="BD30" s="304"/>
      <c r="BE30" s="304"/>
      <c r="BF30" s="304"/>
      <c r="BG30" s="304"/>
      <c r="BH30" s="304"/>
      <c r="BI30" s="304"/>
      <c r="BJ30" s="304"/>
      <c r="BK30" s="304"/>
      <c r="BL30" s="304"/>
      <c r="BM30" s="304"/>
      <c r="BN30" s="304"/>
      <c r="BO30" s="304"/>
      <c r="BP30" s="304"/>
      <c r="BQ30" s="304"/>
      <c r="BR30" s="304"/>
      <c r="BS30" s="304"/>
      <c r="BT30" s="304"/>
      <c r="BU30" s="304"/>
      <c r="BV30" s="304"/>
      <c r="BW30" s="304">
        <v>50</v>
      </c>
      <c r="BX30" s="304"/>
      <c r="BY30" s="304"/>
      <c r="BZ30" s="304">
        <v>7247.7</v>
      </c>
      <c r="CA30" s="304"/>
      <c r="CB30" s="304"/>
      <c r="CC30" s="304"/>
      <c r="CD30" s="304"/>
      <c r="CE30" s="304">
        <v>9443.69</v>
      </c>
      <c r="CF30" s="304">
        <v>16698.129999999997</v>
      </c>
      <c r="CG30" s="304">
        <v>3800.4999999999995</v>
      </c>
      <c r="CH30" s="304"/>
      <c r="CI30" s="304"/>
      <c r="CJ30" s="304"/>
      <c r="CK30" s="304"/>
      <c r="CL30" s="304"/>
      <c r="CM30" s="304"/>
      <c r="CN30" s="304">
        <v>13357.5</v>
      </c>
      <c r="CO30" s="304">
        <v>7632.9500000000007</v>
      </c>
      <c r="CP30" s="304"/>
      <c r="CQ30" s="304"/>
      <c r="CR30" s="304"/>
      <c r="CS30" s="304"/>
      <c r="CT30" s="304">
        <v>23702.5</v>
      </c>
      <c r="CU30" s="304">
        <v>5683.84</v>
      </c>
      <c r="CV30" s="304"/>
      <c r="CW30" s="304">
        <v>46289.310000000005</v>
      </c>
      <c r="CX30" s="304">
        <v>2580.2899999999995</v>
      </c>
      <c r="CY30" s="304"/>
      <c r="CZ30" s="304"/>
      <c r="DA30" s="304"/>
      <c r="DB30" s="304"/>
      <c r="DC30" s="304">
        <v>283.68</v>
      </c>
      <c r="DD30" s="304"/>
      <c r="DE30" s="304">
        <v>1260.4899999999993</v>
      </c>
      <c r="DF30" s="304"/>
      <c r="DG30" s="304"/>
      <c r="DH30" s="304"/>
      <c r="DI30" s="304">
        <v>1890</v>
      </c>
      <c r="DJ30" s="304">
        <v>23.75</v>
      </c>
      <c r="DK30" s="304">
        <v>4062</v>
      </c>
      <c r="DL30" s="304">
        <v>25333.269999999997</v>
      </c>
      <c r="DM30" s="304">
        <v>253.73</v>
      </c>
      <c r="DN30" s="304"/>
      <c r="DO30" s="304">
        <v>4112.21</v>
      </c>
      <c r="DP30" s="304"/>
      <c r="DQ30" s="304">
        <v>14334.5</v>
      </c>
      <c r="DR30" s="304">
        <v>35091.99</v>
      </c>
      <c r="DS30" s="304"/>
      <c r="DT30" s="304">
        <v>75.2</v>
      </c>
      <c r="DU30" s="304">
        <v>1893.7099999999996</v>
      </c>
      <c r="DV30" s="426"/>
      <c r="DW30" s="304"/>
      <c r="DX30" s="304">
        <v>2510.7200000000003</v>
      </c>
      <c r="DY30" s="304">
        <v>484</v>
      </c>
      <c r="DZ30" s="304"/>
      <c r="EA30" s="304">
        <v>650</v>
      </c>
      <c r="EB30" s="304">
        <v>6430.8399999999992</v>
      </c>
      <c r="EC30" s="304">
        <v>295</v>
      </c>
      <c r="ED30" s="304">
        <v>2427.0500000000002</v>
      </c>
      <c r="EE30" s="304">
        <v>4829.29</v>
      </c>
      <c r="EF30" s="304"/>
      <c r="EG30" s="304"/>
      <c r="EH30" s="304"/>
      <c r="EI30" s="304">
        <v>114</v>
      </c>
      <c r="EJ30" s="304"/>
      <c r="EK30" s="304">
        <v>5976.81</v>
      </c>
      <c r="EL30" s="304">
        <v>579.5</v>
      </c>
      <c r="EM30" s="304">
        <v>211.60000000000002</v>
      </c>
      <c r="EN30" s="304">
        <v>26348.260000000002</v>
      </c>
      <c r="EO30" s="304"/>
      <c r="EP30" s="304"/>
      <c r="EQ30" s="304"/>
      <c r="ER30" s="304">
        <v>7.3699999999999992</v>
      </c>
      <c r="ES30" s="304">
        <v>-985547.9</v>
      </c>
      <c r="ET30" s="304"/>
      <c r="EU30" s="304">
        <v>-1020</v>
      </c>
      <c r="EV30" s="304">
        <v>-2000</v>
      </c>
      <c r="EW30" s="304">
        <v>-30450</v>
      </c>
      <c r="EX30" s="304">
        <v>-84000</v>
      </c>
      <c r="EY30" s="304"/>
      <c r="EZ30" s="304"/>
      <c r="FA30" s="304">
        <v>-4132.93</v>
      </c>
      <c r="FB30" s="304"/>
      <c r="FC30" s="304"/>
      <c r="FD30" s="304"/>
      <c r="FE30" s="304">
        <v>-5968.75</v>
      </c>
      <c r="FF30" s="304">
        <v>-39001</v>
      </c>
      <c r="FG30" s="304">
        <v>-16062</v>
      </c>
      <c r="FH30" s="304"/>
      <c r="FI30" s="304">
        <v>-159555.45000000001</v>
      </c>
      <c r="FJ30" s="304"/>
      <c r="FK30" s="304">
        <v>-101.5</v>
      </c>
      <c r="FL30" s="304"/>
      <c r="FM30" s="304"/>
      <c r="FN30" s="304">
        <v>-279080.3</v>
      </c>
      <c r="FO30" s="304">
        <v>3685.6099999999997</v>
      </c>
      <c r="FP30" s="304">
        <v>545.95000000000005</v>
      </c>
      <c r="FQ30" s="304">
        <v>-47</v>
      </c>
      <c r="FR30" s="304">
        <v>-10264</v>
      </c>
      <c r="FS30" s="304">
        <v>-20329</v>
      </c>
      <c r="FT30" s="304">
        <v>1439.75</v>
      </c>
      <c r="FU30" s="304">
        <v>6316</v>
      </c>
      <c r="FV30" s="304">
        <v>3157.77</v>
      </c>
      <c r="FW30" s="304">
        <v>3142.04</v>
      </c>
      <c r="FX30" s="304">
        <v>362</v>
      </c>
      <c r="FY30" s="304"/>
      <c r="FZ30" s="304">
        <v>47646.579999999994</v>
      </c>
      <c r="GA30" s="304">
        <v>85.100000000000023</v>
      </c>
      <c r="GB30" s="304">
        <v>9726.3300000000054</v>
      </c>
      <c r="GC30" s="304">
        <v>261</v>
      </c>
      <c r="GD30" s="304">
        <v>5112.45</v>
      </c>
      <c r="GE30" s="304">
        <v>3575.12</v>
      </c>
      <c r="GF30" s="304">
        <v>250</v>
      </c>
      <c r="GG30" s="304">
        <v>560</v>
      </c>
      <c r="GH30" s="304">
        <v>1419.49</v>
      </c>
      <c r="GI30" s="304">
        <v>644.6400000000001</v>
      </c>
      <c r="GJ30" s="304"/>
      <c r="GK30" s="304"/>
      <c r="GL30" s="304"/>
      <c r="GM30" s="304"/>
      <c r="GN30" s="304"/>
      <c r="GO30" s="304">
        <v>-1700</v>
      </c>
      <c r="GP30" s="304"/>
      <c r="GQ30" s="304"/>
      <c r="GR30" s="304">
        <v>-30</v>
      </c>
      <c r="GS30" s="304">
        <v>-20516.759999999995</v>
      </c>
      <c r="GT30" s="304"/>
      <c r="GU30" s="304"/>
      <c r="GV30" s="304">
        <v>-3795.5000000000009</v>
      </c>
      <c r="GW30" s="304">
        <v>-1232</v>
      </c>
      <c r="GX30" s="304">
        <v>95.289999999999992</v>
      </c>
      <c r="GY30" s="304">
        <v>-1751</v>
      </c>
      <c r="GZ30" s="304">
        <v>1278</v>
      </c>
      <c r="HA30" s="304">
        <v>-26955.040000000001</v>
      </c>
      <c r="HB30" s="304"/>
      <c r="HC30" s="304"/>
      <c r="HD30" s="304">
        <v>-10582.74</v>
      </c>
      <c r="HE30" s="304">
        <v>-2.67</v>
      </c>
      <c r="HF30" s="304"/>
      <c r="HG30" s="304">
        <v>-8059.13</v>
      </c>
    </row>
    <row r="31" spans="1:215">
      <c r="A31" s="116">
        <v>107782</v>
      </c>
      <c r="B31" s="304"/>
      <c r="C31" s="304">
        <v>336775.66000000003</v>
      </c>
      <c r="D31" s="304">
        <v>1740.9899999999989</v>
      </c>
      <c r="E31" s="304"/>
      <c r="F31" s="304">
        <v>99239.039999999994</v>
      </c>
      <c r="G31" s="304">
        <v>45549.289999999994</v>
      </c>
      <c r="H31" s="304">
        <v>10271.019999999999</v>
      </c>
      <c r="I31" s="304"/>
      <c r="J31" s="304">
        <v>2755.5699999999997</v>
      </c>
      <c r="K31" s="304">
        <v>939.87000000000012</v>
      </c>
      <c r="L31" s="304"/>
      <c r="M31" s="304"/>
      <c r="N31" s="304"/>
      <c r="O31" s="304"/>
      <c r="P31" s="304"/>
      <c r="Q31" s="304"/>
      <c r="R31" s="304"/>
      <c r="S31" s="304"/>
      <c r="T31" s="304"/>
      <c r="U31" s="304"/>
      <c r="V31" s="304">
        <v>20966.740000000002</v>
      </c>
      <c r="W31" s="304">
        <v>791.37999999999988</v>
      </c>
      <c r="X31" s="304">
        <v>944.53</v>
      </c>
      <c r="Y31" s="304">
        <v>5001.99</v>
      </c>
      <c r="Z31" s="304">
        <v>2362.6800000000003</v>
      </c>
      <c r="AA31" s="304">
        <v>23406.829999999998</v>
      </c>
      <c r="AB31" s="304">
        <v>897.91000000000008</v>
      </c>
      <c r="AC31" s="304">
        <v>498.66999999999996</v>
      </c>
      <c r="AD31" s="304">
        <v>4694.7</v>
      </c>
      <c r="AE31" s="304">
        <v>2421.36</v>
      </c>
      <c r="AF31" s="304"/>
      <c r="AG31" s="304"/>
      <c r="AH31" s="304"/>
      <c r="AI31" s="304"/>
      <c r="AJ31" s="304"/>
      <c r="AK31" s="304">
        <v>178475.02</v>
      </c>
      <c r="AL31" s="304">
        <v>2926.7799999999993</v>
      </c>
      <c r="AM31" s="304">
        <v>4408.3500000000004</v>
      </c>
      <c r="AN31" s="304">
        <v>47236.590000000004</v>
      </c>
      <c r="AO31" s="304">
        <v>19314.150000000001</v>
      </c>
      <c r="AP31" s="304">
        <v>37800.770000000004</v>
      </c>
      <c r="AQ31" s="304">
        <v>2.19</v>
      </c>
      <c r="AR31" s="304">
        <v>9733.42</v>
      </c>
      <c r="AS31" s="304">
        <v>12539.12</v>
      </c>
      <c r="AT31" s="304">
        <v>4722.9999999999991</v>
      </c>
      <c r="AU31" s="304"/>
      <c r="AV31" s="304"/>
      <c r="AW31" s="304"/>
      <c r="AX31" s="304">
        <v>46872.830000000009</v>
      </c>
      <c r="AY31" s="304">
        <v>31.9</v>
      </c>
      <c r="AZ31" s="304"/>
      <c r="BA31" s="304">
        <v>816.48</v>
      </c>
      <c r="BB31" s="304">
        <v>12382.629999999997</v>
      </c>
      <c r="BC31" s="304">
        <v>5008.4399999999996</v>
      </c>
      <c r="BD31" s="304">
        <v>4289.8900000000012</v>
      </c>
      <c r="BE31" s="304">
        <v>411.03</v>
      </c>
      <c r="BF31" s="304"/>
      <c r="BG31" s="304">
        <v>1241</v>
      </c>
      <c r="BH31" s="304">
        <v>570.94000000000005</v>
      </c>
      <c r="BI31" s="304">
        <v>12528.539999999999</v>
      </c>
      <c r="BJ31" s="304">
        <v>526.54</v>
      </c>
      <c r="BK31" s="304"/>
      <c r="BL31" s="304">
        <v>3446.42</v>
      </c>
      <c r="BM31" s="304">
        <v>1280.4200000000003</v>
      </c>
      <c r="BN31" s="304"/>
      <c r="BO31" s="304"/>
      <c r="BP31" s="304"/>
      <c r="BQ31" s="304"/>
      <c r="BR31" s="304"/>
      <c r="BS31" s="304"/>
      <c r="BT31" s="304"/>
      <c r="BU31" s="304"/>
      <c r="BV31" s="304"/>
      <c r="BW31" s="304"/>
      <c r="BX31" s="304"/>
      <c r="BY31" s="304"/>
      <c r="BZ31" s="304">
        <v>2445.33</v>
      </c>
      <c r="CA31" s="304"/>
      <c r="CB31" s="304"/>
      <c r="CC31" s="304"/>
      <c r="CD31" s="304"/>
      <c r="CE31" s="304"/>
      <c r="CF31" s="304">
        <v>8570.2300000000014</v>
      </c>
      <c r="CG31" s="304">
        <v>2961.9099999999989</v>
      </c>
      <c r="CH31" s="304">
        <v>41784.910000000003</v>
      </c>
      <c r="CI31" s="304"/>
      <c r="CJ31" s="304"/>
      <c r="CK31" s="304">
        <v>4153</v>
      </c>
      <c r="CL31" s="304">
        <v>1682.66</v>
      </c>
      <c r="CM31" s="304">
        <v>660</v>
      </c>
      <c r="CN31" s="304">
        <v>6838.6100000000006</v>
      </c>
      <c r="CO31" s="304">
        <v>2895.31</v>
      </c>
      <c r="CP31" s="304"/>
      <c r="CQ31" s="304"/>
      <c r="CR31" s="304"/>
      <c r="CS31" s="304">
        <v>401</v>
      </c>
      <c r="CT31" s="304">
        <v>10229.5</v>
      </c>
      <c r="CU31" s="304">
        <v>420.6</v>
      </c>
      <c r="CV31" s="304">
        <v>323.36</v>
      </c>
      <c r="CW31" s="304">
        <v>3076.5899999999992</v>
      </c>
      <c r="CX31" s="304">
        <v>914.74000000000024</v>
      </c>
      <c r="CY31" s="304"/>
      <c r="CZ31" s="304"/>
      <c r="DA31" s="304"/>
      <c r="DB31" s="304">
        <v>4030</v>
      </c>
      <c r="DC31" s="304">
        <v>182.45999999999998</v>
      </c>
      <c r="DD31" s="304"/>
      <c r="DE31" s="304">
        <v>197.93</v>
      </c>
      <c r="DF31" s="304"/>
      <c r="DG31" s="304"/>
      <c r="DH31" s="304"/>
      <c r="DI31" s="304"/>
      <c r="DJ31" s="304"/>
      <c r="DK31" s="304">
        <v>3482</v>
      </c>
      <c r="DL31" s="304">
        <v>12088.999999999995</v>
      </c>
      <c r="DM31" s="304">
        <v>101.19</v>
      </c>
      <c r="DN31" s="304"/>
      <c r="DO31" s="304">
        <v>83.33</v>
      </c>
      <c r="DP31" s="304">
        <v>5883.9699999999993</v>
      </c>
      <c r="DQ31" s="304">
        <v>300</v>
      </c>
      <c r="DR31" s="304">
        <v>16044.580000000002</v>
      </c>
      <c r="DS31" s="304"/>
      <c r="DT31" s="304">
        <v>20.88</v>
      </c>
      <c r="DU31" s="304">
        <v>767.46000000000015</v>
      </c>
      <c r="DV31" s="426"/>
      <c r="DW31" s="304"/>
      <c r="DX31" s="304">
        <v>3165.48</v>
      </c>
      <c r="DY31" s="304">
        <v>900</v>
      </c>
      <c r="DZ31" s="304"/>
      <c r="EA31" s="304">
        <v>3595.45</v>
      </c>
      <c r="EB31" s="304">
        <v>3360.12</v>
      </c>
      <c r="EC31" s="304"/>
      <c r="ED31" s="304">
        <v>78.459999999999994</v>
      </c>
      <c r="EE31" s="304">
        <v>625</v>
      </c>
      <c r="EF31" s="304"/>
      <c r="EG31" s="304"/>
      <c r="EH31" s="304"/>
      <c r="EI31" s="304"/>
      <c r="EJ31" s="304">
        <v>638</v>
      </c>
      <c r="EK31" s="304">
        <v>4641.21</v>
      </c>
      <c r="EL31" s="304">
        <v>20</v>
      </c>
      <c r="EM31" s="304">
        <v>2799.1600000000003</v>
      </c>
      <c r="EN31" s="304">
        <v>9206.0300000000007</v>
      </c>
      <c r="EO31" s="304"/>
      <c r="EP31" s="304">
        <v>1235.8100000000004</v>
      </c>
      <c r="EQ31" s="304">
        <v>34371.4</v>
      </c>
      <c r="ER31" s="304">
        <v>7.7099999999999991</v>
      </c>
      <c r="ES31" s="304">
        <v>-801920.43</v>
      </c>
      <c r="ET31" s="304"/>
      <c r="EU31" s="304"/>
      <c r="EV31" s="304">
        <v>-8000</v>
      </c>
      <c r="EW31" s="304">
        <v>-49860</v>
      </c>
      <c r="EX31" s="304"/>
      <c r="EY31" s="304"/>
      <c r="EZ31" s="304"/>
      <c r="FA31" s="304">
        <v>-876</v>
      </c>
      <c r="FB31" s="304"/>
      <c r="FC31" s="304"/>
      <c r="FD31" s="304">
        <v>-63228.720000000008</v>
      </c>
      <c r="FE31" s="304">
        <v>-5473.75</v>
      </c>
      <c r="FF31" s="304">
        <v>-21413</v>
      </c>
      <c r="FG31" s="304">
        <v>-15729</v>
      </c>
      <c r="FH31" s="304"/>
      <c r="FI31" s="304">
        <v>-157384.18</v>
      </c>
      <c r="FJ31" s="304"/>
      <c r="FK31" s="304">
        <v>-16160.16</v>
      </c>
      <c r="FL31" s="304"/>
      <c r="FM31" s="304">
        <v>-23547.87</v>
      </c>
      <c r="FN31" s="304">
        <v>-156575</v>
      </c>
      <c r="FO31" s="304">
        <v>2862.01</v>
      </c>
      <c r="FP31" s="304">
        <v>423.95</v>
      </c>
      <c r="FQ31" s="304">
        <v>-8887.83</v>
      </c>
      <c r="FR31" s="304">
        <v>-7466</v>
      </c>
      <c r="FS31" s="304">
        <v>-15216</v>
      </c>
      <c r="FT31" s="304">
        <v>118.75</v>
      </c>
      <c r="FU31" s="304"/>
      <c r="FV31" s="304"/>
      <c r="FW31" s="304">
        <v>1384.2</v>
      </c>
      <c r="FX31" s="304">
        <v>587.37</v>
      </c>
      <c r="FY31" s="304"/>
      <c r="FZ31" s="304"/>
      <c r="GA31" s="304">
        <v>162</v>
      </c>
      <c r="GB31" s="304">
        <v>5791.1800000000021</v>
      </c>
      <c r="GC31" s="304"/>
      <c r="GD31" s="304">
        <v>4079.1800000000003</v>
      </c>
      <c r="GE31" s="304">
        <v>2861.4300000000003</v>
      </c>
      <c r="GF31" s="304">
        <v>1459.5</v>
      </c>
      <c r="GG31" s="304">
        <v>925</v>
      </c>
      <c r="GH31" s="304">
        <v>961.09</v>
      </c>
      <c r="GI31" s="304">
        <v>1022.2499999999997</v>
      </c>
      <c r="GJ31" s="304"/>
      <c r="GK31" s="304"/>
      <c r="GL31" s="304"/>
      <c r="GM31" s="304"/>
      <c r="GN31" s="304"/>
      <c r="GO31" s="304">
        <v>-590</v>
      </c>
      <c r="GP31" s="304"/>
      <c r="GQ31" s="304"/>
      <c r="GR31" s="304">
        <v>-43155.61</v>
      </c>
      <c r="GS31" s="304">
        <v>-9196.1599999999962</v>
      </c>
      <c r="GT31" s="304"/>
      <c r="GU31" s="304"/>
      <c r="GV31" s="304">
        <v>-891.54999999999984</v>
      </c>
      <c r="GW31" s="304"/>
      <c r="GX31" s="304">
        <v>-12383.079999999996</v>
      </c>
      <c r="GY31" s="304"/>
      <c r="GZ31" s="304"/>
      <c r="HA31" s="304">
        <v>-23865.349999999995</v>
      </c>
      <c r="HB31" s="304"/>
      <c r="HC31" s="304"/>
      <c r="HD31" s="304">
        <v>0</v>
      </c>
      <c r="HE31" s="304">
        <v>-9809.2999999999993</v>
      </c>
      <c r="HF31" s="304"/>
      <c r="HG31" s="304">
        <v>-7697.65</v>
      </c>
    </row>
    <row r="32" spans="1:215">
      <c r="A32" s="116">
        <v>107784</v>
      </c>
      <c r="B32" s="304"/>
      <c r="C32" s="304">
        <v>190938.27000000005</v>
      </c>
      <c r="D32" s="304">
        <v>899.58</v>
      </c>
      <c r="E32" s="304">
        <v>6995.6600000000008</v>
      </c>
      <c r="F32" s="304">
        <v>38365.530000000006</v>
      </c>
      <c r="G32" s="304">
        <v>17518.48</v>
      </c>
      <c r="H32" s="304">
        <v>6755.09</v>
      </c>
      <c r="I32" s="304"/>
      <c r="J32" s="304">
        <v>1937.3600000000004</v>
      </c>
      <c r="K32" s="304">
        <v>452.77000000000004</v>
      </c>
      <c r="L32" s="304"/>
      <c r="M32" s="304"/>
      <c r="N32" s="304"/>
      <c r="O32" s="304"/>
      <c r="P32" s="304"/>
      <c r="Q32" s="304"/>
      <c r="R32" s="304"/>
      <c r="S32" s="304"/>
      <c r="T32" s="304"/>
      <c r="U32" s="304"/>
      <c r="V32" s="304">
        <v>3386.6699999999992</v>
      </c>
      <c r="W32" s="304">
        <v>92.1</v>
      </c>
      <c r="X32" s="304"/>
      <c r="Y32" s="304">
        <v>904.35</v>
      </c>
      <c r="Z32" s="304">
        <v>385.81</v>
      </c>
      <c r="AA32" s="304">
        <v>7807.14</v>
      </c>
      <c r="AB32" s="304">
        <v>2953.9199999999992</v>
      </c>
      <c r="AC32" s="304">
        <v>1869.25</v>
      </c>
      <c r="AD32" s="304">
        <v>2480.7200000000003</v>
      </c>
      <c r="AE32" s="304">
        <v>676.24</v>
      </c>
      <c r="AF32" s="304"/>
      <c r="AG32" s="304"/>
      <c r="AH32" s="304"/>
      <c r="AI32" s="304"/>
      <c r="AJ32" s="304"/>
      <c r="AK32" s="304">
        <v>102547.65999999997</v>
      </c>
      <c r="AL32" s="304">
        <v>817.0200000000001</v>
      </c>
      <c r="AM32" s="304">
        <v>2990.2599999999998</v>
      </c>
      <c r="AN32" s="304">
        <v>27509.32</v>
      </c>
      <c r="AO32" s="304">
        <v>11139.78</v>
      </c>
      <c r="AP32" s="304"/>
      <c r="AQ32" s="304"/>
      <c r="AR32" s="304"/>
      <c r="AS32" s="304"/>
      <c r="AT32" s="304"/>
      <c r="AU32" s="304"/>
      <c r="AV32" s="304"/>
      <c r="AW32" s="304"/>
      <c r="AX32" s="304">
        <v>20111.7</v>
      </c>
      <c r="AY32" s="304">
        <v>56.34</v>
      </c>
      <c r="AZ32" s="304">
        <v>742.75</v>
      </c>
      <c r="BA32" s="304"/>
      <c r="BB32" s="304">
        <v>5509.1599999999989</v>
      </c>
      <c r="BC32" s="304">
        <v>1507.4400000000003</v>
      </c>
      <c r="BD32" s="304"/>
      <c r="BE32" s="304"/>
      <c r="BF32" s="304"/>
      <c r="BG32" s="304"/>
      <c r="BH32" s="304"/>
      <c r="BI32" s="304">
        <v>7805.12</v>
      </c>
      <c r="BJ32" s="304">
        <v>9275.4</v>
      </c>
      <c r="BK32" s="304"/>
      <c r="BL32" s="304">
        <v>3782.37</v>
      </c>
      <c r="BM32" s="304">
        <v>1367.3700000000001</v>
      </c>
      <c r="BN32" s="304"/>
      <c r="BO32" s="304"/>
      <c r="BP32" s="304"/>
      <c r="BQ32" s="304"/>
      <c r="BR32" s="304"/>
      <c r="BS32" s="304"/>
      <c r="BT32" s="304"/>
      <c r="BU32" s="304"/>
      <c r="BV32" s="304"/>
      <c r="BW32" s="304"/>
      <c r="BX32" s="304"/>
      <c r="BY32" s="304"/>
      <c r="BZ32" s="304">
        <v>2631.03</v>
      </c>
      <c r="CA32" s="304"/>
      <c r="CB32" s="304"/>
      <c r="CC32" s="304"/>
      <c r="CD32" s="304"/>
      <c r="CE32" s="304"/>
      <c r="CF32" s="304">
        <v>2528.0600000000022</v>
      </c>
      <c r="CG32" s="304">
        <v>3804.55</v>
      </c>
      <c r="CH32" s="304">
        <v>14977</v>
      </c>
      <c r="CI32" s="304"/>
      <c r="CJ32" s="304"/>
      <c r="CK32" s="304"/>
      <c r="CL32" s="304"/>
      <c r="CM32" s="304"/>
      <c r="CN32" s="304">
        <v>5640.7399999999989</v>
      </c>
      <c r="CO32" s="304"/>
      <c r="CP32" s="304">
        <v>2445.42</v>
      </c>
      <c r="CQ32" s="304"/>
      <c r="CR32" s="304"/>
      <c r="CS32" s="304"/>
      <c r="CT32" s="304">
        <v>8882.5</v>
      </c>
      <c r="CU32" s="304">
        <v>1394.79</v>
      </c>
      <c r="CV32" s="304"/>
      <c r="CW32" s="304"/>
      <c r="CX32" s="304"/>
      <c r="CY32" s="304"/>
      <c r="CZ32" s="304"/>
      <c r="DA32" s="304"/>
      <c r="DB32" s="304"/>
      <c r="DC32" s="304">
        <v>28.1</v>
      </c>
      <c r="DD32" s="304"/>
      <c r="DE32" s="304">
        <v>91.04</v>
      </c>
      <c r="DF32" s="304"/>
      <c r="DG32" s="304"/>
      <c r="DH32" s="304"/>
      <c r="DI32" s="304"/>
      <c r="DJ32" s="304"/>
      <c r="DK32" s="304">
        <v>1465</v>
      </c>
      <c r="DL32" s="304">
        <v>18740.910000000022</v>
      </c>
      <c r="DM32" s="304"/>
      <c r="DN32" s="304"/>
      <c r="DO32" s="304">
        <v>235.37</v>
      </c>
      <c r="DP32" s="304">
        <v>2952.6100000000006</v>
      </c>
      <c r="DQ32" s="304"/>
      <c r="DR32" s="304">
        <v>18076.099999999999</v>
      </c>
      <c r="DS32" s="304"/>
      <c r="DT32" s="304">
        <v>4.2</v>
      </c>
      <c r="DU32" s="304">
        <v>1151.79</v>
      </c>
      <c r="DV32" s="426"/>
      <c r="DW32" s="304"/>
      <c r="DX32" s="304">
        <v>4754.12</v>
      </c>
      <c r="DY32" s="304"/>
      <c r="DZ32" s="304"/>
      <c r="EA32" s="304">
        <v>0</v>
      </c>
      <c r="EB32" s="304">
        <v>4058.9400000000005</v>
      </c>
      <c r="EC32" s="304">
        <v>1839.99</v>
      </c>
      <c r="ED32" s="304">
        <v>712.9</v>
      </c>
      <c r="EE32" s="304">
        <v>140</v>
      </c>
      <c r="EF32" s="304"/>
      <c r="EG32" s="304"/>
      <c r="EH32" s="304"/>
      <c r="EI32" s="304"/>
      <c r="EJ32" s="304">
        <v>1000</v>
      </c>
      <c r="EK32" s="304">
        <v>1368.99</v>
      </c>
      <c r="EL32" s="304">
        <v>204.5</v>
      </c>
      <c r="EM32" s="304"/>
      <c r="EN32" s="304">
        <v>5943.46</v>
      </c>
      <c r="EO32" s="304"/>
      <c r="EP32" s="304"/>
      <c r="EQ32" s="304"/>
      <c r="ER32" s="304"/>
      <c r="ES32" s="304">
        <v>-410791.61</v>
      </c>
      <c r="ET32" s="304"/>
      <c r="EU32" s="304"/>
      <c r="EV32" s="304"/>
      <c r="EW32" s="304">
        <v>-13235</v>
      </c>
      <c r="EX32" s="304"/>
      <c r="EY32" s="304"/>
      <c r="EZ32" s="304"/>
      <c r="FA32" s="304">
        <v>-1513.9299999999998</v>
      </c>
      <c r="FB32" s="304"/>
      <c r="FC32" s="304"/>
      <c r="FD32" s="304">
        <v>-11266.800000000003</v>
      </c>
      <c r="FE32" s="304">
        <v>-4630</v>
      </c>
      <c r="FF32" s="304">
        <v>-3809</v>
      </c>
      <c r="FG32" s="304">
        <v>-15040</v>
      </c>
      <c r="FH32" s="304"/>
      <c r="FI32" s="304">
        <v>-67010.740000000005</v>
      </c>
      <c r="FJ32" s="304"/>
      <c r="FK32" s="304">
        <v>-14446.21</v>
      </c>
      <c r="FL32" s="304"/>
      <c r="FM32" s="304">
        <v>-1700.58</v>
      </c>
      <c r="FN32" s="304">
        <v>-96128</v>
      </c>
      <c r="FO32" s="304">
        <v>844.19</v>
      </c>
      <c r="FP32" s="304">
        <v>125.05</v>
      </c>
      <c r="FQ32" s="304">
        <v>-2209.14</v>
      </c>
      <c r="FR32" s="304">
        <v>-3183</v>
      </c>
      <c r="FS32" s="304">
        <v>-6163</v>
      </c>
      <c r="FT32" s="304">
        <v>63.75</v>
      </c>
      <c r="FU32" s="304"/>
      <c r="FV32" s="304"/>
      <c r="FW32" s="304">
        <v>1174.44</v>
      </c>
      <c r="FX32" s="304">
        <v>1500.0799999999995</v>
      </c>
      <c r="FY32" s="304"/>
      <c r="FZ32" s="304">
        <v>7934.69</v>
      </c>
      <c r="GA32" s="304">
        <v>1232.5</v>
      </c>
      <c r="GB32" s="304">
        <v>4502.1900000000005</v>
      </c>
      <c r="GC32" s="304">
        <v>261</v>
      </c>
      <c r="GD32" s="304">
        <v>2895.8599999999997</v>
      </c>
      <c r="GE32" s="304">
        <v>1787.56</v>
      </c>
      <c r="GF32" s="304">
        <v>3290</v>
      </c>
      <c r="GG32" s="304">
        <v>945</v>
      </c>
      <c r="GH32" s="304">
        <v>734.71</v>
      </c>
      <c r="GI32" s="304">
        <v>1185.3300000000002</v>
      </c>
      <c r="GJ32" s="304"/>
      <c r="GK32" s="304"/>
      <c r="GL32" s="304"/>
      <c r="GM32" s="304"/>
      <c r="GN32" s="304"/>
      <c r="GO32" s="304"/>
      <c r="GP32" s="304"/>
      <c r="GQ32" s="304"/>
      <c r="GR32" s="304">
        <v>-78.75</v>
      </c>
      <c r="GS32" s="304">
        <v>-1951.5100000000004</v>
      </c>
      <c r="GT32" s="304"/>
      <c r="GU32" s="304"/>
      <c r="GV32" s="304"/>
      <c r="GW32" s="304"/>
      <c r="GX32" s="304"/>
      <c r="GY32" s="304"/>
      <c r="GZ32" s="304"/>
      <c r="HA32" s="304">
        <v>-1303.8999999999999</v>
      </c>
      <c r="HB32" s="304"/>
      <c r="HC32" s="304"/>
      <c r="HD32" s="304">
        <v>-900</v>
      </c>
      <c r="HE32" s="304">
        <v>-32.06</v>
      </c>
      <c r="HF32" s="304"/>
      <c r="HG32" s="304">
        <v>-3621.43</v>
      </c>
    </row>
    <row r="33" spans="1:215">
      <c r="A33" s="116">
        <v>107786</v>
      </c>
      <c r="B33" s="304"/>
      <c r="C33" s="304">
        <v>543631.73</v>
      </c>
      <c r="D33" s="304">
        <v>2051.37</v>
      </c>
      <c r="E33" s="304">
        <v>195</v>
      </c>
      <c r="F33" s="304">
        <v>158679.26999999999</v>
      </c>
      <c r="G33" s="304">
        <v>71943.409999999989</v>
      </c>
      <c r="H33" s="304">
        <v>2250.46</v>
      </c>
      <c r="I33" s="304"/>
      <c r="J33" s="304">
        <v>645.44999999999993</v>
      </c>
      <c r="K33" s="304">
        <v>148.07</v>
      </c>
      <c r="L33" s="304"/>
      <c r="M33" s="304"/>
      <c r="N33" s="304"/>
      <c r="O33" s="304"/>
      <c r="P33" s="304"/>
      <c r="Q33" s="304"/>
      <c r="R33" s="304"/>
      <c r="S33" s="304"/>
      <c r="T33" s="304"/>
      <c r="U33" s="304"/>
      <c r="V33" s="304">
        <v>29508.540000000005</v>
      </c>
      <c r="W33" s="304">
        <v>4858.1799999999994</v>
      </c>
      <c r="X33" s="304">
        <v>484.95000000000005</v>
      </c>
      <c r="Y33" s="304">
        <v>8226.56</v>
      </c>
      <c r="Z33" s="304">
        <v>4231.49</v>
      </c>
      <c r="AA33" s="304">
        <v>29930.960000000003</v>
      </c>
      <c r="AB33" s="304">
        <v>2171.1299999999997</v>
      </c>
      <c r="AC33" s="304">
        <v>189.36999999999998</v>
      </c>
      <c r="AD33" s="304">
        <v>8595.7899999999991</v>
      </c>
      <c r="AE33" s="304">
        <v>2422.15</v>
      </c>
      <c r="AF33" s="304"/>
      <c r="AG33" s="304"/>
      <c r="AH33" s="304"/>
      <c r="AI33" s="304"/>
      <c r="AJ33" s="304"/>
      <c r="AK33" s="304">
        <v>245798.73</v>
      </c>
      <c r="AL33" s="304">
        <v>13180.55</v>
      </c>
      <c r="AM33" s="304">
        <v>2559.1400000000003</v>
      </c>
      <c r="AN33" s="304">
        <v>70105.31</v>
      </c>
      <c r="AO33" s="304">
        <v>28003.809999999994</v>
      </c>
      <c r="AP33" s="304"/>
      <c r="AQ33" s="304"/>
      <c r="AR33" s="304"/>
      <c r="AS33" s="304"/>
      <c r="AT33" s="304"/>
      <c r="AU33" s="304"/>
      <c r="AV33" s="304"/>
      <c r="AW33" s="304"/>
      <c r="AX33" s="304">
        <v>66591.26999999999</v>
      </c>
      <c r="AY33" s="304">
        <v>532.29000000000008</v>
      </c>
      <c r="AZ33" s="304"/>
      <c r="BA33" s="304"/>
      <c r="BB33" s="304">
        <v>17720.509999999995</v>
      </c>
      <c r="BC33" s="304">
        <v>7816.6900000000014</v>
      </c>
      <c r="BD33" s="304"/>
      <c r="BE33" s="304"/>
      <c r="BF33" s="304"/>
      <c r="BG33" s="304"/>
      <c r="BH33" s="304"/>
      <c r="BI33" s="304">
        <v>18914.03</v>
      </c>
      <c r="BJ33" s="304">
        <v>429.04999999999995</v>
      </c>
      <c r="BK33" s="304"/>
      <c r="BL33" s="304">
        <v>5106.4999999999991</v>
      </c>
      <c r="BM33" s="304">
        <v>2150.87</v>
      </c>
      <c r="BN33" s="304"/>
      <c r="BO33" s="304"/>
      <c r="BP33" s="304"/>
      <c r="BQ33" s="304"/>
      <c r="BR33" s="304"/>
      <c r="BS33" s="304"/>
      <c r="BT33" s="304"/>
      <c r="BU33" s="304"/>
      <c r="BV33" s="304"/>
      <c r="BW33" s="304"/>
      <c r="BX33" s="304"/>
      <c r="BY33" s="304"/>
      <c r="BZ33" s="304">
        <v>2238</v>
      </c>
      <c r="CA33" s="304"/>
      <c r="CB33" s="304"/>
      <c r="CC33" s="304"/>
      <c r="CD33" s="304"/>
      <c r="CE33" s="304"/>
      <c r="CF33" s="304">
        <v>9620.7699999999968</v>
      </c>
      <c r="CG33" s="304">
        <v>1172.69</v>
      </c>
      <c r="CH33" s="304">
        <v>9199</v>
      </c>
      <c r="CI33" s="304"/>
      <c r="CJ33" s="304"/>
      <c r="CK33" s="304"/>
      <c r="CL33" s="304">
        <v>2250</v>
      </c>
      <c r="CM33" s="304"/>
      <c r="CN33" s="304">
        <v>10265.880000000001</v>
      </c>
      <c r="CO33" s="304">
        <v>14037.710000000001</v>
      </c>
      <c r="CP33" s="304"/>
      <c r="CQ33" s="304"/>
      <c r="CR33" s="304"/>
      <c r="CS33" s="304"/>
      <c r="CT33" s="304">
        <v>24326.25</v>
      </c>
      <c r="CU33" s="304">
        <v>3607.7599999999998</v>
      </c>
      <c r="CV33" s="304"/>
      <c r="CW33" s="304">
        <v>37543.07</v>
      </c>
      <c r="CX33" s="304">
        <v>3707.46</v>
      </c>
      <c r="CY33" s="304"/>
      <c r="CZ33" s="304">
        <v>166.72000000000003</v>
      </c>
      <c r="DA33" s="304"/>
      <c r="DB33" s="304">
        <v>2095</v>
      </c>
      <c r="DC33" s="304">
        <v>89.940000000000055</v>
      </c>
      <c r="DD33" s="304"/>
      <c r="DE33" s="304">
        <v>5.99</v>
      </c>
      <c r="DF33" s="304"/>
      <c r="DG33" s="304"/>
      <c r="DH33" s="304"/>
      <c r="DI33" s="304"/>
      <c r="DJ33" s="304"/>
      <c r="DK33" s="304">
        <v>4859</v>
      </c>
      <c r="DL33" s="304">
        <v>9692.83</v>
      </c>
      <c r="DM33" s="304">
        <v>574.72</v>
      </c>
      <c r="DN33" s="304"/>
      <c r="DO33" s="304">
        <v>1257.98</v>
      </c>
      <c r="DP33" s="304">
        <v>4505.03</v>
      </c>
      <c r="DQ33" s="304">
        <v>15479.119999999999</v>
      </c>
      <c r="DR33" s="304">
        <v>1090</v>
      </c>
      <c r="DS33" s="304"/>
      <c r="DT33" s="304">
        <v>0.99</v>
      </c>
      <c r="DU33" s="304">
        <v>1280.96</v>
      </c>
      <c r="DV33" s="426">
        <v>0</v>
      </c>
      <c r="DW33" s="304"/>
      <c r="DX33" s="304">
        <v>2307.0000000000005</v>
      </c>
      <c r="DY33" s="304"/>
      <c r="DZ33" s="304"/>
      <c r="EA33" s="304">
        <v>15499.07</v>
      </c>
      <c r="EB33" s="304">
        <v>8258.16</v>
      </c>
      <c r="EC33" s="304"/>
      <c r="ED33" s="304">
        <v>49.99</v>
      </c>
      <c r="EE33" s="304">
        <v>93.44</v>
      </c>
      <c r="EF33" s="304"/>
      <c r="EG33" s="304"/>
      <c r="EH33" s="304"/>
      <c r="EI33" s="304"/>
      <c r="EJ33" s="304">
        <v>9989.52</v>
      </c>
      <c r="EK33" s="304">
        <v>7512.75</v>
      </c>
      <c r="EL33" s="304">
        <v>585</v>
      </c>
      <c r="EM33" s="304">
        <v>-900.62000000000012</v>
      </c>
      <c r="EN33" s="304">
        <v>25499.99</v>
      </c>
      <c r="EO33" s="304"/>
      <c r="EP33" s="304"/>
      <c r="EQ33" s="304"/>
      <c r="ER33" s="304"/>
      <c r="ES33" s="304">
        <v>-1177939.29</v>
      </c>
      <c r="ET33" s="304"/>
      <c r="EU33" s="304"/>
      <c r="EV33" s="304">
        <v>-3000</v>
      </c>
      <c r="EW33" s="304">
        <v>-71441</v>
      </c>
      <c r="EX33" s="304"/>
      <c r="EY33" s="304">
        <v>113.28</v>
      </c>
      <c r="EZ33" s="304"/>
      <c r="FA33" s="304">
        <v>-1752</v>
      </c>
      <c r="FB33" s="304"/>
      <c r="FC33" s="304"/>
      <c r="FD33" s="304"/>
      <c r="FE33" s="304">
        <v>-6621.25</v>
      </c>
      <c r="FF33" s="304">
        <v>-36212</v>
      </c>
      <c r="FG33" s="304">
        <v>-16520</v>
      </c>
      <c r="FH33" s="304"/>
      <c r="FI33" s="304">
        <v>477547.99</v>
      </c>
      <c r="FJ33" s="304"/>
      <c r="FK33" s="304">
        <v>-7398.48</v>
      </c>
      <c r="FL33" s="304"/>
      <c r="FM33" s="304"/>
      <c r="FN33" s="304">
        <v>-120688</v>
      </c>
      <c r="FO33" s="304">
        <v>4632.75</v>
      </c>
      <c r="FP33" s="304">
        <v>686.25</v>
      </c>
      <c r="FQ33" s="304">
        <v>-12020.68</v>
      </c>
      <c r="FR33" s="304">
        <v>-10704</v>
      </c>
      <c r="FS33" s="304">
        <v>-22043</v>
      </c>
      <c r="FT33" s="304">
        <v>778</v>
      </c>
      <c r="FU33" s="304"/>
      <c r="FV33" s="304"/>
      <c r="FW33" s="304">
        <v>1694.28</v>
      </c>
      <c r="FX33" s="304">
        <v>712</v>
      </c>
      <c r="FY33" s="304"/>
      <c r="FZ33" s="304">
        <v>49472.56</v>
      </c>
      <c r="GA33" s="304">
        <v>806</v>
      </c>
      <c r="GB33" s="304">
        <v>4272.1200000000008</v>
      </c>
      <c r="GC33" s="304"/>
      <c r="GD33" s="304">
        <v>4284.42</v>
      </c>
      <c r="GE33" s="304">
        <v>3981.9900000000002</v>
      </c>
      <c r="GF33" s="304">
        <v>2362.5</v>
      </c>
      <c r="GG33" s="304">
        <v>560</v>
      </c>
      <c r="GH33" s="304">
        <v>1159.75</v>
      </c>
      <c r="GI33" s="304"/>
      <c r="GJ33" s="304"/>
      <c r="GK33" s="304">
        <v>2250</v>
      </c>
      <c r="GL33" s="304">
        <v>-2250</v>
      </c>
      <c r="GM33" s="304"/>
      <c r="GN33" s="304"/>
      <c r="GO33" s="304"/>
      <c r="GP33" s="304"/>
      <c r="GQ33" s="304"/>
      <c r="GR33" s="304">
        <v>-17946.060000000001</v>
      </c>
      <c r="GS33" s="304">
        <v>-26260.170000000002</v>
      </c>
      <c r="GT33" s="304"/>
      <c r="GU33" s="304"/>
      <c r="GV33" s="304"/>
      <c r="GW33" s="304"/>
      <c r="GX33" s="304">
        <v>-3356.46</v>
      </c>
      <c r="GY33" s="304">
        <v>-270</v>
      </c>
      <c r="GZ33" s="304">
        <v>-555</v>
      </c>
      <c r="HA33" s="304">
        <v>-48983.190000000017</v>
      </c>
      <c r="HB33" s="304"/>
      <c r="HC33" s="304"/>
      <c r="HD33" s="304">
        <v>-2524.19</v>
      </c>
      <c r="HE33" s="304"/>
      <c r="HF33" s="304"/>
      <c r="HG33" s="304"/>
    </row>
    <row r="34" spans="1:215">
      <c r="A34" s="116">
        <v>107787</v>
      </c>
      <c r="B34" s="304"/>
      <c r="C34" s="304">
        <v>198081.24000000002</v>
      </c>
      <c r="D34" s="304">
        <v>410.17</v>
      </c>
      <c r="E34" s="304"/>
      <c r="F34" s="304">
        <v>56927.340000000004</v>
      </c>
      <c r="G34" s="304">
        <v>26085.100000000002</v>
      </c>
      <c r="H34" s="304">
        <v>4129.5</v>
      </c>
      <c r="I34" s="304"/>
      <c r="J34" s="304">
        <v>1184.3399999999999</v>
      </c>
      <c r="K34" s="304">
        <v>396.42999999999995</v>
      </c>
      <c r="L34" s="304"/>
      <c r="M34" s="304"/>
      <c r="N34" s="304"/>
      <c r="O34" s="304"/>
      <c r="P34" s="304"/>
      <c r="Q34" s="304"/>
      <c r="R34" s="304"/>
      <c r="S34" s="304"/>
      <c r="T34" s="304"/>
      <c r="U34" s="304"/>
      <c r="V34" s="304">
        <v>8025.6600000000026</v>
      </c>
      <c r="W34" s="304">
        <v>217.16</v>
      </c>
      <c r="X34" s="304"/>
      <c r="Y34" s="304">
        <v>1674.1799999999998</v>
      </c>
      <c r="Z34" s="304">
        <v>710.63000000000011</v>
      </c>
      <c r="AA34" s="304">
        <v>4020.69</v>
      </c>
      <c r="AB34" s="304">
        <v>13.620000000000001</v>
      </c>
      <c r="AC34" s="304">
        <v>122.09</v>
      </c>
      <c r="AD34" s="304">
        <v>2139.92</v>
      </c>
      <c r="AE34" s="304">
        <v>232.45</v>
      </c>
      <c r="AF34" s="304"/>
      <c r="AG34" s="304"/>
      <c r="AH34" s="304"/>
      <c r="AI34" s="304"/>
      <c r="AJ34" s="304"/>
      <c r="AK34" s="304">
        <v>42331.12999999999</v>
      </c>
      <c r="AL34" s="304">
        <v>595.32999999999993</v>
      </c>
      <c r="AM34" s="304">
        <v>3272.7400000000002</v>
      </c>
      <c r="AN34" s="304">
        <v>15003.73</v>
      </c>
      <c r="AO34" s="304">
        <v>4861.0200000000004</v>
      </c>
      <c r="AP34" s="304"/>
      <c r="AQ34" s="304"/>
      <c r="AR34" s="304"/>
      <c r="AS34" s="304"/>
      <c r="AT34" s="304"/>
      <c r="AU34" s="304"/>
      <c r="AV34" s="304"/>
      <c r="AW34" s="304"/>
      <c r="AX34" s="304">
        <v>11345.21</v>
      </c>
      <c r="AY34" s="304"/>
      <c r="AZ34" s="304">
        <v>2930.0699999999997</v>
      </c>
      <c r="BA34" s="304"/>
      <c r="BB34" s="304">
        <v>3768.5399999999995</v>
      </c>
      <c r="BC34" s="304">
        <v>1390.68</v>
      </c>
      <c r="BD34" s="304"/>
      <c r="BE34" s="304"/>
      <c r="BF34" s="304"/>
      <c r="BG34" s="304"/>
      <c r="BH34" s="304"/>
      <c r="BI34" s="304"/>
      <c r="BJ34" s="304"/>
      <c r="BK34" s="304"/>
      <c r="BL34" s="304"/>
      <c r="BM34" s="304"/>
      <c r="BN34" s="304"/>
      <c r="BO34" s="304"/>
      <c r="BP34" s="304"/>
      <c r="BQ34" s="304"/>
      <c r="BR34" s="304"/>
      <c r="BS34" s="304"/>
      <c r="BT34" s="304"/>
      <c r="BU34" s="304"/>
      <c r="BV34" s="304"/>
      <c r="BW34" s="304"/>
      <c r="BX34" s="304">
        <v>15</v>
      </c>
      <c r="BY34" s="304"/>
      <c r="BZ34" s="304">
        <v>4960.5</v>
      </c>
      <c r="CA34" s="304"/>
      <c r="CB34" s="304"/>
      <c r="CC34" s="304"/>
      <c r="CD34" s="304"/>
      <c r="CE34" s="304"/>
      <c r="CF34" s="304">
        <v>6872.7499999999991</v>
      </c>
      <c r="CG34" s="304">
        <v>1428.75</v>
      </c>
      <c r="CH34" s="304"/>
      <c r="CI34" s="304"/>
      <c r="CJ34" s="304"/>
      <c r="CK34" s="304"/>
      <c r="CL34" s="304"/>
      <c r="CM34" s="304">
        <v>948</v>
      </c>
      <c r="CN34" s="304">
        <v>2183.3900000000003</v>
      </c>
      <c r="CO34" s="304">
        <v>0</v>
      </c>
      <c r="CP34" s="304">
        <v>845.24</v>
      </c>
      <c r="CQ34" s="304"/>
      <c r="CR34" s="304">
        <v>201.92</v>
      </c>
      <c r="CS34" s="304">
        <v>869</v>
      </c>
      <c r="CT34" s="304">
        <v>2844.3</v>
      </c>
      <c r="CU34" s="304">
        <v>297.99</v>
      </c>
      <c r="CV34" s="304"/>
      <c r="CW34" s="304">
        <v>278.31</v>
      </c>
      <c r="CX34" s="304">
        <v>210</v>
      </c>
      <c r="CY34" s="304"/>
      <c r="CZ34" s="304">
        <v>0</v>
      </c>
      <c r="DA34" s="304"/>
      <c r="DB34" s="304">
        <v>2289.17</v>
      </c>
      <c r="DC34" s="304">
        <v>344.61</v>
      </c>
      <c r="DD34" s="304">
        <v>800.73</v>
      </c>
      <c r="DE34" s="304"/>
      <c r="DF34" s="304"/>
      <c r="DG34" s="304"/>
      <c r="DH34" s="304"/>
      <c r="DI34" s="304"/>
      <c r="DJ34" s="304">
        <v>39.950000000000003</v>
      </c>
      <c r="DK34" s="304">
        <v>1408</v>
      </c>
      <c r="DL34" s="304">
        <v>4549.45</v>
      </c>
      <c r="DM34" s="304">
        <v>348.21999999999997</v>
      </c>
      <c r="DN34" s="304"/>
      <c r="DO34" s="304">
        <v>1235.4300000000003</v>
      </c>
      <c r="DP34" s="304">
        <v>1542.42</v>
      </c>
      <c r="DQ34" s="304">
        <v>2499.19</v>
      </c>
      <c r="DR34" s="304">
        <v>10776.320000000002</v>
      </c>
      <c r="DS34" s="304"/>
      <c r="DT34" s="304">
        <v>6.96</v>
      </c>
      <c r="DU34" s="304">
        <v>1037.8799999999999</v>
      </c>
      <c r="DV34" s="426"/>
      <c r="DW34" s="304"/>
      <c r="DX34" s="304">
        <v>843.85000000000014</v>
      </c>
      <c r="DY34" s="304"/>
      <c r="DZ34" s="304"/>
      <c r="EA34" s="304">
        <v>2746.9500000000003</v>
      </c>
      <c r="EB34" s="304">
        <v>2127.92</v>
      </c>
      <c r="EC34" s="304"/>
      <c r="ED34" s="304"/>
      <c r="EE34" s="304">
        <v>12758.04</v>
      </c>
      <c r="EF34" s="304"/>
      <c r="EG34" s="304"/>
      <c r="EH34" s="304"/>
      <c r="EI34" s="304">
        <v>374</v>
      </c>
      <c r="EJ34" s="304"/>
      <c r="EK34" s="304">
        <v>1235.43</v>
      </c>
      <c r="EL34" s="304">
        <v>252.5</v>
      </c>
      <c r="EM34" s="304">
        <v>189.91</v>
      </c>
      <c r="EN34" s="304">
        <v>11211.500000000002</v>
      </c>
      <c r="EO34" s="304"/>
      <c r="EP34" s="304"/>
      <c r="EQ34" s="304"/>
      <c r="ER34" s="304"/>
      <c r="ES34" s="304">
        <v>-373714.76</v>
      </c>
      <c r="ET34" s="304"/>
      <c r="EU34" s="304"/>
      <c r="EV34" s="304"/>
      <c r="EW34" s="304">
        <v>-14300</v>
      </c>
      <c r="EX34" s="304"/>
      <c r="EY34" s="304"/>
      <c r="EZ34" s="304"/>
      <c r="FA34" s="304"/>
      <c r="FB34" s="304"/>
      <c r="FC34" s="304"/>
      <c r="FD34" s="304"/>
      <c r="FE34" s="304">
        <v>-4405</v>
      </c>
      <c r="FF34" s="304">
        <v>-6940</v>
      </c>
      <c r="FG34" s="304">
        <v>-14983</v>
      </c>
      <c r="FH34" s="304"/>
      <c r="FI34" s="304">
        <v>14098.18</v>
      </c>
      <c r="FJ34" s="304"/>
      <c r="FK34" s="304">
        <v>-8655.75</v>
      </c>
      <c r="FL34" s="304"/>
      <c r="FM34" s="304"/>
      <c r="FN34" s="304">
        <v>-36419</v>
      </c>
      <c r="FO34" s="304">
        <v>761.83</v>
      </c>
      <c r="FP34" s="304">
        <v>112.85</v>
      </c>
      <c r="FQ34" s="304">
        <v>-10314.24</v>
      </c>
      <c r="FR34" s="304">
        <v>-3034</v>
      </c>
      <c r="FS34" s="304">
        <v>-5849</v>
      </c>
      <c r="FT34" s="304">
        <v>351.75</v>
      </c>
      <c r="FU34" s="304"/>
      <c r="FV34" s="304"/>
      <c r="FW34" s="304">
        <v>1101.48</v>
      </c>
      <c r="FX34" s="304"/>
      <c r="FY34" s="304">
        <v>9760.15</v>
      </c>
      <c r="FZ34" s="304">
        <v>10507.6</v>
      </c>
      <c r="GA34" s="304">
        <v>194</v>
      </c>
      <c r="GB34" s="304">
        <v>5345.7800000000034</v>
      </c>
      <c r="GC34" s="304"/>
      <c r="GD34" s="304">
        <v>6856.5</v>
      </c>
      <c r="GE34" s="304">
        <v>1160.58</v>
      </c>
      <c r="GF34" s="304">
        <v>790</v>
      </c>
      <c r="GG34" s="304">
        <v>610</v>
      </c>
      <c r="GH34" s="304">
        <v>725.47</v>
      </c>
      <c r="GI34" s="304">
        <v>221.13999999999996</v>
      </c>
      <c r="GJ34" s="304"/>
      <c r="GK34" s="304"/>
      <c r="GL34" s="304"/>
      <c r="GM34" s="304">
        <v>0</v>
      </c>
      <c r="GN34" s="304"/>
      <c r="GO34" s="304"/>
      <c r="GP34" s="304"/>
      <c r="GQ34" s="304">
        <v>-3978</v>
      </c>
      <c r="GR34" s="304">
        <v>-650</v>
      </c>
      <c r="GS34" s="304">
        <v>-8016.1500000000033</v>
      </c>
      <c r="GT34" s="304"/>
      <c r="GU34" s="304"/>
      <c r="GV34" s="304"/>
      <c r="GW34" s="304"/>
      <c r="GX34" s="304">
        <v>2.0099999999999998</v>
      </c>
      <c r="GY34" s="304"/>
      <c r="GZ34" s="304">
        <v>0</v>
      </c>
      <c r="HA34" s="304">
        <v>-6315.99</v>
      </c>
      <c r="HB34" s="304"/>
      <c r="HC34" s="304"/>
      <c r="HD34" s="304">
        <v>-4745.3</v>
      </c>
      <c r="HE34" s="304"/>
      <c r="HF34" s="304"/>
      <c r="HG34" s="304">
        <v>-1119.74</v>
      </c>
    </row>
    <row r="35" spans="1:215">
      <c r="A35" s="116">
        <v>107789</v>
      </c>
      <c r="B35" s="304"/>
      <c r="C35" s="304">
        <v>246483.18</v>
      </c>
      <c r="D35" s="304">
        <v>10421.700000000001</v>
      </c>
      <c r="E35" s="304">
        <v>7512</v>
      </c>
      <c r="F35" s="304">
        <v>73680.320000000007</v>
      </c>
      <c r="G35" s="304">
        <v>33902.800000000003</v>
      </c>
      <c r="H35" s="304">
        <v>8207.67</v>
      </c>
      <c r="I35" s="304"/>
      <c r="J35" s="304">
        <v>2353.96</v>
      </c>
      <c r="K35" s="304">
        <v>745.55000000000007</v>
      </c>
      <c r="L35" s="304"/>
      <c r="M35" s="304"/>
      <c r="N35" s="304"/>
      <c r="O35" s="304"/>
      <c r="P35" s="304"/>
      <c r="Q35" s="304"/>
      <c r="R35" s="304"/>
      <c r="S35" s="304"/>
      <c r="T35" s="304"/>
      <c r="U35" s="304"/>
      <c r="V35" s="304">
        <v>256</v>
      </c>
      <c r="W35" s="304"/>
      <c r="X35" s="304"/>
      <c r="Y35" s="304"/>
      <c r="Z35" s="304">
        <v>31.07</v>
      </c>
      <c r="AA35" s="304">
        <v>15338.450000000003</v>
      </c>
      <c r="AB35" s="304">
        <v>72.289999999999992</v>
      </c>
      <c r="AC35" s="304"/>
      <c r="AD35" s="304">
        <v>1188.97</v>
      </c>
      <c r="AE35" s="304">
        <v>736.84999999999991</v>
      </c>
      <c r="AF35" s="304"/>
      <c r="AG35" s="304"/>
      <c r="AH35" s="304"/>
      <c r="AI35" s="304"/>
      <c r="AJ35" s="304"/>
      <c r="AK35" s="304">
        <v>82468.01999999999</v>
      </c>
      <c r="AL35" s="304">
        <v>888.82</v>
      </c>
      <c r="AM35" s="304">
        <v>2676.0200000000004</v>
      </c>
      <c r="AN35" s="304">
        <v>20370.400000000001</v>
      </c>
      <c r="AO35" s="304">
        <v>9399.1099999999988</v>
      </c>
      <c r="AP35" s="304"/>
      <c r="AQ35" s="304"/>
      <c r="AR35" s="304"/>
      <c r="AS35" s="304"/>
      <c r="AT35" s="304"/>
      <c r="AU35" s="304"/>
      <c r="AV35" s="304"/>
      <c r="AW35" s="304"/>
      <c r="AX35" s="304">
        <v>24392.300000000003</v>
      </c>
      <c r="AY35" s="304"/>
      <c r="AZ35" s="304">
        <v>691.09</v>
      </c>
      <c r="BA35" s="304"/>
      <c r="BB35" s="304">
        <v>6621.91</v>
      </c>
      <c r="BC35" s="304">
        <v>2264.0099999999998</v>
      </c>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c r="BZ35" s="304">
        <v>1946.5</v>
      </c>
      <c r="CA35" s="304"/>
      <c r="CB35" s="304"/>
      <c r="CC35" s="304"/>
      <c r="CD35" s="304"/>
      <c r="CE35" s="304"/>
      <c r="CF35" s="304">
        <v>2806.7299999999996</v>
      </c>
      <c r="CG35" s="304"/>
      <c r="CH35" s="304"/>
      <c r="CI35" s="304"/>
      <c r="CJ35" s="304"/>
      <c r="CK35" s="304"/>
      <c r="CL35" s="304"/>
      <c r="CM35" s="304">
        <v>675</v>
      </c>
      <c r="CN35" s="304">
        <v>17476.88</v>
      </c>
      <c r="CO35" s="304"/>
      <c r="CP35" s="304"/>
      <c r="CQ35" s="304">
        <v>2000</v>
      </c>
      <c r="CR35" s="304"/>
      <c r="CS35" s="304"/>
      <c r="CT35" s="304">
        <v>13223.5</v>
      </c>
      <c r="CU35" s="304">
        <v>303.29000000000002</v>
      </c>
      <c r="CV35" s="304">
        <v>735</v>
      </c>
      <c r="CW35" s="304">
        <v>18683.650000000005</v>
      </c>
      <c r="CX35" s="304"/>
      <c r="CY35" s="304"/>
      <c r="CZ35" s="304"/>
      <c r="DA35" s="304"/>
      <c r="DB35" s="304"/>
      <c r="DC35" s="304">
        <v>259.95</v>
      </c>
      <c r="DD35" s="304"/>
      <c r="DE35" s="304">
        <v>189.98</v>
      </c>
      <c r="DF35" s="304"/>
      <c r="DG35" s="304"/>
      <c r="DH35" s="304"/>
      <c r="DI35" s="304">
        <v>3284.3199999999997</v>
      </c>
      <c r="DJ35" s="304"/>
      <c r="DK35" s="304">
        <v>1946</v>
      </c>
      <c r="DL35" s="304">
        <v>4978.4799999999987</v>
      </c>
      <c r="DM35" s="304">
        <v>119.7</v>
      </c>
      <c r="DN35" s="304"/>
      <c r="DO35" s="304">
        <v>1005.96</v>
      </c>
      <c r="DP35" s="304">
        <v>1096.25</v>
      </c>
      <c r="DQ35" s="304">
        <v>738</v>
      </c>
      <c r="DR35" s="304">
        <v>11944.07</v>
      </c>
      <c r="DS35" s="304"/>
      <c r="DT35" s="304"/>
      <c r="DU35" s="304">
        <v>464.73</v>
      </c>
      <c r="DV35" s="426"/>
      <c r="DW35" s="304"/>
      <c r="DX35" s="304">
        <v>300</v>
      </c>
      <c r="DY35" s="304">
        <v>1480.61</v>
      </c>
      <c r="DZ35" s="304"/>
      <c r="EA35" s="304">
        <v>3627.35</v>
      </c>
      <c r="EB35" s="304">
        <v>5457.54</v>
      </c>
      <c r="EC35" s="304">
        <v>1006.9200000000001</v>
      </c>
      <c r="ED35" s="304">
        <v>400</v>
      </c>
      <c r="EE35" s="304">
        <v>1900</v>
      </c>
      <c r="EF35" s="304"/>
      <c r="EG35" s="304"/>
      <c r="EH35" s="304"/>
      <c r="EI35" s="304"/>
      <c r="EJ35" s="304"/>
      <c r="EK35" s="304">
        <v>2704.59</v>
      </c>
      <c r="EL35" s="304">
        <v>174.5</v>
      </c>
      <c r="EM35" s="304"/>
      <c r="EN35" s="304">
        <v>10644.5</v>
      </c>
      <c r="EO35" s="304"/>
      <c r="EP35" s="304"/>
      <c r="EQ35" s="304"/>
      <c r="ER35" s="304"/>
      <c r="ES35" s="304">
        <v>-562931.02</v>
      </c>
      <c r="ET35" s="304"/>
      <c r="EU35" s="304"/>
      <c r="EV35" s="304"/>
      <c r="EW35" s="304">
        <v>-13635</v>
      </c>
      <c r="EX35" s="304"/>
      <c r="EY35" s="304"/>
      <c r="EZ35" s="304"/>
      <c r="FA35" s="304">
        <v>-285.64</v>
      </c>
      <c r="FB35" s="304"/>
      <c r="FC35" s="304"/>
      <c r="FD35" s="304"/>
      <c r="FE35" s="304">
        <v>-4945</v>
      </c>
      <c r="FF35" s="304">
        <v>-9345</v>
      </c>
      <c r="FG35" s="304">
        <v>-15322</v>
      </c>
      <c r="FH35" s="304"/>
      <c r="FI35" s="304">
        <v>-2174.56</v>
      </c>
      <c r="FJ35" s="304"/>
      <c r="FK35" s="304">
        <v>-14580.17</v>
      </c>
      <c r="FL35" s="304"/>
      <c r="FM35" s="304"/>
      <c r="FN35" s="304">
        <v>-27362</v>
      </c>
      <c r="FO35" s="304">
        <v>1667.79</v>
      </c>
      <c r="FP35" s="304">
        <v>247.05</v>
      </c>
      <c r="FQ35" s="304">
        <v>-1399.44</v>
      </c>
      <c r="FR35" s="304">
        <v>-4743</v>
      </c>
      <c r="FS35" s="304">
        <v>-9454</v>
      </c>
      <c r="FT35" s="304">
        <v>765</v>
      </c>
      <c r="FU35" s="304"/>
      <c r="FV35" s="304"/>
      <c r="FW35" s="304">
        <v>1244.3599999999999</v>
      </c>
      <c r="FX35" s="304">
        <v>4050.88</v>
      </c>
      <c r="FY35" s="304"/>
      <c r="FZ35" s="304">
        <v>14351.3</v>
      </c>
      <c r="GA35" s="304">
        <v>194</v>
      </c>
      <c r="GB35" s="304">
        <v>4442.4700000000012</v>
      </c>
      <c r="GC35" s="304"/>
      <c r="GD35" s="304">
        <v>3437.46</v>
      </c>
      <c r="GE35" s="304">
        <v>1620.81</v>
      </c>
      <c r="GF35" s="304">
        <v>850.5</v>
      </c>
      <c r="GG35" s="304">
        <v>895</v>
      </c>
      <c r="GH35" s="304">
        <v>827.11</v>
      </c>
      <c r="GI35" s="304">
        <v>748.52</v>
      </c>
      <c r="GJ35" s="304"/>
      <c r="GK35" s="304"/>
      <c r="GL35" s="304"/>
      <c r="GM35" s="304"/>
      <c r="GN35" s="304"/>
      <c r="GO35" s="304"/>
      <c r="GP35" s="304"/>
      <c r="GQ35" s="304"/>
      <c r="GR35" s="304">
        <v>-2120.7199999999998</v>
      </c>
      <c r="GS35" s="304">
        <v>-8741.66</v>
      </c>
      <c r="GT35" s="304"/>
      <c r="GU35" s="304"/>
      <c r="GV35" s="304">
        <v>-690.48</v>
      </c>
      <c r="GW35" s="304"/>
      <c r="GX35" s="304"/>
      <c r="GY35" s="304"/>
      <c r="GZ35" s="304">
        <v>-81.86</v>
      </c>
      <c r="HA35" s="304">
        <v>-765.18</v>
      </c>
      <c r="HB35" s="304"/>
      <c r="HC35" s="304"/>
      <c r="HD35" s="304">
        <v>-1025</v>
      </c>
      <c r="HE35" s="304"/>
      <c r="HF35" s="304"/>
      <c r="HG35" s="304">
        <v>-1477.44</v>
      </c>
    </row>
    <row r="36" spans="1:215">
      <c r="A36" s="116">
        <v>107791</v>
      </c>
      <c r="B36" s="304"/>
      <c r="C36" s="304">
        <v>216368.94</v>
      </c>
      <c r="D36" s="304"/>
      <c r="E36" s="304">
        <v>5272</v>
      </c>
      <c r="F36" s="304">
        <v>67047.89</v>
      </c>
      <c r="G36" s="304">
        <v>29961.300000000003</v>
      </c>
      <c r="H36" s="304">
        <v>3969.69</v>
      </c>
      <c r="I36" s="304"/>
      <c r="J36" s="304">
        <v>1138.51</v>
      </c>
      <c r="K36" s="304">
        <v>410.21000000000004</v>
      </c>
      <c r="L36" s="304"/>
      <c r="M36" s="304"/>
      <c r="N36" s="304"/>
      <c r="O36" s="304"/>
      <c r="P36" s="304"/>
      <c r="Q36" s="304"/>
      <c r="R36" s="304"/>
      <c r="S36" s="304"/>
      <c r="T36" s="304"/>
      <c r="U36" s="304"/>
      <c r="V36" s="304">
        <v>20512.28</v>
      </c>
      <c r="W36" s="304"/>
      <c r="X36" s="304">
        <v>670.4</v>
      </c>
      <c r="Y36" s="304">
        <v>4645.58</v>
      </c>
      <c r="Z36" s="304">
        <v>2435.5300000000002</v>
      </c>
      <c r="AA36" s="304">
        <v>15168.689999999999</v>
      </c>
      <c r="AB36" s="304">
        <v>3035.1899999999996</v>
      </c>
      <c r="AC36" s="304">
        <v>4484.1499999999996</v>
      </c>
      <c r="AD36" s="304">
        <v>5002.2299999999996</v>
      </c>
      <c r="AE36" s="304">
        <v>1301.98</v>
      </c>
      <c r="AF36" s="304">
        <v>-1271.98</v>
      </c>
      <c r="AG36" s="304"/>
      <c r="AH36" s="304"/>
      <c r="AI36" s="304">
        <v>-335.8</v>
      </c>
      <c r="AJ36" s="304">
        <v>-128.25</v>
      </c>
      <c r="AK36" s="304">
        <v>91937.16</v>
      </c>
      <c r="AL36" s="304">
        <v>14500.779999999999</v>
      </c>
      <c r="AM36" s="304">
        <v>1163.7099999999998</v>
      </c>
      <c r="AN36" s="304">
        <v>29460.859999999997</v>
      </c>
      <c r="AO36" s="304">
        <v>11725.67</v>
      </c>
      <c r="AP36" s="304">
        <v>161016.42000000001</v>
      </c>
      <c r="AQ36" s="304"/>
      <c r="AR36" s="304">
        <v>933.76</v>
      </c>
      <c r="AS36" s="304">
        <v>41755.280000000013</v>
      </c>
      <c r="AT36" s="304">
        <v>15338.39</v>
      </c>
      <c r="AU36" s="304"/>
      <c r="AV36" s="304"/>
      <c r="AW36" s="304"/>
      <c r="AX36" s="304">
        <v>46597.57</v>
      </c>
      <c r="AY36" s="304"/>
      <c r="AZ36" s="304">
        <v>827.69</v>
      </c>
      <c r="BA36" s="304"/>
      <c r="BB36" s="304">
        <v>12520.189999999999</v>
      </c>
      <c r="BC36" s="304">
        <v>5627.75</v>
      </c>
      <c r="BD36" s="304"/>
      <c r="BE36" s="304"/>
      <c r="BF36" s="304"/>
      <c r="BG36" s="304"/>
      <c r="BH36" s="304"/>
      <c r="BI36" s="304">
        <v>41558.050000000003</v>
      </c>
      <c r="BJ36" s="304"/>
      <c r="BK36" s="304">
        <v>238</v>
      </c>
      <c r="BL36" s="304">
        <v>9759.0499999999993</v>
      </c>
      <c r="BM36" s="304">
        <v>4108.1500000000005</v>
      </c>
      <c r="BN36" s="304"/>
      <c r="BO36" s="304"/>
      <c r="BP36" s="304"/>
      <c r="BQ36" s="304"/>
      <c r="BR36" s="304"/>
      <c r="BS36" s="304"/>
      <c r="BT36" s="304"/>
      <c r="BU36" s="304">
        <v>12720.96</v>
      </c>
      <c r="BV36" s="304"/>
      <c r="BW36" s="304"/>
      <c r="BX36" s="304"/>
      <c r="BY36" s="304"/>
      <c r="BZ36" s="304">
        <v>408.9</v>
      </c>
      <c r="CA36" s="304"/>
      <c r="CB36" s="304">
        <v>34624.78</v>
      </c>
      <c r="CC36" s="304">
        <v>-403.19</v>
      </c>
      <c r="CD36" s="304">
        <v>163.96</v>
      </c>
      <c r="CE36" s="304"/>
      <c r="CF36" s="304">
        <v>13525.969999999996</v>
      </c>
      <c r="CG36" s="304">
        <v>1580</v>
      </c>
      <c r="CH36" s="304">
        <v>1156</v>
      </c>
      <c r="CI36" s="304"/>
      <c r="CJ36" s="304"/>
      <c r="CK36" s="304"/>
      <c r="CL36" s="304"/>
      <c r="CM36" s="304">
        <v>2604</v>
      </c>
      <c r="CN36" s="304">
        <v>11917.240000000002</v>
      </c>
      <c r="CO36" s="304">
        <v>16408.82</v>
      </c>
      <c r="CP36" s="304"/>
      <c r="CQ36" s="304"/>
      <c r="CR36" s="304"/>
      <c r="CS36" s="304"/>
      <c r="CT36" s="304">
        <v>15344.25</v>
      </c>
      <c r="CU36" s="304">
        <v>3929.21</v>
      </c>
      <c r="CV36" s="304">
        <v>844.79</v>
      </c>
      <c r="CW36" s="304">
        <v>2920.0199999999995</v>
      </c>
      <c r="CX36" s="304">
        <v>1628.76</v>
      </c>
      <c r="CY36" s="304"/>
      <c r="CZ36" s="304">
        <v>93.009999999999991</v>
      </c>
      <c r="DA36" s="304"/>
      <c r="DB36" s="304">
        <v>1660</v>
      </c>
      <c r="DC36" s="304">
        <v>38.39</v>
      </c>
      <c r="DD36" s="304"/>
      <c r="DE36" s="304"/>
      <c r="DF36" s="304"/>
      <c r="DG36" s="304"/>
      <c r="DH36" s="304"/>
      <c r="DI36" s="304"/>
      <c r="DJ36" s="304">
        <v>9721.02</v>
      </c>
      <c r="DK36" s="304">
        <v>3164</v>
      </c>
      <c r="DL36" s="304">
        <v>8690.2400000000034</v>
      </c>
      <c r="DM36" s="304"/>
      <c r="DN36" s="304"/>
      <c r="DO36" s="304">
        <v>2416.1200000000003</v>
      </c>
      <c r="DP36" s="304">
        <v>2239.5500000000002</v>
      </c>
      <c r="DQ36" s="304"/>
      <c r="DR36" s="304">
        <v>604.35</v>
      </c>
      <c r="DS36" s="304"/>
      <c r="DT36" s="304"/>
      <c r="DU36" s="304">
        <v>145.57999999999998</v>
      </c>
      <c r="DV36" s="426"/>
      <c r="DW36" s="304"/>
      <c r="DX36" s="304">
        <v>180.5</v>
      </c>
      <c r="DY36" s="304"/>
      <c r="DZ36" s="304"/>
      <c r="EA36" s="304">
        <v>1049</v>
      </c>
      <c r="EB36" s="304">
        <v>3165.8199999999993</v>
      </c>
      <c r="EC36" s="304">
        <v>748</v>
      </c>
      <c r="ED36" s="304">
        <v>2071.5100000000002</v>
      </c>
      <c r="EE36" s="304">
        <v>1550</v>
      </c>
      <c r="EF36" s="304"/>
      <c r="EG36" s="304"/>
      <c r="EH36" s="304"/>
      <c r="EI36" s="304"/>
      <c r="EJ36" s="304"/>
      <c r="EK36" s="304">
        <v>3672.9</v>
      </c>
      <c r="EL36" s="304">
        <v>335.5</v>
      </c>
      <c r="EM36" s="304">
        <v>463.21999999999991</v>
      </c>
      <c r="EN36" s="304">
        <v>1549.37</v>
      </c>
      <c r="EO36" s="304"/>
      <c r="EP36" s="304">
        <v>3829.0900000000006</v>
      </c>
      <c r="EQ36" s="304"/>
      <c r="ER36" s="304"/>
      <c r="ES36" s="304">
        <v>-740278.26</v>
      </c>
      <c r="ET36" s="304"/>
      <c r="EU36" s="304"/>
      <c r="EV36" s="304">
        <v>-1460</v>
      </c>
      <c r="EW36" s="304">
        <v>-49595</v>
      </c>
      <c r="EX36" s="304"/>
      <c r="EY36" s="304"/>
      <c r="EZ36" s="304"/>
      <c r="FA36" s="304">
        <v>-5724.43</v>
      </c>
      <c r="FB36" s="304"/>
      <c r="FC36" s="304"/>
      <c r="FD36" s="304">
        <v>-270677.94999999995</v>
      </c>
      <c r="FE36" s="304">
        <v>-5231.88</v>
      </c>
      <c r="FF36" s="304">
        <v>-37119</v>
      </c>
      <c r="FG36" s="304">
        <v>-15338</v>
      </c>
      <c r="FH36" s="304"/>
      <c r="FI36" s="304"/>
      <c r="FJ36" s="304">
        <v>170750.64</v>
      </c>
      <c r="FK36" s="304">
        <v>-1574.38</v>
      </c>
      <c r="FL36" s="304"/>
      <c r="FM36" s="304">
        <v>16928.91</v>
      </c>
      <c r="FN36" s="304">
        <v>-132849</v>
      </c>
      <c r="FO36" s="304">
        <v>2264.9</v>
      </c>
      <c r="FP36" s="304">
        <v>335.5</v>
      </c>
      <c r="FQ36" s="304">
        <v>-601.39</v>
      </c>
      <c r="FR36" s="304">
        <v>-6598</v>
      </c>
      <c r="FS36" s="304">
        <v>-13392</v>
      </c>
      <c r="FT36" s="304"/>
      <c r="FU36" s="304"/>
      <c r="FV36" s="304"/>
      <c r="FW36" s="304">
        <v>1326.44</v>
      </c>
      <c r="FX36" s="304">
        <v>97.48</v>
      </c>
      <c r="FY36" s="304"/>
      <c r="FZ36" s="304">
        <v>54556.43</v>
      </c>
      <c r="GA36" s="304">
        <v>194</v>
      </c>
      <c r="GB36" s="304">
        <v>2444.3900000000003</v>
      </c>
      <c r="GC36" s="304">
        <v>261</v>
      </c>
      <c r="GD36" s="304">
        <v>7229.32</v>
      </c>
      <c r="GE36" s="304">
        <v>4508.92</v>
      </c>
      <c r="GF36" s="304">
        <v>2915</v>
      </c>
      <c r="GG36" s="304">
        <v>560</v>
      </c>
      <c r="GH36" s="304">
        <v>884.2</v>
      </c>
      <c r="GI36" s="304">
        <v>2196.9699999999998</v>
      </c>
      <c r="GJ36" s="304"/>
      <c r="GK36" s="304"/>
      <c r="GL36" s="304"/>
      <c r="GM36" s="304"/>
      <c r="GN36" s="304"/>
      <c r="GO36" s="304"/>
      <c r="GP36" s="304"/>
      <c r="GQ36" s="304"/>
      <c r="GR36" s="304">
        <v>-75</v>
      </c>
      <c r="GS36" s="304">
        <v>-1417.0499999999997</v>
      </c>
      <c r="GT36" s="304"/>
      <c r="GU36" s="304"/>
      <c r="GV36" s="304">
        <v>-70.03</v>
      </c>
      <c r="GW36" s="304"/>
      <c r="GX36" s="304"/>
      <c r="GY36" s="304"/>
      <c r="GZ36" s="304"/>
      <c r="HA36" s="304">
        <v>-20646.650000000005</v>
      </c>
      <c r="HB36" s="304"/>
      <c r="HC36" s="304"/>
      <c r="HD36" s="304">
        <v>-1850</v>
      </c>
      <c r="HE36" s="304">
        <v>-6296.0699999999988</v>
      </c>
      <c r="HF36" s="304"/>
      <c r="HG36" s="304"/>
    </row>
    <row r="37" spans="1:215">
      <c r="A37" s="116">
        <v>107793</v>
      </c>
      <c r="B37" s="304"/>
      <c r="C37" s="304">
        <v>302968.52000000008</v>
      </c>
      <c r="D37" s="304">
        <v>4041.7699999999995</v>
      </c>
      <c r="E37" s="304">
        <v>18847.29</v>
      </c>
      <c r="F37" s="304">
        <v>65283.22</v>
      </c>
      <c r="G37" s="304">
        <v>30929.530000000002</v>
      </c>
      <c r="H37" s="304">
        <v>864.63</v>
      </c>
      <c r="I37" s="304"/>
      <c r="J37" s="304">
        <v>247.98</v>
      </c>
      <c r="K37" s="304">
        <v>102.19999999999999</v>
      </c>
      <c r="L37" s="304"/>
      <c r="M37" s="304"/>
      <c r="N37" s="304"/>
      <c r="O37" s="304"/>
      <c r="P37" s="304"/>
      <c r="Q37" s="304"/>
      <c r="R37" s="304"/>
      <c r="S37" s="304"/>
      <c r="T37" s="304"/>
      <c r="U37" s="304"/>
      <c r="V37" s="304">
        <v>17309.13</v>
      </c>
      <c r="W37" s="304">
        <v>19.579999999999998</v>
      </c>
      <c r="X37" s="304">
        <v>1913.7399999999998</v>
      </c>
      <c r="Y37" s="304"/>
      <c r="Z37" s="304">
        <v>2181.9899999999998</v>
      </c>
      <c r="AA37" s="304">
        <v>16184.12</v>
      </c>
      <c r="AB37" s="304">
        <v>112.55999999999999</v>
      </c>
      <c r="AC37" s="304">
        <v>975.24999999999989</v>
      </c>
      <c r="AD37" s="304">
        <v>3934.89</v>
      </c>
      <c r="AE37" s="304">
        <v>1814.6599999999999</v>
      </c>
      <c r="AF37" s="304"/>
      <c r="AG37" s="304"/>
      <c r="AH37" s="304"/>
      <c r="AI37" s="304"/>
      <c r="AJ37" s="304"/>
      <c r="AK37" s="304">
        <v>102360.08</v>
      </c>
      <c r="AL37" s="304">
        <v>836.32999999999993</v>
      </c>
      <c r="AM37" s="304">
        <v>1825.9399999999996</v>
      </c>
      <c r="AN37" s="304">
        <v>28495.329999999998</v>
      </c>
      <c r="AO37" s="304">
        <v>11426.599999999999</v>
      </c>
      <c r="AP37" s="304">
        <v>32925.79</v>
      </c>
      <c r="AQ37" s="304">
        <v>18.84</v>
      </c>
      <c r="AR37" s="304">
        <v>497.87</v>
      </c>
      <c r="AS37" s="304">
        <v>8699.42</v>
      </c>
      <c r="AT37" s="304">
        <v>2646.74</v>
      </c>
      <c r="AU37" s="304"/>
      <c r="AV37" s="304"/>
      <c r="AW37" s="304"/>
      <c r="AX37" s="304">
        <v>39862.080000000002</v>
      </c>
      <c r="AY37" s="304">
        <v>2.0299999999999998</v>
      </c>
      <c r="AZ37" s="304"/>
      <c r="BA37" s="304"/>
      <c r="BB37" s="304">
        <v>10524.059999999998</v>
      </c>
      <c r="BC37" s="304">
        <v>5229.32</v>
      </c>
      <c r="BD37" s="304"/>
      <c r="BE37" s="304"/>
      <c r="BF37" s="304"/>
      <c r="BG37" s="304"/>
      <c r="BH37" s="304"/>
      <c r="BI37" s="304">
        <v>20860.18</v>
      </c>
      <c r="BJ37" s="304">
        <v>112.33999999999999</v>
      </c>
      <c r="BK37" s="304">
        <v>245.07</v>
      </c>
      <c r="BL37" s="304">
        <v>4922.8900000000003</v>
      </c>
      <c r="BM37" s="304">
        <v>1973.62</v>
      </c>
      <c r="BN37" s="304"/>
      <c r="BO37" s="304"/>
      <c r="BP37" s="304"/>
      <c r="BQ37" s="304"/>
      <c r="BR37" s="304"/>
      <c r="BS37" s="304"/>
      <c r="BT37" s="304"/>
      <c r="BU37" s="304"/>
      <c r="BV37" s="304"/>
      <c r="BW37" s="304">
        <v>181.34</v>
      </c>
      <c r="BX37" s="304"/>
      <c r="BY37" s="304"/>
      <c r="BZ37" s="304">
        <v>2114.16</v>
      </c>
      <c r="CA37" s="304">
        <v>8750.94</v>
      </c>
      <c r="CB37" s="304"/>
      <c r="CC37" s="304"/>
      <c r="CD37" s="304"/>
      <c r="CE37" s="304"/>
      <c r="CF37" s="304">
        <v>10720.659999999996</v>
      </c>
      <c r="CG37" s="304"/>
      <c r="CH37" s="304">
        <v>1812.6000000000004</v>
      </c>
      <c r="CI37" s="304"/>
      <c r="CJ37" s="304"/>
      <c r="CK37" s="304"/>
      <c r="CL37" s="304">
        <v>112496.29000000001</v>
      </c>
      <c r="CM37" s="304">
        <v>2181.66</v>
      </c>
      <c r="CN37" s="304">
        <v>8878.27</v>
      </c>
      <c r="CO37" s="304"/>
      <c r="CP37" s="304">
        <v>4933.37</v>
      </c>
      <c r="CQ37" s="304"/>
      <c r="CR37" s="304"/>
      <c r="CS37" s="304"/>
      <c r="CT37" s="304">
        <v>9730.5</v>
      </c>
      <c r="CU37" s="304">
        <v>6063.98</v>
      </c>
      <c r="CV37" s="304">
        <v>359.41999999999996</v>
      </c>
      <c r="CW37" s="304">
        <v>4824.9299999999994</v>
      </c>
      <c r="CX37" s="304">
        <v>430.76</v>
      </c>
      <c r="CY37" s="304"/>
      <c r="CZ37" s="304"/>
      <c r="DA37" s="304"/>
      <c r="DB37" s="304"/>
      <c r="DC37" s="304">
        <v>291.74</v>
      </c>
      <c r="DD37" s="304"/>
      <c r="DE37" s="304"/>
      <c r="DF37" s="304"/>
      <c r="DG37" s="304"/>
      <c r="DH37" s="304">
        <v>455</v>
      </c>
      <c r="DI37" s="304"/>
      <c r="DJ37" s="304">
        <v>56.33</v>
      </c>
      <c r="DK37" s="304">
        <v>2399</v>
      </c>
      <c r="DL37" s="304">
        <v>11269.930000000002</v>
      </c>
      <c r="DM37" s="304">
        <v>483.7299999999999</v>
      </c>
      <c r="DN37" s="304"/>
      <c r="DO37" s="304">
        <v>3402.12</v>
      </c>
      <c r="DP37" s="304">
        <v>5697.6100000000006</v>
      </c>
      <c r="DQ37" s="304">
        <v>5981.69</v>
      </c>
      <c r="DR37" s="304">
        <v>22307.26</v>
      </c>
      <c r="DS37" s="304"/>
      <c r="DT37" s="304">
        <v>250.09</v>
      </c>
      <c r="DU37" s="304">
        <v>841.2299999999999</v>
      </c>
      <c r="DV37" s="426"/>
      <c r="DW37" s="304"/>
      <c r="DX37" s="304">
        <v>7178.6</v>
      </c>
      <c r="DY37" s="304"/>
      <c r="DZ37" s="304"/>
      <c r="EA37" s="304">
        <v>542.5</v>
      </c>
      <c r="EB37" s="304">
        <v>3063.89</v>
      </c>
      <c r="EC37" s="304"/>
      <c r="ED37" s="304">
        <v>30.69</v>
      </c>
      <c r="EE37" s="304">
        <v>3349.32</v>
      </c>
      <c r="EF37" s="304"/>
      <c r="EG37" s="304"/>
      <c r="EH37" s="304"/>
      <c r="EI37" s="304"/>
      <c r="EJ37" s="304"/>
      <c r="EK37" s="304">
        <v>3806.46</v>
      </c>
      <c r="EL37" s="304">
        <v>269.5</v>
      </c>
      <c r="EM37" s="304">
        <v>33196.909999999996</v>
      </c>
      <c r="EN37" s="304">
        <v>16660.71</v>
      </c>
      <c r="EO37" s="304"/>
      <c r="EP37" s="304">
        <v>7804.4000000000005</v>
      </c>
      <c r="EQ37" s="304"/>
      <c r="ER37" s="304">
        <v>20.830000000000002</v>
      </c>
      <c r="ES37" s="304">
        <v>-705673.99</v>
      </c>
      <c r="ET37" s="304"/>
      <c r="EU37" s="304"/>
      <c r="EV37" s="304"/>
      <c r="EW37" s="304">
        <v>-43230</v>
      </c>
      <c r="EX37" s="304"/>
      <c r="EY37" s="304"/>
      <c r="EZ37" s="304"/>
      <c r="FA37" s="304">
        <v>-20910.910000000003</v>
      </c>
      <c r="FB37" s="304"/>
      <c r="FC37" s="304"/>
      <c r="FD37" s="304">
        <v>-77520.719999999987</v>
      </c>
      <c r="FE37" s="304">
        <v>-5305</v>
      </c>
      <c r="FF37" s="304">
        <v>-15301</v>
      </c>
      <c r="FG37" s="304">
        <v>-15564</v>
      </c>
      <c r="FH37" s="304">
        <v>-104737.17</v>
      </c>
      <c r="FI37" s="304">
        <v>-256461.81</v>
      </c>
      <c r="FJ37" s="304"/>
      <c r="FK37" s="304">
        <v>-4689.25</v>
      </c>
      <c r="FL37" s="304"/>
      <c r="FM37" s="304">
        <v>-37169.629999999997</v>
      </c>
      <c r="FN37" s="304">
        <v>-32885</v>
      </c>
      <c r="FO37" s="304">
        <v>2347.2600000000002</v>
      </c>
      <c r="FP37" s="304">
        <v>347.7</v>
      </c>
      <c r="FQ37" s="304">
        <v>-2445.7800000000007</v>
      </c>
      <c r="FR37" s="304">
        <v>-6465</v>
      </c>
      <c r="FS37" s="304">
        <v>-13102</v>
      </c>
      <c r="FT37" s="304"/>
      <c r="FU37" s="304"/>
      <c r="FV37" s="304"/>
      <c r="FW37" s="304">
        <v>1341.64</v>
      </c>
      <c r="FX37" s="304">
        <v>562</v>
      </c>
      <c r="FY37" s="304"/>
      <c r="FZ37" s="304"/>
      <c r="GA37" s="304">
        <v>1242.3500000000001</v>
      </c>
      <c r="GB37" s="304">
        <v>2714.1699999999996</v>
      </c>
      <c r="GC37" s="304">
        <v>261</v>
      </c>
      <c r="GD37" s="304">
        <v>3714.6800000000003</v>
      </c>
      <c r="GE37" s="304">
        <v>1967.65</v>
      </c>
      <c r="GF37" s="304">
        <v>1197</v>
      </c>
      <c r="GG37" s="304">
        <v>560</v>
      </c>
      <c r="GH37" s="304">
        <v>893.08</v>
      </c>
      <c r="GI37" s="304">
        <v>1735.73</v>
      </c>
      <c r="GJ37" s="304">
        <v>65</v>
      </c>
      <c r="GK37" s="304"/>
      <c r="GL37" s="304"/>
      <c r="GM37" s="304"/>
      <c r="GN37" s="304"/>
      <c r="GO37" s="304"/>
      <c r="GP37" s="304">
        <v>-4692</v>
      </c>
      <c r="GQ37" s="304"/>
      <c r="GR37" s="304">
        <v>-1055.8800000000001</v>
      </c>
      <c r="GS37" s="304">
        <v>-9148.0799999999981</v>
      </c>
      <c r="GT37" s="304"/>
      <c r="GU37" s="304"/>
      <c r="GV37" s="304"/>
      <c r="GW37" s="304">
        <v>-1200</v>
      </c>
      <c r="GX37" s="304">
        <v>-6969.5599999999995</v>
      </c>
      <c r="GY37" s="304"/>
      <c r="GZ37" s="304"/>
      <c r="HA37" s="304">
        <v>-23615.679999999986</v>
      </c>
      <c r="HB37" s="304">
        <v>-327.02999999999997</v>
      </c>
      <c r="HC37" s="304"/>
      <c r="HD37" s="304">
        <v>-11228.5</v>
      </c>
      <c r="HE37" s="304">
        <v>-376.41999999999996</v>
      </c>
      <c r="HF37" s="304"/>
      <c r="HG37" s="304">
        <v>-14020.35</v>
      </c>
    </row>
    <row r="38" spans="1:215">
      <c r="A38" s="116">
        <v>107797</v>
      </c>
      <c r="B38" s="304"/>
      <c r="C38" s="304">
        <v>389753.31999999995</v>
      </c>
      <c r="D38" s="304"/>
      <c r="E38" s="304">
        <v>23892</v>
      </c>
      <c r="F38" s="304">
        <v>113257.61000000002</v>
      </c>
      <c r="G38" s="304">
        <v>51978.67</v>
      </c>
      <c r="H38" s="304">
        <v>16944.86</v>
      </c>
      <c r="I38" s="304"/>
      <c r="J38" s="304">
        <v>4612.3599999999997</v>
      </c>
      <c r="K38" s="304">
        <v>1582.64</v>
      </c>
      <c r="L38" s="304"/>
      <c r="M38" s="304"/>
      <c r="N38" s="304"/>
      <c r="O38" s="304"/>
      <c r="P38" s="304"/>
      <c r="Q38" s="304"/>
      <c r="R38" s="304"/>
      <c r="S38" s="304"/>
      <c r="T38" s="304"/>
      <c r="U38" s="304"/>
      <c r="V38" s="304"/>
      <c r="W38" s="304"/>
      <c r="X38" s="304"/>
      <c r="Y38" s="304"/>
      <c r="Z38" s="304"/>
      <c r="AA38" s="304">
        <v>14808.479999999998</v>
      </c>
      <c r="AB38" s="304"/>
      <c r="AC38" s="304">
        <v>5771.69</v>
      </c>
      <c r="AD38" s="304">
        <v>5225.3099999999995</v>
      </c>
      <c r="AE38" s="304">
        <v>1790.73</v>
      </c>
      <c r="AF38" s="304"/>
      <c r="AG38" s="304"/>
      <c r="AH38" s="304"/>
      <c r="AI38" s="304"/>
      <c r="AJ38" s="304"/>
      <c r="AK38" s="304">
        <v>244839.51</v>
      </c>
      <c r="AL38" s="304">
        <v>2229.2199999999998</v>
      </c>
      <c r="AM38" s="304">
        <v>3584.3999999999996</v>
      </c>
      <c r="AN38" s="304">
        <v>65826.59</v>
      </c>
      <c r="AO38" s="304">
        <v>22730.67</v>
      </c>
      <c r="AP38" s="304"/>
      <c r="AQ38" s="304"/>
      <c r="AR38" s="304"/>
      <c r="AS38" s="304"/>
      <c r="AT38" s="304"/>
      <c r="AU38" s="304">
        <v>1034.4100000000001</v>
      </c>
      <c r="AV38" s="304">
        <v>273.06</v>
      </c>
      <c r="AW38" s="304">
        <v>136.25</v>
      </c>
      <c r="AX38" s="304">
        <v>46377.100000000006</v>
      </c>
      <c r="AY38" s="304"/>
      <c r="AZ38" s="304">
        <v>266.01000000000005</v>
      </c>
      <c r="BA38" s="304"/>
      <c r="BB38" s="304">
        <v>11880.74</v>
      </c>
      <c r="BC38" s="304">
        <v>5636.5999999999995</v>
      </c>
      <c r="BD38" s="304"/>
      <c r="BE38" s="304"/>
      <c r="BF38" s="304"/>
      <c r="BG38" s="304"/>
      <c r="BH38" s="304"/>
      <c r="BI38" s="304">
        <v>44612.11</v>
      </c>
      <c r="BJ38" s="304"/>
      <c r="BK38" s="304">
        <v>8742.5299999999988</v>
      </c>
      <c r="BL38" s="304">
        <v>13903.510000000002</v>
      </c>
      <c r="BM38" s="304">
        <v>6245.5999999999995</v>
      </c>
      <c r="BN38" s="304"/>
      <c r="BO38" s="304"/>
      <c r="BP38" s="304"/>
      <c r="BQ38" s="304"/>
      <c r="BR38" s="304"/>
      <c r="BS38" s="304"/>
      <c r="BT38" s="304"/>
      <c r="BU38" s="304">
        <v>58132.88</v>
      </c>
      <c r="BV38" s="304">
        <v>118.28999999999999</v>
      </c>
      <c r="BW38" s="304"/>
      <c r="BX38" s="304"/>
      <c r="BY38" s="304"/>
      <c r="BZ38" s="304">
        <v>635.75</v>
      </c>
      <c r="CA38" s="304"/>
      <c r="CB38" s="304"/>
      <c r="CC38" s="304">
        <v>-2431.3599999999997</v>
      </c>
      <c r="CD38" s="304">
        <v>33.5</v>
      </c>
      <c r="CE38" s="304"/>
      <c r="CF38" s="304">
        <v>8682.3100000000013</v>
      </c>
      <c r="CG38" s="304">
        <v>460</v>
      </c>
      <c r="CH38" s="304">
        <v>-5906.25</v>
      </c>
      <c r="CI38" s="304"/>
      <c r="CJ38" s="304"/>
      <c r="CK38" s="304"/>
      <c r="CL38" s="304">
        <v>5906.25</v>
      </c>
      <c r="CM38" s="304">
        <v>3008.5</v>
      </c>
      <c r="CN38" s="304">
        <v>12509.37</v>
      </c>
      <c r="CO38" s="304">
        <v>11484.279999999999</v>
      </c>
      <c r="CP38" s="304"/>
      <c r="CQ38" s="304"/>
      <c r="CR38" s="304"/>
      <c r="CS38" s="304"/>
      <c r="CT38" s="304">
        <v>19960</v>
      </c>
      <c r="CU38" s="304">
        <v>3927.94</v>
      </c>
      <c r="CV38" s="304"/>
      <c r="CW38" s="304">
        <v>2556.9800000000005</v>
      </c>
      <c r="CX38" s="304">
        <v>361</v>
      </c>
      <c r="CY38" s="304">
        <v>527.02</v>
      </c>
      <c r="CZ38" s="304"/>
      <c r="DA38" s="304"/>
      <c r="DB38" s="304">
        <v>4787.1399999999994</v>
      </c>
      <c r="DC38" s="304">
        <v>48.97</v>
      </c>
      <c r="DD38" s="304"/>
      <c r="DE38" s="304">
        <v>1510.11</v>
      </c>
      <c r="DF38" s="304"/>
      <c r="DG38" s="304"/>
      <c r="DH38" s="304"/>
      <c r="DI38" s="304"/>
      <c r="DJ38" s="304"/>
      <c r="DK38" s="304">
        <v>3831</v>
      </c>
      <c r="DL38" s="304">
        <v>11178.239999999998</v>
      </c>
      <c r="DM38" s="304">
        <v>70.63</v>
      </c>
      <c r="DN38" s="304"/>
      <c r="DO38" s="304">
        <v>6803.2099999999991</v>
      </c>
      <c r="DP38" s="304">
        <v>11028.87</v>
      </c>
      <c r="DQ38" s="304">
        <v>1880.75</v>
      </c>
      <c r="DR38" s="304">
        <v>21289.46</v>
      </c>
      <c r="DS38" s="304"/>
      <c r="DT38" s="304"/>
      <c r="DU38" s="304">
        <v>5544.0599999999995</v>
      </c>
      <c r="DV38" s="426"/>
      <c r="DW38" s="304"/>
      <c r="DX38" s="304">
        <v>1827.81</v>
      </c>
      <c r="DY38" s="304"/>
      <c r="DZ38" s="304"/>
      <c r="EA38" s="304">
        <v>15664.7</v>
      </c>
      <c r="EB38" s="304">
        <v>19545.370000000003</v>
      </c>
      <c r="EC38" s="304">
        <v>12885.5</v>
      </c>
      <c r="ED38" s="304">
        <v>13367.72</v>
      </c>
      <c r="EE38" s="304">
        <v>2650</v>
      </c>
      <c r="EF38" s="304"/>
      <c r="EG38" s="304"/>
      <c r="EH38" s="304"/>
      <c r="EI38" s="304"/>
      <c r="EJ38" s="304">
        <v>10714.79</v>
      </c>
      <c r="EK38" s="304">
        <v>5676.3</v>
      </c>
      <c r="EL38" s="304">
        <v>1233.77</v>
      </c>
      <c r="EM38" s="304">
        <v>-897.42</v>
      </c>
      <c r="EN38" s="304">
        <v>13446.32</v>
      </c>
      <c r="EO38" s="304"/>
      <c r="EP38" s="304"/>
      <c r="EQ38" s="304"/>
      <c r="ER38" s="304"/>
      <c r="ES38" s="304">
        <v>-1064310.6299999999</v>
      </c>
      <c r="ET38" s="304"/>
      <c r="EU38" s="304">
        <v>901.1</v>
      </c>
      <c r="EV38" s="304">
        <v>-3500</v>
      </c>
      <c r="EW38" s="304">
        <v>-97575</v>
      </c>
      <c r="EX38" s="304"/>
      <c r="EY38" s="304"/>
      <c r="EZ38" s="304"/>
      <c r="FA38" s="304">
        <v>-3828.2200000000003</v>
      </c>
      <c r="FB38" s="304"/>
      <c r="FC38" s="304"/>
      <c r="FD38" s="304"/>
      <c r="FE38" s="304">
        <v>-19441.400000000001</v>
      </c>
      <c r="FF38" s="304"/>
      <c r="FG38" s="304">
        <v>-16349</v>
      </c>
      <c r="FH38" s="304"/>
      <c r="FI38" s="304">
        <v>-268759.78999999998</v>
      </c>
      <c r="FJ38" s="304"/>
      <c r="FK38" s="304">
        <v>0.22</v>
      </c>
      <c r="FL38" s="304"/>
      <c r="FM38" s="304"/>
      <c r="FN38" s="304">
        <v>-272638</v>
      </c>
      <c r="FO38" s="304">
        <v>3500.3</v>
      </c>
      <c r="FP38" s="304">
        <v>518.5</v>
      </c>
      <c r="FQ38" s="304"/>
      <c r="FR38" s="304">
        <v>-9924</v>
      </c>
      <c r="FS38" s="304">
        <v>-20443</v>
      </c>
      <c r="FT38" s="304">
        <v>1132</v>
      </c>
      <c r="FU38" s="304"/>
      <c r="FV38" s="304"/>
      <c r="FW38" s="304">
        <v>3215</v>
      </c>
      <c r="FX38" s="304">
        <v>55.74</v>
      </c>
      <c r="FY38" s="304"/>
      <c r="FZ38" s="304">
        <v>34136.5</v>
      </c>
      <c r="GA38" s="304">
        <v>189</v>
      </c>
      <c r="GB38" s="304">
        <v>5434.5700000000033</v>
      </c>
      <c r="GC38" s="304">
        <v>261</v>
      </c>
      <c r="GD38" s="304">
        <v>6334.72</v>
      </c>
      <c r="GE38" s="304">
        <v>3661.83</v>
      </c>
      <c r="GF38" s="304">
        <v>1785</v>
      </c>
      <c r="GG38" s="304">
        <v>560</v>
      </c>
      <c r="GH38" s="304">
        <v>1017.4</v>
      </c>
      <c r="GI38" s="304">
        <v>1936.2699999999995</v>
      </c>
      <c r="GJ38" s="304"/>
      <c r="GK38" s="304">
        <v>8522.08</v>
      </c>
      <c r="GL38" s="304">
        <v>-8522.08</v>
      </c>
      <c r="GM38" s="304"/>
      <c r="GN38" s="304"/>
      <c r="GO38" s="304"/>
      <c r="GP38" s="304">
        <v>-16090</v>
      </c>
      <c r="GQ38" s="304"/>
      <c r="GR38" s="304">
        <v>-1215</v>
      </c>
      <c r="GS38" s="304">
        <v>-15238.499999999996</v>
      </c>
      <c r="GT38" s="304"/>
      <c r="GU38" s="304"/>
      <c r="GV38" s="304">
        <v>-956.80000000000007</v>
      </c>
      <c r="GW38" s="304"/>
      <c r="GX38" s="304">
        <v>-3412.3</v>
      </c>
      <c r="GY38" s="304"/>
      <c r="GZ38" s="304">
        <v>-6977.1299999999992</v>
      </c>
      <c r="HA38" s="304">
        <v>-2811.68</v>
      </c>
      <c r="HB38" s="304"/>
      <c r="HC38" s="304"/>
      <c r="HD38" s="304">
        <v>-1200</v>
      </c>
      <c r="HE38" s="304"/>
      <c r="HF38" s="304"/>
      <c r="HG38" s="304">
        <v>-10823.4</v>
      </c>
    </row>
    <row r="39" spans="1:215">
      <c r="A39" s="116">
        <v>107798</v>
      </c>
      <c r="B39" s="304"/>
      <c r="C39" s="304">
        <v>279496.85000000003</v>
      </c>
      <c r="D39" s="304">
        <v>3747.5400000000004</v>
      </c>
      <c r="E39" s="304">
        <v>864</v>
      </c>
      <c r="F39" s="304">
        <v>81234.45</v>
      </c>
      <c r="G39" s="304">
        <v>36171.560000000005</v>
      </c>
      <c r="H39" s="304">
        <v>4890.6099999999988</v>
      </c>
      <c r="I39" s="304"/>
      <c r="J39" s="304">
        <v>1402.6299999999999</v>
      </c>
      <c r="K39" s="304">
        <v>355.64</v>
      </c>
      <c r="L39" s="304"/>
      <c r="M39" s="304"/>
      <c r="N39" s="304"/>
      <c r="O39" s="304"/>
      <c r="P39" s="304"/>
      <c r="Q39" s="304"/>
      <c r="R39" s="304"/>
      <c r="S39" s="304"/>
      <c r="T39" s="304"/>
      <c r="U39" s="304"/>
      <c r="V39" s="304">
        <v>8951</v>
      </c>
      <c r="W39" s="304"/>
      <c r="X39" s="304"/>
      <c r="Y39" s="304"/>
      <c r="Z39" s="304"/>
      <c r="AA39" s="304">
        <v>12748.18</v>
      </c>
      <c r="AB39" s="304">
        <v>9.0399999999999991</v>
      </c>
      <c r="AC39" s="304"/>
      <c r="AD39" s="304">
        <v>3556.1800000000007</v>
      </c>
      <c r="AE39" s="304">
        <v>1144.54</v>
      </c>
      <c r="AF39" s="304"/>
      <c r="AG39" s="304"/>
      <c r="AH39" s="304"/>
      <c r="AI39" s="304"/>
      <c r="AJ39" s="304"/>
      <c r="AK39" s="304">
        <v>99960.930000000008</v>
      </c>
      <c r="AL39" s="304">
        <v>252.3</v>
      </c>
      <c r="AM39" s="304"/>
      <c r="AN39" s="304">
        <v>26455.87999999999</v>
      </c>
      <c r="AO39" s="304">
        <v>10067.27</v>
      </c>
      <c r="AP39" s="304"/>
      <c r="AQ39" s="304"/>
      <c r="AR39" s="304"/>
      <c r="AS39" s="304"/>
      <c r="AT39" s="304"/>
      <c r="AU39" s="304"/>
      <c r="AV39" s="304"/>
      <c r="AW39" s="304"/>
      <c r="AX39" s="304">
        <v>34140.12000000001</v>
      </c>
      <c r="AY39" s="304"/>
      <c r="AZ39" s="304"/>
      <c r="BA39" s="304"/>
      <c r="BB39" s="304">
        <v>9012.7999999999993</v>
      </c>
      <c r="BC39" s="304">
        <v>4444.88</v>
      </c>
      <c r="BD39" s="304"/>
      <c r="BE39" s="304"/>
      <c r="BF39" s="304"/>
      <c r="BG39" s="304"/>
      <c r="BH39" s="304"/>
      <c r="BI39" s="304">
        <v>19691.669999999998</v>
      </c>
      <c r="BJ39" s="304">
        <v>197.49</v>
      </c>
      <c r="BK39" s="304"/>
      <c r="BL39" s="304">
        <v>5250.6800000000012</v>
      </c>
      <c r="BM39" s="304">
        <v>1482.1299999999999</v>
      </c>
      <c r="BN39" s="304"/>
      <c r="BO39" s="304"/>
      <c r="BP39" s="304"/>
      <c r="BQ39" s="304"/>
      <c r="BR39" s="304"/>
      <c r="BS39" s="304"/>
      <c r="BT39" s="304"/>
      <c r="BU39" s="304"/>
      <c r="BV39" s="304"/>
      <c r="BW39" s="304"/>
      <c r="BX39" s="304"/>
      <c r="BY39" s="304"/>
      <c r="BZ39" s="304">
        <v>270</v>
      </c>
      <c r="CA39" s="304"/>
      <c r="CB39" s="304"/>
      <c r="CC39" s="304"/>
      <c r="CD39" s="304"/>
      <c r="CE39" s="304"/>
      <c r="CF39" s="304">
        <v>7019.0199999999995</v>
      </c>
      <c r="CG39" s="304"/>
      <c r="CH39" s="304">
        <v>11155.91</v>
      </c>
      <c r="CI39" s="304"/>
      <c r="CJ39" s="304"/>
      <c r="CK39" s="304"/>
      <c r="CL39" s="304"/>
      <c r="CM39" s="304"/>
      <c r="CN39" s="304">
        <v>6968.84</v>
      </c>
      <c r="CO39" s="304">
        <v>7137.6499999999987</v>
      </c>
      <c r="CP39" s="304"/>
      <c r="CQ39" s="304"/>
      <c r="CR39" s="304"/>
      <c r="CS39" s="304"/>
      <c r="CT39" s="304">
        <v>23827.25</v>
      </c>
      <c r="CU39" s="304">
        <v>2518.2200000000003</v>
      </c>
      <c r="CV39" s="304"/>
      <c r="CW39" s="304">
        <v>1916.6</v>
      </c>
      <c r="CX39" s="304">
        <v>73.859999999999985</v>
      </c>
      <c r="CY39" s="304"/>
      <c r="CZ39" s="304"/>
      <c r="DA39" s="304"/>
      <c r="DB39" s="304"/>
      <c r="DC39" s="304"/>
      <c r="DD39" s="304"/>
      <c r="DE39" s="304"/>
      <c r="DF39" s="304"/>
      <c r="DG39" s="304"/>
      <c r="DH39" s="304"/>
      <c r="DI39" s="304"/>
      <c r="DJ39" s="304"/>
      <c r="DK39" s="304">
        <v>2279</v>
      </c>
      <c r="DL39" s="304">
        <v>5744.8999999999987</v>
      </c>
      <c r="DM39" s="304"/>
      <c r="DN39" s="304"/>
      <c r="DO39" s="304">
        <v>2941.1600000000003</v>
      </c>
      <c r="DP39" s="304"/>
      <c r="DQ39" s="304"/>
      <c r="DR39" s="304">
        <v>37709.839999999997</v>
      </c>
      <c r="DS39" s="304"/>
      <c r="DT39" s="304">
        <v>33.65</v>
      </c>
      <c r="DU39" s="304">
        <v>1254.9100000000001</v>
      </c>
      <c r="DV39" s="426"/>
      <c r="DW39" s="304"/>
      <c r="DX39" s="304"/>
      <c r="DY39" s="304"/>
      <c r="DZ39" s="304"/>
      <c r="EA39" s="304">
        <v>2556.5500000000002</v>
      </c>
      <c r="EB39" s="304">
        <v>8501.7000000000007</v>
      </c>
      <c r="EC39" s="304"/>
      <c r="ED39" s="304"/>
      <c r="EE39" s="304">
        <v>2382.21</v>
      </c>
      <c r="EF39" s="304"/>
      <c r="EG39" s="304"/>
      <c r="EH39" s="304"/>
      <c r="EI39" s="304"/>
      <c r="EJ39" s="304">
        <v>7845.49</v>
      </c>
      <c r="EK39" s="304">
        <v>3205.44</v>
      </c>
      <c r="EL39" s="304">
        <v>3009.04</v>
      </c>
      <c r="EM39" s="304">
        <v>1064.51</v>
      </c>
      <c r="EN39" s="304">
        <v>11136.84</v>
      </c>
      <c r="EO39" s="304"/>
      <c r="EP39" s="304">
        <v>0</v>
      </c>
      <c r="EQ39" s="304"/>
      <c r="ER39" s="304"/>
      <c r="ES39" s="304">
        <v>-621871.73</v>
      </c>
      <c r="ET39" s="304"/>
      <c r="EU39" s="304"/>
      <c r="EV39" s="304">
        <v>-3000</v>
      </c>
      <c r="EW39" s="304">
        <v>-18180</v>
      </c>
      <c r="EX39" s="304"/>
      <c r="EY39" s="304"/>
      <c r="EZ39" s="304"/>
      <c r="FA39" s="304">
        <v>-2400</v>
      </c>
      <c r="FB39" s="304"/>
      <c r="FC39" s="304"/>
      <c r="FD39" s="304"/>
      <c r="FE39" s="304">
        <v>-5068.75</v>
      </c>
      <c r="FF39" s="304">
        <v>-17718</v>
      </c>
      <c r="FG39" s="304">
        <v>-15427</v>
      </c>
      <c r="FH39" s="304"/>
      <c r="FI39" s="304"/>
      <c r="FJ39" s="304">
        <v>127920.49999999999</v>
      </c>
      <c r="FK39" s="304">
        <v>-15676.33</v>
      </c>
      <c r="FL39" s="304"/>
      <c r="FM39" s="304">
        <v>33795.93</v>
      </c>
      <c r="FN39" s="304">
        <v>-56628</v>
      </c>
      <c r="FO39" s="304">
        <v>1976.64</v>
      </c>
      <c r="FP39" s="304">
        <v>292.8</v>
      </c>
      <c r="FQ39" s="304">
        <v>1933.58</v>
      </c>
      <c r="FR39" s="304">
        <v>-5407</v>
      </c>
      <c r="FS39" s="304">
        <v>-10859</v>
      </c>
      <c r="FT39" s="304">
        <v>452.25</v>
      </c>
      <c r="FU39" s="304"/>
      <c r="FV39" s="304"/>
      <c r="FW39" s="304">
        <v>1283.8800000000001</v>
      </c>
      <c r="FX39" s="304">
        <v>6160.7799999999988</v>
      </c>
      <c r="FY39" s="304"/>
      <c r="FZ39" s="304">
        <v>25063.7</v>
      </c>
      <c r="GA39" s="304">
        <v>1184</v>
      </c>
      <c r="GB39" s="304">
        <v>4495.6200000000017</v>
      </c>
      <c r="GC39" s="304">
        <v>261</v>
      </c>
      <c r="GD39" s="304">
        <v>3884.56</v>
      </c>
      <c r="GE39" s="304">
        <v>2254.46</v>
      </c>
      <c r="GF39" s="304">
        <v>1008</v>
      </c>
      <c r="GG39" s="304">
        <v>560</v>
      </c>
      <c r="GH39" s="304">
        <v>1227.76</v>
      </c>
      <c r="GI39" s="304">
        <v>2522.3999999999996</v>
      </c>
      <c r="GJ39" s="304"/>
      <c r="GK39" s="304"/>
      <c r="GL39" s="304"/>
      <c r="GM39" s="304"/>
      <c r="GN39" s="304"/>
      <c r="GO39" s="304"/>
      <c r="GP39" s="304"/>
      <c r="GQ39" s="304"/>
      <c r="GR39" s="304">
        <v>-16780</v>
      </c>
      <c r="GS39" s="304">
        <v>-13264.510000000006</v>
      </c>
      <c r="GT39" s="304"/>
      <c r="GU39" s="304"/>
      <c r="GV39" s="304"/>
      <c r="GW39" s="304"/>
      <c r="GX39" s="304">
        <v>34.239999999999995</v>
      </c>
      <c r="GY39" s="304"/>
      <c r="GZ39" s="304">
        <v>-9639.5499999999993</v>
      </c>
      <c r="HA39" s="304">
        <v>-8922.0299999999988</v>
      </c>
      <c r="HB39" s="304"/>
      <c r="HC39" s="304"/>
      <c r="HD39" s="304">
        <v>-160</v>
      </c>
      <c r="HE39" s="304"/>
      <c r="HF39" s="304"/>
      <c r="HG39" s="304"/>
    </row>
    <row r="40" spans="1:215">
      <c r="A40" s="116"/>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426"/>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row>
    <row r="41" spans="1:215">
      <c r="A41" s="116"/>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426"/>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row>
    <row r="42" spans="1:215">
      <c r="A42" s="116"/>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426"/>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42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42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R34"/>
  <sheetViews>
    <sheetView workbookViewId="0">
      <selection activeCell="A3" sqref="A3:HP32"/>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6" s="46" customFormat="1">
      <c r="B1" s="46" t="str">
        <f>VLOOKUP(B2,'Sch Nums for Downloads'!$P$5:$Q$487,2,FALSE)</f>
        <v>E03</v>
      </c>
      <c r="C1" s="46" t="str">
        <f>VLOOKUP(C2,'Sch Nums for Downloads'!$P$5:$Q$487,2,FALSE)</f>
        <v>E03</v>
      </c>
      <c r="D1" s="46" t="str">
        <f>VLOOKUP(D2,'Sch Nums for Downloads'!$P$5:$Q$487,2,FALSE)</f>
        <v>E03</v>
      </c>
      <c r="E1" s="46" t="str">
        <f>VLOOKUP(E2,'Sch Nums for Downloads'!$P$5:$Q$487,2,FALSE)</f>
        <v>E03</v>
      </c>
      <c r="F1" s="46" t="str">
        <f>VLOOKUP(F2,'Sch Nums for Downloads'!$P$5:$Q$487,2,FALSE)</f>
        <v>E03</v>
      </c>
      <c r="G1" s="46" t="str">
        <f>VLOOKUP(G2,'Sch Nums for Downloads'!$P$5:$Q$487,2,FALSE)</f>
        <v>E01</v>
      </c>
      <c r="H1" s="46" t="str">
        <f>VLOOKUP(H2,'Sch Nums for Downloads'!$P$5:$Q$487,2,FALSE)</f>
        <v>E01</v>
      </c>
      <c r="I1" s="46" t="str">
        <f>VLOOKUP(I2,'Sch Nums for Downloads'!$P$5:$Q$487,2,FALSE)</f>
        <v>E26</v>
      </c>
      <c r="J1" s="46" t="str">
        <f>VLOOKUP(J2,'Sch Nums for Downloads'!$P$5:$Q$487,2,FALSE)</f>
        <v>E01</v>
      </c>
      <c r="K1" s="46" t="str">
        <f>VLOOKUP(K2,'Sch Nums for Downloads'!$P$5:$Q$487,2,FALSE)</f>
        <v>E01</v>
      </c>
      <c r="L1" s="46" t="str">
        <f>VLOOKUP(L2,'Sch Nums for Downloads'!$P$5:$Q$487,2,FALSE)</f>
        <v>E02</v>
      </c>
      <c r="M1" s="46" t="str">
        <f>VLOOKUP(M2,'Sch Nums for Downloads'!$P$5:$Q$487,2,FALSE)</f>
        <v>E02</v>
      </c>
      <c r="N1" s="46" t="str">
        <f>VLOOKUP(N2,'Sch Nums for Downloads'!$P$5:$Q$487,2,FALSE)</f>
        <v>E02</v>
      </c>
      <c r="O1" s="46" t="str">
        <f>VLOOKUP(O2,'Sch Nums for Downloads'!$P$5:$Q$487,2,FALSE)</f>
        <v>E02</v>
      </c>
      <c r="P1" s="46" t="str">
        <f>VLOOKUP(P2,'Sch Nums for Downloads'!$P$5:$Q$487,2,FALSE)</f>
        <v>E03</v>
      </c>
      <c r="Q1" s="46" t="str">
        <f>VLOOKUP(Q2,'Sch Nums for Downloads'!$P$5:$Q$487,2,FALSE)</f>
        <v>E03</v>
      </c>
      <c r="R1" s="46" t="str">
        <f>VLOOKUP(R2,'Sch Nums for Downloads'!$P$5:$Q$487,2,FALSE)</f>
        <v>E03</v>
      </c>
      <c r="S1" s="46" t="str">
        <f>VLOOKUP(S2,'Sch Nums for Downloads'!$P$5:$Q$487,2,FALSE)</f>
        <v>E03</v>
      </c>
      <c r="T1" s="46" t="str">
        <f>VLOOKUP(T2,'Sch Nums for Downloads'!$P$5:$Q$487,2,FALSE)</f>
        <v>E03</v>
      </c>
      <c r="U1" s="46" t="str">
        <f>VLOOKUP(U2,'Sch Nums for Downloads'!$P$5:$Q$487,2,FALSE)</f>
        <v>E03</v>
      </c>
      <c r="V1" s="46" t="str">
        <f>VLOOKUP(V2,'Sch Nums for Downloads'!$P$5:$Q$487,2,FALSE)</f>
        <v>E03</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E07</v>
      </c>
      <c r="AB1" s="46" t="str">
        <f>VLOOKUP(AB2,'Sch Nums for Downloads'!$P$5:$Q$487,2,FALSE)</f>
        <v>E07</v>
      </c>
      <c r="AC1" s="46" t="str">
        <f>VLOOKUP(AC2,'Sch Nums for Downloads'!$P$5:$Q$487,2,FALSE)</f>
        <v>E07</v>
      </c>
      <c r="AD1" s="46" t="str">
        <f>VLOOKUP(AD2,'Sch Nums for Downloads'!$P$5:$Q$487,2,FALSE)</f>
        <v>E07</v>
      </c>
      <c r="AE1" s="46" t="str">
        <f>VLOOKUP(AE2,'Sch Nums for Downloads'!$P$5:$Q$487,2,FALSE)</f>
        <v>E07</v>
      </c>
      <c r="AF1" s="46" t="str">
        <f>VLOOKUP(AF2,'Sch Nums for Downloads'!$P$5:$Q$487,2,FALSE)</f>
        <v>E07</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E03</v>
      </c>
      <c r="AL1" s="46" t="str">
        <f>VLOOKUP(AL2,'Sch Nums for Downloads'!$P$5:$Q$487,2,FALSE)</f>
        <v>E03</v>
      </c>
      <c r="AM1" s="46" t="str">
        <f>VLOOKUP(AM2,'Sch Nums for Downloads'!$P$5:$Q$487,2,FALSE)</f>
        <v>E03</v>
      </c>
      <c r="AN1" s="46" t="str">
        <f>VLOOKUP(AN2,'Sch Nums for Downloads'!$P$5:$Q$487,2,FALSE)</f>
        <v>E03</v>
      </c>
      <c r="AO1" s="46" t="str">
        <f>VLOOKUP(AO2,'Sch Nums for Downloads'!$P$5:$Q$487,2,FALSE)</f>
        <v>E03</v>
      </c>
      <c r="AP1" s="46" t="str">
        <f>VLOOKUP(AP2,'Sch Nums for Downloads'!$P$5:$Q$487,2,FALSE)</f>
        <v>E03</v>
      </c>
      <c r="AQ1" s="46" t="str">
        <f>VLOOKUP(AQ2,'Sch Nums for Downloads'!$P$5:$Q$487,2,FALSE)</f>
        <v>E31</v>
      </c>
      <c r="AR1" s="46" t="str">
        <f>VLOOKUP(AR2,'Sch Nums for Downloads'!$P$5:$Q$487,2,FALSE)</f>
        <v>E31</v>
      </c>
      <c r="AS1" s="46" t="str">
        <f>VLOOKUP(AS2,'Sch Nums for Downloads'!$P$5:$Q$487,2,FALSE)</f>
        <v>E31</v>
      </c>
      <c r="AT1" s="46" t="str">
        <f>VLOOKUP(AT2,'Sch Nums for Downloads'!$P$5:$Q$487,2,FALSE)</f>
        <v>E31</v>
      </c>
      <c r="AU1" s="46" t="str">
        <f>VLOOKUP(AU2,'Sch Nums for Downloads'!$P$5:$Q$487,2,FALSE)</f>
        <v>E31</v>
      </c>
      <c r="AV1" s="46" t="str">
        <f>VLOOKUP(AV2,'Sch Nums for Downloads'!$P$5:$Q$487,2,FALSE)</f>
        <v>E07</v>
      </c>
      <c r="AW1" s="46" t="str">
        <f>VLOOKUP(AW2,'Sch Nums for Downloads'!$P$5:$Q$487,2,FALSE)</f>
        <v>E07</v>
      </c>
      <c r="AX1" s="46" t="str">
        <f>VLOOKUP(AX2,'Sch Nums for Downloads'!$P$5:$Q$487,2,FALSE)</f>
        <v>E07</v>
      </c>
      <c r="AY1" s="46" t="str">
        <f>VLOOKUP(AY2,'Sch Nums for Downloads'!$P$5:$Q$487,2,FALSE)</f>
        <v>E07</v>
      </c>
      <c r="AZ1" s="46" t="str">
        <f>VLOOKUP(AZ2,'Sch Nums for Downloads'!$P$5:$Q$487,2,FALSE)</f>
        <v>E05</v>
      </c>
      <c r="BA1" s="46" t="str">
        <f>VLOOKUP(BA2,'Sch Nums for Downloads'!$P$5:$Q$487,2,FALSE)</f>
        <v>E05</v>
      </c>
      <c r="BB1" s="46" t="str">
        <f>VLOOKUP(BB2,'Sch Nums for Downloads'!$P$5:$Q$487,2,FALSE)</f>
        <v>E05</v>
      </c>
      <c r="BC1" s="46" t="str">
        <f>VLOOKUP(BC2,'Sch Nums for Downloads'!$P$5:$Q$487,2,FALSE)</f>
        <v>E28A</v>
      </c>
      <c r="BD1" s="46" t="str">
        <f>VLOOKUP(BD2,'Sch Nums for Downloads'!$P$5:$Q$487,2,FALSE)</f>
        <v>E05</v>
      </c>
      <c r="BE1" s="46" t="str">
        <f>VLOOKUP(BE2,'Sch Nums for Downloads'!$P$5:$Q$487,2,FALSE)</f>
        <v>E05</v>
      </c>
      <c r="BF1" s="46" t="str">
        <f>VLOOKUP(BF2,'Sch Nums for Downloads'!$P$5:$Q$487,2,FALSE)</f>
        <v>E04</v>
      </c>
      <c r="BG1" s="46" t="str">
        <f>VLOOKUP(BG2,'Sch Nums for Downloads'!$P$5:$Q$487,2,FALSE)</f>
        <v>E04</v>
      </c>
      <c r="BH1" s="46" t="str">
        <f>VLOOKUP(BH2,'Sch Nums for Downloads'!$P$5:$Q$487,2,FALSE)</f>
        <v>E04</v>
      </c>
      <c r="BI1" s="46" t="str">
        <f>VLOOKUP(BI2,'Sch Nums for Downloads'!$P$5:$Q$487,2,FALSE)</f>
        <v>E04</v>
      </c>
      <c r="BJ1" s="46" t="str">
        <f>VLOOKUP(BJ2,'Sch Nums for Downloads'!$P$5:$Q$487,2,FALSE)</f>
        <v>E04</v>
      </c>
      <c r="BK1" s="46" t="str">
        <f>VLOOKUP(BK2,'Sch Nums for Downloads'!$P$5:$Q$487,2,FALSE)</f>
        <v>E06</v>
      </c>
      <c r="BL1" s="46" t="str">
        <f>VLOOKUP(BL2,'Sch Nums for Downloads'!$P$5:$Q$487,2,FALSE)</f>
        <v>E06</v>
      </c>
      <c r="BM1" s="46" t="str">
        <f>VLOOKUP(BM2,'Sch Nums for Downloads'!$P$5:$Q$487,2,FALSE)</f>
        <v>E06</v>
      </c>
      <c r="BN1" s="46" t="str">
        <f>VLOOKUP(BN2,'Sch Nums for Downloads'!$P$5:$Q$487,2,FALSE)</f>
        <v>E06</v>
      </c>
      <c r="BO1" s="46" t="str">
        <f>VLOOKUP(BO2,'Sch Nums for Downloads'!$P$5:$Q$487,2,FALSE)</f>
        <v>E06</v>
      </c>
      <c r="BP1" s="46" t="str">
        <f>VLOOKUP(BP2,'Sch Nums for Downloads'!$P$5:$Q$487,2,FALSE)</f>
        <v>E04</v>
      </c>
      <c r="BQ1" s="46" t="str">
        <f>VLOOKUP(BQ2,'Sch Nums for Downloads'!$P$5:$Q$487,2,FALSE)</f>
        <v>E04</v>
      </c>
      <c r="BR1" s="46" t="str">
        <f>VLOOKUP(BR2,'Sch Nums for Downloads'!$P$5:$Q$487,2,FALSE)</f>
        <v>E04</v>
      </c>
      <c r="BS1" s="46" t="str">
        <f>VLOOKUP(BS2,'Sch Nums for Downloads'!$P$5:$Q$487,2,FALSE)</f>
        <v>E04</v>
      </c>
      <c r="BT1" s="46" t="str">
        <f>VLOOKUP(BT2,'Sch Nums for Downloads'!$P$5:$Q$487,2,FALSE)</f>
        <v>E04</v>
      </c>
      <c r="BU1" s="46" t="str">
        <f>VLOOKUP(BU2,'Sch Nums for Downloads'!$P$5:$Q$487,2,FALSE)</f>
        <v>E07</v>
      </c>
      <c r="BV1" s="46" t="str">
        <f>VLOOKUP(BV2,'Sch Nums for Downloads'!$P$5:$Q$487,2,FALSE)</f>
        <v>E07</v>
      </c>
      <c r="BW1" s="46" t="str">
        <f>VLOOKUP(BW2,'Sch Nums for Downloads'!$P$5:$Q$487,2,FALSE)</f>
        <v>E07</v>
      </c>
      <c r="BX1" s="46" t="str">
        <f>VLOOKUP(BX2,'Sch Nums for Downloads'!$P$5:$Q$487,2,FALSE)</f>
        <v>E07</v>
      </c>
      <c r="BY1" s="46" t="str">
        <f>VLOOKUP(BY2,'Sch Nums for Downloads'!$P$5:$Q$487,2,FALSE)</f>
        <v>E07</v>
      </c>
      <c r="BZ1" s="46" t="str">
        <f>VLOOKUP(BZ2,'Sch Nums for Downloads'!$P$5:$Q$487,2,FALSE)</f>
        <v>E08</v>
      </c>
      <c r="CA1" s="46" t="str">
        <f>VLOOKUP(CA2,'Sch Nums for Downloads'!$P$5:$Q$487,2,FALSE)</f>
        <v>E08</v>
      </c>
      <c r="CB1" s="46" t="str">
        <f>VLOOKUP(CB2,'Sch Nums for Downloads'!$P$5:$Q$487,2,FALSE)</f>
        <v>E08</v>
      </c>
      <c r="CC1" s="46" t="str">
        <f>VLOOKUP(CC2,'Sch Nums for Downloads'!$P$5:$Q$487,2,FALSE)</f>
        <v>E08</v>
      </c>
      <c r="CD1" s="46" t="str">
        <f>VLOOKUP(CD2,'Sch Nums for Downloads'!$P$5:$Q$487,2,FALSE)</f>
        <v>E08</v>
      </c>
      <c r="CE1" s="46" t="str">
        <f>VLOOKUP(CE2,'Sch Nums for Downloads'!$P$5:$Q$487,2,FALSE)</f>
        <v>E08</v>
      </c>
      <c r="CF1" s="46" t="str">
        <f>VLOOKUP(CF2,'Sch Nums for Downloads'!$P$5:$Q$487,2,FALSE)</f>
        <v>E09</v>
      </c>
      <c r="CG1" s="46" t="str">
        <f>VLOOKUP(CG2,'Sch Nums for Downloads'!$P$5:$Q$487,2,FALSE)</f>
        <v>E11</v>
      </c>
      <c r="CH1" s="46" t="str">
        <f>VLOOKUP(CH2,'Sch Nums for Downloads'!$P$5:$Q$487,2,FALSE)</f>
        <v>E08</v>
      </c>
      <c r="CI1" s="46" t="str">
        <f>VLOOKUP(CI2,'Sch Nums for Downloads'!$P$5:$Q$487,2,FALSE)</f>
        <v>E08</v>
      </c>
      <c r="CJ1" s="46" t="str">
        <f>VLOOKUP(CJ2,'Sch Nums for Downloads'!$P$5:$Q$487,2,FALSE)</f>
        <v>E27</v>
      </c>
      <c r="CK1" s="46" t="str">
        <f>VLOOKUP(CK2,'Sch Nums for Downloads'!$P$5:$Q$487,2,FALSE)</f>
        <v>E12</v>
      </c>
      <c r="CL1" s="46" t="str">
        <f>VLOOKUP(CL2,'Sch Nums for Downloads'!$P$5:$Q$487,2,FALSE)</f>
        <v>E13</v>
      </c>
      <c r="CM1" s="46" t="str">
        <f>VLOOKUP(CM2,'Sch Nums for Downloads'!$P$5:$Q$487,2,FALSE)</f>
        <v>CE02</v>
      </c>
      <c r="CN1" s="46" t="str">
        <f>VLOOKUP(CN2,'Sch Nums for Downloads'!$P$5:$Q$487,2,FALSE)</f>
        <v>CE04A</v>
      </c>
      <c r="CO1" s="46" t="str">
        <f>VLOOKUP(CO2,'Sch Nums for Downloads'!$P$5:$Q$487,2,FALSE)</f>
        <v>CE04C</v>
      </c>
      <c r="CP1" s="46" t="str">
        <f>VLOOKUP(CP2,'Sch Nums for Downloads'!$P$5:$Q$487,2,FALSE)</f>
        <v>CE04D</v>
      </c>
      <c r="CQ1" s="46" t="str">
        <f>VLOOKUP(CQ2,'Sch Nums for Downloads'!$P$5:$Q$487,2,FALSE)</f>
        <v>CE04E</v>
      </c>
      <c r="CR1" s="46" t="str">
        <f>VLOOKUP(CR2,'Sch Nums for Downloads'!$P$5:$Q$487,2,FALSE)</f>
        <v>CE02</v>
      </c>
      <c r="CS1" s="46" t="str">
        <f>VLOOKUP(CS2,'Sch Nums for Downloads'!$P$5:$Q$487,2,FALSE)</f>
        <v>E18</v>
      </c>
      <c r="CT1" s="46" t="str">
        <f>VLOOKUP(CT2,'Sch Nums for Downloads'!$P$5:$Q$487,2,FALSE)</f>
        <v>E16</v>
      </c>
      <c r="CU1" s="46" t="str">
        <f>VLOOKUP(CU2,'Sch Nums for Downloads'!$P$5:$Q$487,2,FALSE)</f>
        <v>E16</v>
      </c>
      <c r="CV1" s="46" t="str">
        <f>VLOOKUP(CV2,'Sch Nums for Downloads'!$P$5:$Q$487,2,FALSE)</f>
        <v>E16</v>
      </c>
      <c r="CW1" s="46" t="str">
        <f>VLOOKUP(CW2,'Sch Nums for Downloads'!$P$5:$Q$487,2,FALSE)</f>
        <v>E18</v>
      </c>
      <c r="CX1" s="46" t="str">
        <f>VLOOKUP(CX2,'Sch Nums for Downloads'!$P$5:$Q$487,2,FALSE)</f>
        <v>E18</v>
      </c>
      <c r="CY1" s="46" t="str">
        <f>VLOOKUP(CY2,'Sch Nums for Downloads'!$P$5:$Q$487,2,FALSE)</f>
        <v>E18</v>
      </c>
      <c r="CZ1" s="46" t="str">
        <f>VLOOKUP(CZ2,'Sch Nums for Downloads'!$P$5:$Q$487,2,FALSE)</f>
        <v>E17</v>
      </c>
      <c r="DA1" s="46" t="str">
        <f>VLOOKUP(DA2,'Sch Nums for Downloads'!$P$5:$Q$487,2,FALSE)</f>
        <v>E15</v>
      </c>
      <c r="DB1" s="46" t="str">
        <f>VLOOKUP(DB2,'Sch Nums for Downloads'!$P$5:$Q$487,2,FALSE)</f>
        <v>E18</v>
      </c>
      <c r="DC1" s="46" t="str">
        <f>VLOOKUP(DC2,'Sch Nums for Downloads'!$P$5:$Q$487,2,FALSE)</f>
        <v>E14</v>
      </c>
      <c r="DD1" s="46" t="str">
        <f>VLOOKUP(DD2,'Sch Nums for Downloads'!$P$5:$Q$487,2,FALSE)</f>
        <v>E18</v>
      </c>
      <c r="DE1" s="46" t="str">
        <f>VLOOKUP(DE2,'Sch Nums for Downloads'!$P$5:$Q$487,2,FALSE)</f>
        <v>E23</v>
      </c>
      <c r="DF1" s="46" t="str">
        <f>VLOOKUP(DF2,'Sch Nums for Downloads'!$P$5:$Q$487,2,FALSE)</f>
        <v>CE03</v>
      </c>
      <c r="DG1" s="46" t="str">
        <f>VLOOKUP(DG2,'Sch Nums for Downloads'!$P$5:$Q$487,2,FALSE)</f>
        <v>CE03</v>
      </c>
      <c r="DH1" s="46" t="str">
        <f>VLOOKUP(DH2,'Sch Nums for Downloads'!$P$5:$Q$487,2,FALSE)</f>
        <v>E19</v>
      </c>
      <c r="DI1" s="46" t="str">
        <f>VLOOKUP(DI2,'Sch Nums for Downloads'!$P$5:$Q$487,2,FALSE)</f>
        <v>E19</v>
      </c>
      <c r="DJ1" s="46" t="str">
        <f>VLOOKUP(DJ2,'Sch Nums for Downloads'!$P$5:$Q$487,2,FALSE)</f>
        <v>E19</v>
      </c>
      <c r="DK1" s="46" t="str">
        <f>VLOOKUP(DK2,'Sch Nums for Downloads'!$P$5:$Q$487,2,FALSE)</f>
        <v>E08</v>
      </c>
      <c r="DL1" s="46" t="str">
        <f>VLOOKUP(DL2,'Sch Nums for Downloads'!$P$5:$Q$487,2,FALSE)</f>
        <v>E08</v>
      </c>
      <c r="DM1" s="46" t="str">
        <f>VLOOKUP(DM2,'Sch Nums for Downloads'!$P$5:$Q$487,2,FALSE)</f>
        <v>E23</v>
      </c>
      <c r="DN1" s="46" t="str">
        <f>VLOOKUP(DN2,'Sch Nums for Downloads'!$P$5:$Q$487,2,FALSE)</f>
        <v>E22</v>
      </c>
      <c r="DO1" s="46" t="str">
        <f>VLOOKUP(DO2,'Sch Nums for Downloads'!$P$5:$Q$487,2,FALSE)</f>
        <v>CE04A</v>
      </c>
      <c r="DP1" s="46" t="str">
        <f>VLOOKUP(DP2,'Sch Nums for Downloads'!$P$5:$Q$487,2,FALSE)</f>
        <v>CE04B</v>
      </c>
      <c r="DQ1" s="46" t="str">
        <f>VLOOKUP(DQ2,'Sch Nums for Downloads'!$P$5:$Q$487,2,FALSE)</f>
        <v>CE04C</v>
      </c>
      <c r="DR1" s="46" t="str">
        <f>VLOOKUP(DR2,'Sch Nums for Downloads'!$P$5:$Q$487,2,FALSE)</f>
        <v>CE04D</v>
      </c>
      <c r="DS1" s="46" t="str">
        <f>VLOOKUP(DS2,'Sch Nums for Downloads'!$P$5:$Q$487,2,FALSE)</f>
        <v>CE04E</v>
      </c>
      <c r="DT1" s="46" t="str">
        <f>VLOOKUP(DT2,'Sch Nums for Downloads'!$P$5:$Q$487,2,FALSE)</f>
        <v>E19</v>
      </c>
      <c r="DU1" s="46" t="str">
        <f>VLOOKUP(DU2,'Sch Nums for Downloads'!$P$5:$Q$487,2,FALSE)</f>
        <v>E08</v>
      </c>
      <c r="DV1" s="46" t="str">
        <f>VLOOKUP(DV2,'Sch Nums for Downloads'!$P$5:$Q$487,2,FALSE)</f>
        <v>E19</v>
      </c>
      <c r="DW1" s="46" t="str">
        <f>VLOOKUP(DW2,'Sch Nums for Downloads'!$P$5:$Q$487,2,FALSE)</f>
        <v>E22</v>
      </c>
      <c r="DX1" s="46" t="str">
        <f>VLOOKUP(DX2,'Sch Nums for Downloads'!$P$5:$Q$487,2,FALSE)</f>
        <v>E22</v>
      </c>
      <c r="DY1" s="46" t="str">
        <f>VLOOKUP(DY2,'Sch Nums for Downloads'!$P$5:$Q$487,2,FALSE)</f>
        <v>E22</v>
      </c>
      <c r="DZ1" s="46" t="str">
        <f>VLOOKUP(DZ2,'Sch Nums for Downloads'!$P$5:$Q$487,2,FALSE)</f>
        <v>E19</v>
      </c>
      <c r="EA1" s="46" t="str">
        <f>VLOOKUP(EA2,'Sch Nums for Downloads'!$P$5:$Q$487,2,FALSE)</f>
        <v>E28A</v>
      </c>
      <c r="EB1" s="46" t="str">
        <f>VLOOKUP(EB2,'Sch Nums for Downloads'!$P$5:$Q$487,2,FALSE)</f>
        <v>E27</v>
      </c>
      <c r="EC1" s="46" t="str">
        <f>VLOOKUP(EC2,'Sch Nums for Downloads'!$P$5:$Q$487,2,FALSE)</f>
        <v>E21</v>
      </c>
      <c r="ED1" s="46" t="str">
        <f>VLOOKUP(ED2,'Sch Nums for Downloads'!$P$5:$Q$487,2,FALSE)</f>
        <v>E22</v>
      </c>
      <c r="EE1" s="46" t="str">
        <f>VLOOKUP(EE2,'Sch Nums for Downloads'!$P$5:$Q$487,2,FALSE)</f>
        <v>E22</v>
      </c>
      <c r="EF1" s="159" t="str">
        <f>VLOOKUP(EF2,'Sch Nums for Downloads'!$P$5:$Q$487,2,FALSE)</f>
        <v>E20</v>
      </c>
      <c r="EG1" s="46" t="str">
        <f>VLOOKUP(EG2,'Sch Nums for Downloads'!$P$5:$Q$487,2,FALSE)</f>
        <v>E20A</v>
      </c>
      <c r="EH1" s="46" t="str">
        <f>VLOOKUP(EH2,'Sch Nums for Downloads'!$P$5:$Q$487,2,FALSE)</f>
        <v>E20B</v>
      </c>
      <c r="EI1" s="159" t="str">
        <f>VLOOKUP(EI2,'Sch Nums for Downloads'!$P$5:$Q$487,2,FALSE)</f>
        <v>E20</v>
      </c>
      <c r="EJ1" s="46" t="str">
        <f>VLOOKUP(EJ2,'Sch Nums for Downloads'!$P$5:$Q$487,2,FALSE)</f>
        <v>E20C</v>
      </c>
      <c r="EK1" s="46" t="str">
        <f>VLOOKUP(EK2,'Sch Nums for Downloads'!$P$5:$Q$487,2,FALSE)</f>
        <v>E20D</v>
      </c>
      <c r="EL1" s="46" t="str">
        <f>VLOOKUP(EL2,'Sch Nums for Downloads'!$P$5:$Q$487,2,FALSE)</f>
        <v>E20E</v>
      </c>
      <c r="EM1" s="46" t="str">
        <f>VLOOKUP(EM2,'Sch Nums for Downloads'!$P$5:$Q$487,2,FALSE)</f>
        <v>E20F</v>
      </c>
      <c r="EN1" s="46" t="str">
        <f>VLOOKUP(EN2,'Sch Nums for Downloads'!$P$5:$Q$487,2,FALSE)</f>
        <v>E20G</v>
      </c>
      <c r="EO1" s="46" t="str">
        <f>VLOOKUP(EO2,'Sch Nums for Downloads'!$P$5:$Q$487,2,FALSE)</f>
        <v>E08</v>
      </c>
      <c r="EP1" s="46" t="str">
        <f>VLOOKUP(EP2,'Sch Nums for Downloads'!$P$5:$Q$487,2,FALSE)</f>
        <v>E08</v>
      </c>
      <c r="EQ1" s="46" t="str">
        <f>VLOOKUP(EQ2,'Sch Nums for Downloads'!$P$5:$Q$487,2,FALSE)</f>
        <v>E19</v>
      </c>
      <c r="ER1" s="46" t="str">
        <f>VLOOKUP(ER2,'Sch Nums for Downloads'!$P$5:$Q$487,2,FALSE)</f>
        <v>E22</v>
      </c>
      <c r="ES1" s="46" t="str">
        <f>VLOOKUP(ES2,'Sch Nums for Downloads'!$P$5:$Q$487,2,FALSE)</f>
        <v>E23</v>
      </c>
      <c r="ET1" s="46" t="str">
        <f>VLOOKUP(ET2,'Sch Nums for Downloads'!$P$5:$Q$487,2,FALSE)</f>
        <v>E23</v>
      </c>
      <c r="EU1" s="46" t="str">
        <f>VLOOKUP(EU2,'Sch Nums for Downloads'!$P$5:$Q$487,2,FALSE)</f>
        <v>E10</v>
      </c>
      <c r="EV1" s="46" t="str">
        <f>VLOOKUP(EV2,'Sch Nums for Downloads'!$P$5:$Q$487,2,FALSE)</f>
        <v>E23</v>
      </c>
      <c r="EW1" s="46" t="str">
        <f>VLOOKUP(EW2,'Sch Nums for Downloads'!$P$5:$Q$487,2,FALSE)</f>
        <v>E19</v>
      </c>
      <c r="EX1" s="46" t="str">
        <f>VLOOKUP(EX2,'Sch Nums for Downloads'!$P$5:$Q$487,2,FALSE)</f>
        <v>E25</v>
      </c>
      <c r="EY1" s="46" t="str">
        <f>VLOOKUP(EY2,'Sch Nums for Downloads'!$P$5:$Q$487,2,FALSE)</f>
        <v>E19</v>
      </c>
      <c r="EZ1" s="46" t="str">
        <f>VLOOKUP(EZ2,'Sch Nums for Downloads'!$P$5:$Q$487,2,FALSE)</f>
        <v>E24</v>
      </c>
      <c r="FA1" s="46" t="str">
        <f>VLOOKUP(FA2,'Sch Nums for Downloads'!$P$5:$Q$487,2,FALSE)</f>
        <v>E32</v>
      </c>
      <c r="FB1" s="46" t="str">
        <f>VLOOKUP(FB2,'Sch Nums for Downloads'!$P$5:$Q$487,2,FALSE)</f>
        <v>E22</v>
      </c>
      <c r="FC1" s="46" t="str">
        <f>VLOOKUP(FC2,'Sch Nums for Downloads'!$P$5:$Q$487,2,FALSE)</f>
        <v>I01</v>
      </c>
      <c r="FD1" s="46" t="str">
        <f>VLOOKUP(FD2,'Sch Nums for Downloads'!$P$5:$Q$487,2,FALSE)</f>
        <v>I01</v>
      </c>
      <c r="FE1" s="46" t="str">
        <f>VLOOKUP(FE2,'Sch Nums for Downloads'!$P$5:$Q$487,2,FALSE)</f>
        <v>I 08b</v>
      </c>
      <c r="FF1" s="46" t="str">
        <f>VLOOKUP(FF2,'Sch Nums for Downloads'!$P$5:$Q$487,2,FALSE)</f>
        <v>I07</v>
      </c>
      <c r="FG1" s="46" t="str">
        <f>VLOOKUP(FG2,'Sch Nums for Downloads'!$P$5:$Q$487,2,FALSE)</f>
        <v>I05</v>
      </c>
      <c r="FH1" s="46" t="str">
        <f>VLOOKUP(FH2,'Sch Nums for Downloads'!$P$5:$Q$487,2,FALSE)</f>
        <v>I01</v>
      </c>
      <c r="FI1" s="46" t="str">
        <f>VLOOKUP(FI2,'Sch Nums for Downloads'!$P$5:$Q$487,2,FALSE)</f>
        <v>I06</v>
      </c>
      <c r="FJ1" s="46" t="str">
        <f>VLOOKUP(FJ2,'Sch Nums for Downloads'!$P$5:$Q$487,2,FALSE)</f>
        <v>I07</v>
      </c>
      <c r="FK1" s="46" t="str">
        <f>VLOOKUP(FK2,'Sch Nums for Downloads'!$P$5:$Q$487,2,FALSE)</f>
        <v>I10</v>
      </c>
      <c r="FL1" s="46" t="str">
        <f>VLOOKUP(FL2,'Sch Nums for Downloads'!$P$5:$Q$487,2,FALSE)</f>
        <v>I16</v>
      </c>
      <c r="FM1" s="46" t="str">
        <f>VLOOKUP(FM2,'Sch Nums for Downloads'!$P$5:$Q$487,2,FALSE)</f>
        <v>CI01</v>
      </c>
      <c r="FN1" s="46" t="str">
        <f>VLOOKUP(FN2,'Sch Nums for Downloads'!$P$5:$Q$487,2,FALSE)</f>
        <v>I06</v>
      </c>
      <c r="FO1" s="46" t="str">
        <f>VLOOKUP(FO2,'Sch Nums for Downloads'!$P$5:$Q$487,2,FALSE)</f>
        <v>I06</v>
      </c>
      <c r="FP1" s="46" t="str">
        <f>VLOOKUP(FP2,'Sch Nums for Downloads'!$P$5:$Q$487,2,FALSE)</f>
        <v>CI01</v>
      </c>
      <c r="FQ1" s="46" t="str">
        <f>VLOOKUP(FQ2,'Sch Nums for Downloads'!$P$5:$Q$487,2,FALSE)</f>
        <v>B01</v>
      </c>
      <c r="FR1" s="46" t="str">
        <f>VLOOKUP(FR2,'Sch Nums for Downloads'!$P$5:$Q$487,2,FALSE)</f>
        <v>B02</v>
      </c>
      <c r="FS1" s="46" t="str">
        <f>VLOOKUP(FS2,'Sch Nums for Downloads'!$P$5:$Q$487,2,FALSE)</f>
        <v>B03</v>
      </c>
      <c r="FT1" s="46" t="str">
        <f>VLOOKUP(FT2,'Sch Nums for Downloads'!$P$5:$Q$487,2,FALSE)</f>
        <v>B05</v>
      </c>
      <c r="FU1" s="46" t="str">
        <f>VLOOKUP(FU2,'Sch Nums for Downloads'!$P$5:$Q$487,2,FALSE)</f>
        <v>B06</v>
      </c>
      <c r="FV1" s="46" t="str">
        <f>VLOOKUP(FV2,'Sch Nums for Downloads'!$P$5:$Q$487,2,FALSE)</f>
        <v>I03</v>
      </c>
      <c r="FW1" s="46" t="str">
        <f>VLOOKUP(FW2,'Sch Nums for Downloads'!$P$5:$Q$487,2,FALSE)</f>
        <v>E23</v>
      </c>
      <c r="FX1" s="46" t="str">
        <f>VLOOKUP(FX2,'Sch Nums for Downloads'!$P$5:$Q$487,2,FALSE)</f>
        <v>E10</v>
      </c>
      <c r="FY1" s="46" t="str">
        <f>VLOOKUP(FY2,'Sch Nums for Downloads'!$P$5:$Q$487,2,FALSE)</f>
        <v>I01</v>
      </c>
      <c r="FZ1" s="46" t="str">
        <f>VLOOKUP(FZ2,'Sch Nums for Downloads'!$P$5:$Q$487,2,FALSE)</f>
        <v>B 01_01</v>
      </c>
      <c r="GA1" s="46" t="str">
        <f>VLOOKUP(GA2,'Sch Nums for Downloads'!$P$5:$Q$487,2,FALSE)</f>
        <v>I01</v>
      </c>
      <c r="GB1" s="46" t="str">
        <f>VLOOKUP(GB2,'Sch Nums for Downloads'!$P$5:$Q$487,2,FALSE)</f>
        <v>I01</v>
      </c>
      <c r="GC1" s="46" t="str">
        <f>VLOOKUP(GC2,'Sch Nums for Downloads'!$P$5:$Q$487,2,FALSE)</f>
        <v>E09</v>
      </c>
      <c r="GD1" s="46" t="str">
        <f>VLOOKUP(GD2,'Sch Nums for Downloads'!$P$5:$Q$487,2,FALSE)</f>
        <v>E10</v>
      </c>
      <c r="GE1" s="46" t="str">
        <f>VLOOKUP(GE2,'Sch Nums for Downloads'!$P$5:$Q$487,2,FALSE)</f>
        <v>E12</v>
      </c>
      <c r="GF1" s="46" t="str">
        <f>VLOOKUP(GF2,'Sch Nums for Downloads'!$P$5:$Q$487,2,FALSE)</f>
        <v>E13</v>
      </c>
      <c r="GG1" s="46" t="str">
        <f>VLOOKUP(GG2,'Sch Nums for Downloads'!$P$5:$Q$487,2,FALSE)</f>
        <v>E14</v>
      </c>
      <c r="GH1" s="46" t="str">
        <f>VLOOKUP(GH2,'Sch Nums for Downloads'!$P$5:$Q$487,2,FALSE)</f>
        <v>E25</v>
      </c>
      <c r="GI1" s="46" t="str">
        <f>VLOOKUP(GI2,'Sch Nums for Downloads'!$P$5:$Q$487,2,FALSE)</f>
        <v>E27</v>
      </c>
      <c r="GJ1" s="46" t="str">
        <f>VLOOKUP(GJ2,'Sch Nums for Downloads'!$P$5:$Q$487,2,FALSE)</f>
        <v>E28A</v>
      </c>
      <c r="GK1" s="46" t="str">
        <f>VLOOKUP(GK2,'Sch Nums for Downloads'!$P$5:$Q$487,2,FALSE)</f>
        <v>E28A</v>
      </c>
      <c r="GL1" s="46" t="str">
        <f>VLOOKUP(GL2,'Sch Nums for Downloads'!$P$5:$Q$487,2,FALSE)</f>
        <v>E28A</v>
      </c>
      <c r="GM1" s="46" t="str">
        <f>VLOOKUP(GM2,'Sch Nums for Downloads'!$P$5:$Q$487,2,FALSE)</f>
        <v>E28A</v>
      </c>
      <c r="GN1" s="46" t="str">
        <f>VLOOKUP(GN2,'Sch Nums for Downloads'!$P$5:$Q$487,2,FALSE)</f>
        <v>E20G</v>
      </c>
      <c r="GO1" s="46" t="str">
        <f>VLOOKUP(GO2,'Sch Nums for Downloads'!$P$5:$Q$487,2,FALSE)</f>
        <v>E28A</v>
      </c>
      <c r="GP1" s="46" t="str">
        <f>VLOOKUP(GP2,'Sch Nums for Downloads'!$P$5:$Q$487,2,FALSE)</f>
        <v>E28A</v>
      </c>
      <c r="GQ1" s="46" t="str">
        <f>VLOOKUP(GQ2,'Sch Nums for Downloads'!$P$5:$Q$487,2,FALSE)</f>
        <v>E18</v>
      </c>
      <c r="GR1" s="46" t="str">
        <f>VLOOKUP(GR2,'Sch Nums for Downloads'!$P$5:$Q$487,2,FALSE)</f>
        <v>E19</v>
      </c>
      <c r="GS1" s="46" t="str">
        <f>VLOOKUP(GS2,'Sch Nums for Downloads'!$P$5:$Q$487,2,FALSE)</f>
        <v>E30</v>
      </c>
      <c r="GT1" s="46" t="str">
        <f>VLOOKUP(GT2,'Sch Nums for Downloads'!$P$5:$Q$487,2,FALSE)</f>
        <v>CI04</v>
      </c>
      <c r="GU1" s="46" t="str">
        <f>VLOOKUP(GU2,'Sch Nums for Downloads'!$P$5:$Q$487,2,FALSE)</f>
        <v>I05</v>
      </c>
      <c r="GV1" s="46" t="str">
        <f>VLOOKUP(GV2,'Sch Nums for Downloads'!$P$5:$Q$487,2,FALSE)</f>
        <v>I06</v>
      </c>
      <c r="GW1" s="46" t="str">
        <f>VLOOKUP(GW2,'Sch Nums for Downloads'!$P$5:$Q$487,2,FALSE)</f>
        <v>I06</v>
      </c>
      <c r="GX1" s="46" t="str">
        <f>VLOOKUP(GX2,'Sch Nums for Downloads'!$P$5:$Q$487,2,FALSE)</f>
        <v>I07</v>
      </c>
      <c r="GY1" s="46" t="str">
        <f>VLOOKUP(GY2,'Sch Nums for Downloads'!$P$5:$Q$487,2,FALSE)</f>
        <v>I10</v>
      </c>
      <c r="GZ1" s="46" t="str">
        <f>VLOOKUP(GZ2,'Sch Nums for Downloads'!$P$5:$Q$487,2,FALSE)</f>
        <v>I03</v>
      </c>
      <c r="HA1" s="46" t="str">
        <f>VLOOKUP(HA2,'Sch Nums for Downloads'!$P$5:$Q$487,2,FALSE)</f>
        <v>I13</v>
      </c>
      <c r="HB1" s="46" t="str">
        <f>VLOOKUP(HB2,'Sch Nums for Downloads'!$P$5:$Q$487,2,FALSE)</f>
        <v>I12</v>
      </c>
      <c r="HC1" s="46" t="str">
        <f>VLOOKUP(HC2,'Sch Nums for Downloads'!$P$5:$Q$487,2,FALSE)</f>
        <v>CI01</v>
      </c>
      <c r="HD1" s="46" t="str">
        <f>VLOOKUP(HD2,'Sch Nums for Downloads'!$P$5:$Q$487,2,FALSE)</f>
        <v>I 08b</v>
      </c>
      <c r="HE1" s="46" t="str">
        <f>VLOOKUP(HE2,'Sch Nums for Downloads'!$P$5:$Q$487,2,FALSE)</f>
        <v>I12</v>
      </c>
      <c r="HF1" s="46" t="str">
        <f>VLOOKUP(HF2,'Sch Nums for Downloads'!$P$5:$Q$487,2,FALSE)</f>
        <v>I11</v>
      </c>
      <c r="HG1" s="46" t="str">
        <f>VLOOKUP(HG2,'Sch Nums for Downloads'!$P$5:$Q$487,2,FALSE)</f>
        <v>I09</v>
      </c>
      <c r="HH1" s="46" t="str">
        <f>VLOOKUP(HH2,'Sch Nums for Downloads'!$P$5:$Q$487,2,FALSE)</f>
        <v>I 08b</v>
      </c>
      <c r="HI1" s="46" t="str">
        <f>VLOOKUP(HI2,'Sch Nums for Downloads'!$P$5:$Q$487,2,FALSE)</f>
        <v>I 08a</v>
      </c>
      <c r="HJ1" s="46" t="str">
        <f>VLOOKUP(HJ2,'Sch Nums for Downloads'!$P$5:$Q$487,2,FALSE)</f>
        <v>I 08b</v>
      </c>
      <c r="HK1" s="46" t="str">
        <f>VLOOKUP(HK2,'Sch Nums for Downloads'!$P$5:$Q$487,2,FALSE)</f>
        <v>I 08b</v>
      </c>
      <c r="HL1" s="46" t="str">
        <f>VLOOKUP(HL2,'Sch Nums for Downloads'!$P$5:$Q$487,2,FALSE)</f>
        <v>I 08b</v>
      </c>
      <c r="HM1" s="46" t="str">
        <f>VLOOKUP(HM2,'Sch Nums for Downloads'!$P$5:$Q$487,2,FALSE)</f>
        <v>I 08b</v>
      </c>
      <c r="HN1" s="46" t="str">
        <f>VLOOKUP(HN2,'Sch Nums for Downloads'!$P$5:$Q$487,2,FALSE)</f>
        <v>I17</v>
      </c>
      <c r="HO1" s="46" t="str">
        <f>VLOOKUP(HO2,'Sch Nums for Downloads'!$P$5:$Q$487,2,FALSE)</f>
        <v>I16</v>
      </c>
      <c r="HP1" s="46" t="str">
        <f>VLOOKUP(HP2,'Sch Nums for Downloads'!$P$5:$Q$487,2,FALSE)</f>
        <v>I 08b</v>
      </c>
    </row>
    <row r="2" spans="1:226" s="107" customFormat="1">
      <c r="A2" s="107" t="s">
        <v>440</v>
      </c>
      <c r="B2" s="107">
        <v>10011</v>
      </c>
      <c r="C2" s="107">
        <v>10012</v>
      </c>
      <c r="D2" s="107">
        <v>10014</v>
      </c>
      <c r="E2" s="107">
        <v>10018</v>
      </c>
      <c r="F2" s="107">
        <v>10019</v>
      </c>
      <c r="G2" s="107">
        <v>10101</v>
      </c>
      <c r="H2" s="107">
        <v>10102</v>
      </c>
      <c r="I2" s="107">
        <v>10105</v>
      </c>
      <c r="J2" s="107">
        <v>10108</v>
      </c>
      <c r="K2" s="107">
        <v>10109</v>
      </c>
      <c r="L2" s="107">
        <v>10111</v>
      </c>
      <c r="M2" s="107">
        <v>10112</v>
      </c>
      <c r="N2" s="107">
        <v>10118</v>
      </c>
      <c r="O2" s="107">
        <v>10119</v>
      </c>
      <c r="P2" s="107">
        <v>10128</v>
      </c>
      <c r="Q2" s="107">
        <v>10138</v>
      </c>
      <c r="R2" s="107">
        <v>10151</v>
      </c>
      <c r="S2" s="107">
        <v>10152</v>
      </c>
      <c r="T2" s="107">
        <v>10154</v>
      </c>
      <c r="U2" s="107">
        <v>10158</v>
      </c>
      <c r="V2" s="107">
        <v>10159</v>
      </c>
      <c r="W2" s="107">
        <v>10181</v>
      </c>
      <c r="X2" s="107">
        <v>10182</v>
      </c>
      <c r="Y2" s="107">
        <v>10184</v>
      </c>
      <c r="Z2" s="107">
        <v>10188</v>
      </c>
      <c r="AA2" s="107">
        <v>10189</v>
      </c>
      <c r="AB2" s="107">
        <v>10191</v>
      </c>
      <c r="AC2" s="107">
        <v>10192</v>
      </c>
      <c r="AD2" s="107">
        <v>10194</v>
      </c>
      <c r="AE2" s="107">
        <v>10198</v>
      </c>
      <c r="AF2" s="107">
        <v>10199</v>
      </c>
      <c r="AG2" s="107">
        <v>10201</v>
      </c>
      <c r="AH2" s="107">
        <v>10202</v>
      </c>
      <c r="AI2" s="107">
        <v>10204</v>
      </c>
      <c r="AJ2" s="107">
        <v>10208</v>
      </c>
      <c r="AK2" s="107">
        <v>10209</v>
      </c>
      <c r="AL2" s="107">
        <v>10231</v>
      </c>
      <c r="AM2" s="107">
        <v>10232</v>
      </c>
      <c r="AN2" s="107">
        <v>10234</v>
      </c>
      <c r="AO2" s="107">
        <v>10238</v>
      </c>
      <c r="AP2" s="107">
        <v>10239</v>
      </c>
      <c r="AQ2" s="107">
        <v>10241</v>
      </c>
      <c r="AR2" s="107">
        <v>10242</v>
      </c>
      <c r="AS2" s="107">
        <v>10244</v>
      </c>
      <c r="AT2" s="107">
        <v>10248</v>
      </c>
      <c r="AU2" s="107">
        <v>10249</v>
      </c>
      <c r="AV2" s="107">
        <v>10818</v>
      </c>
      <c r="AW2" s="107">
        <v>10821</v>
      </c>
      <c r="AX2" s="107">
        <v>10828</v>
      </c>
      <c r="AY2" s="107">
        <v>10829</v>
      </c>
      <c r="AZ2" s="107">
        <v>10831</v>
      </c>
      <c r="BA2" s="107">
        <v>10832</v>
      </c>
      <c r="BB2" s="107">
        <v>10834</v>
      </c>
      <c r="BC2" s="107">
        <v>10835</v>
      </c>
      <c r="BD2" s="107">
        <v>10838</v>
      </c>
      <c r="BE2" s="107">
        <v>10839</v>
      </c>
      <c r="BF2" s="107">
        <v>10841</v>
      </c>
      <c r="BG2" s="107">
        <v>10842</v>
      </c>
      <c r="BH2" s="107">
        <v>10844</v>
      </c>
      <c r="BI2" s="107">
        <v>10848</v>
      </c>
      <c r="BJ2" s="107">
        <v>10849</v>
      </c>
      <c r="BK2" s="107">
        <v>10851</v>
      </c>
      <c r="BL2" s="107">
        <v>10852</v>
      </c>
      <c r="BM2" s="107">
        <v>10854</v>
      </c>
      <c r="BN2" s="107">
        <v>10858</v>
      </c>
      <c r="BO2" s="107">
        <v>10859</v>
      </c>
      <c r="BP2" s="107">
        <v>10861</v>
      </c>
      <c r="BQ2" s="107">
        <v>10862</v>
      </c>
      <c r="BR2" s="107">
        <v>10864</v>
      </c>
      <c r="BS2" s="107">
        <v>10868</v>
      </c>
      <c r="BT2" s="107">
        <v>10869</v>
      </c>
      <c r="BU2" s="107">
        <v>10901</v>
      </c>
      <c r="BV2" s="107">
        <v>10902</v>
      </c>
      <c r="BW2" s="107">
        <v>10904</v>
      </c>
      <c r="BX2" s="107">
        <v>10908</v>
      </c>
      <c r="BY2" s="107">
        <v>10909</v>
      </c>
      <c r="BZ2" s="107">
        <v>11020</v>
      </c>
      <c r="CA2" s="107">
        <v>11030</v>
      </c>
      <c r="CB2" s="107">
        <v>11050</v>
      </c>
      <c r="CC2" s="107">
        <v>11080</v>
      </c>
      <c r="CD2" s="107">
        <v>11100</v>
      </c>
      <c r="CE2" s="107">
        <v>11120</v>
      </c>
      <c r="CF2" s="107">
        <v>11150</v>
      </c>
      <c r="CG2" s="107">
        <v>11170</v>
      </c>
      <c r="CH2" s="107">
        <v>11770</v>
      </c>
      <c r="CI2" s="107">
        <v>11775</v>
      </c>
      <c r="CJ2" s="107">
        <v>13035</v>
      </c>
      <c r="CK2" s="107">
        <v>20060</v>
      </c>
      <c r="CL2" s="107">
        <v>20110</v>
      </c>
      <c r="CM2" s="107">
        <v>20130</v>
      </c>
      <c r="CN2" s="107">
        <v>20141</v>
      </c>
      <c r="CO2" s="107">
        <v>20143</v>
      </c>
      <c r="CP2" s="107">
        <v>20144</v>
      </c>
      <c r="CQ2" s="107">
        <v>20145</v>
      </c>
      <c r="CR2" s="107">
        <v>20190</v>
      </c>
      <c r="CS2" s="107">
        <v>20200</v>
      </c>
      <c r="CT2" s="107">
        <v>21010</v>
      </c>
      <c r="CU2" s="107">
        <v>21020</v>
      </c>
      <c r="CV2" s="107">
        <v>21030</v>
      </c>
      <c r="CW2" s="107">
        <v>22000</v>
      </c>
      <c r="CX2" s="107">
        <v>22030</v>
      </c>
      <c r="CY2" s="107">
        <v>22050</v>
      </c>
      <c r="CZ2" s="107">
        <v>22400</v>
      </c>
      <c r="DA2" s="107">
        <v>22700</v>
      </c>
      <c r="DB2" s="107">
        <v>23020</v>
      </c>
      <c r="DC2" s="107">
        <v>25020</v>
      </c>
      <c r="DD2" s="107">
        <v>25030</v>
      </c>
      <c r="DE2" s="107">
        <v>25710</v>
      </c>
      <c r="DF2" s="107">
        <v>30010</v>
      </c>
      <c r="DG2" s="107">
        <v>30011</v>
      </c>
      <c r="DH2" s="107">
        <v>30070</v>
      </c>
      <c r="DI2" s="107">
        <v>30120</v>
      </c>
      <c r="DJ2" s="107">
        <v>30160</v>
      </c>
      <c r="DK2" s="107">
        <v>33000</v>
      </c>
      <c r="DL2" s="107">
        <v>33020</v>
      </c>
      <c r="DM2" s="107">
        <v>34010</v>
      </c>
      <c r="DN2" s="107">
        <v>40000</v>
      </c>
      <c r="DO2" s="107">
        <v>40002</v>
      </c>
      <c r="DP2" s="107">
        <v>40003</v>
      </c>
      <c r="DQ2" s="107">
        <v>40004</v>
      </c>
      <c r="DR2" s="107">
        <v>40005</v>
      </c>
      <c r="DS2" s="107">
        <v>40006</v>
      </c>
      <c r="DT2" s="107">
        <v>40280</v>
      </c>
      <c r="DU2" s="107">
        <v>40450</v>
      </c>
      <c r="DV2" s="107">
        <v>40510</v>
      </c>
      <c r="DW2" s="107">
        <v>40540</v>
      </c>
      <c r="DX2" s="107">
        <v>41500</v>
      </c>
      <c r="DY2" s="107">
        <v>42000</v>
      </c>
      <c r="DZ2" s="107">
        <v>42040</v>
      </c>
      <c r="EA2" s="107">
        <v>43010</v>
      </c>
      <c r="EB2" s="107">
        <v>43040</v>
      </c>
      <c r="EC2" s="107">
        <v>43120</v>
      </c>
      <c r="ED2" s="107">
        <v>44000</v>
      </c>
      <c r="EE2" s="107">
        <v>44100</v>
      </c>
      <c r="EF2" s="107">
        <v>44280</v>
      </c>
      <c r="EG2" s="107">
        <v>44281</v>
      </c>
      <c r="EH2" s="107">
        <v>44282</v>
      </c>
      <c r="EI2" s="107">
        <v>44600</v>
      </c>
      <c r="EJ2" s="107">
        <v>44601</v>
      </c>
      <c r="EK2" s="107">
        <v>44602</v>
      </c>
      <c r="EL2" s="107">
        <v>44603</v>
      </c>
      <c r="EM2" s="107">
        <v>44604</v>
      </c>
      <c r="EN2" s="107">
        <v>44605</v>
      </c>
      <c r="EO2" s="107">
        <v>45010</v>
      </c>
      <c r="EP2" s="107">
        <v>45040</v>
      </c>
      <c r="EQ2" s="107">
        <v>46010</v>
      </c>
      <c r="ER2" s="107">
        <v>47710</v>
      </c>
      <c r="ES2" s="107">
        <v>47730</v>
      </c>
      <c r="ET2" s="107">
        <v>47731</v>
      </c>
      <c r="EU2" s="107">
        <v>47733</v>
      </c>
      <c r="EV2" s="107">
        <v>47735</v>
      </c>
      <c r="EW2" s="107">
        <v>47740</v>
      </c>
      <c r="EX2" s="107">
        <v>47780</v>
      </c>
      <c r="EY2" s="107">
        <v>47820</v>
      </c>
      <c r="EZ2" s="107">
        <v>47840</v>
      </c>
      <c r="FA2" s="107">
        <v>47850</v>
      </c>
      <c r="FB2" s="107">
        <v>61840</v>
      </c>
      <c r="FC2" s="107">
        <v>73000</v>
      </c>
      <c r="FD2" s="107">
        <v>73002</v>
      </c>
      <c r="FE2" s="107">
        <v>73003</v>
      </c>
      <c r="FF2" s="107">
        <v>73004</v>
      </c>
      <c r="FG2" s="107">
        <v>73007</v>
      </c>
      <c r="FH2" s="107">
        <v>73012</v>
      </c>
      <c r="FI2" s="107">
        <v>73023</v>
      </c>
      <c r="FJ2" s="107">
        <v>73025</v>
      </c>
      <c r="FK2" s="107">
        <v>73026</v>
      </c>
      <c r="FL2" s="107">
        <v>73030</v>
      </c>
      <c r="FM2" s="107">
        <v>73031</v>
      </c>
      <c r="FN2" s="107">
        <v>73032</v>
      </c>
      <c r="FO2" s="107">
        <v>73033</v>
      </c>
      <c r="FP2" s="107">
        <v>73036</v>
      </c>
      <c r="FQ2" s="107">
        <v>73037</v>
      </c>
      <c r="FR2" s="107">
        <v>73038</v>
      </c>
      <c r="FS2" s="107">
        <v>73039</v>
      </c>
      <c r="FT2" s="107">
        <v>73041</v>
      </c>
      <c r="FU2" s="107">
        <v>73042</v>
      </c>
      <c r="FV2" s="107">
        <v>73050</v>
      </c>
      <c r="FW2" s="107">
        <v>73051</v>
      </c>
      <c r="FX2" s="107">
        <v>73052</v>
      </c>
      <c r="FY2" s="107">
        <v>73054</v>
      </c>
      <c r="FZ2" s="107">
        <v>73056</v>
      </c>
      <c r="GA2" s="107">
        <v>73066</v>
      </c>
      <c r="GB2" s="107">
        <v>73068</v>
      </c>
      <c r="GC2" s="107">
        <v>73621</v>
      </c>
      <c r="GD2" s="107">
        <v>73622</v>
      </c>
      <c r="GE2" s="107">
        <v>73624</v>
      </c>
      <c r="GF2" s="107">
        <v>73625</v>
      </c>
      <c r="GG2" s="107">
        <v>73626</v>
      </c>
      <c r="GH2" s="107">
        <v>73627</v>
      </c>
      <c r="GI2" s="107">
        <v>73628</v>
      </c>
      <c r="GJ2" s="107">
        <v>73629</v>
      </c>
      <c r="GK2" s="107">
        <v>73630</v>
      </c>
      <c r="GL2" s="107">
        <v>73631</v>
      </c>
      <c r="GM2" s="107">
        <v>73632</v>
      </c>
      <c r="GN2" s="107">
        <v>73633</v>
      </c>
      <c r="GO2" s="107">
        <v>73634</v>
      </c>
      <c r="GP2" s="107">
        <v>73635</v>
      </c>
      <c r="GQ2" s="107">
        <v>73636</v>
      </c>
      <c r="GR2" s="107">
        <v>73650</v>
      </c>
      <c r="GS2" s="107">
        <v>75500</v>
      </c>
      <c r="GT2" s="107">
        <v>79101</v>
      </c>
      <c r="GU2" s="107">
        <v>80001</v>
      </c>
      <c r="GV2" s="107">
        <v>80003</v>
      </c>
      <c r="GW2" s="107">
        <v>80006</v>
      </c>
      <c r="GX2" s="107">
        <v>80907</v>
      </c>
      <c r="GY2" s="107">
        <v>81101</v>
      </c>
      <c r="GZ2" s="107">
        <v>81200</v>
      </c>
      <c r="HA2" s="107">
        <v>81304</v>
      </c>
      <c r="HB2" s="107">
        <v>81305</v>
      </c>
      <c r="HC2" s="107">
        <v>81306</v>
      </c>
      <c r="HD2" s="107">
        <v>81309</v>
      </c>
      <c r="HE2" s="107">
        <v>81315</v>
      </c>
      <c r="HF2" s="107">
        <v>81409</v>
      </c>
      <c r="HG2" s="107">
        <v>82000</v>
      </c>
      <c r="HH2" s="107">
        <v>82300</v>
      </c>
      <c r="HI2" s="107">
        <v>82306</v>
      </c>
      <c r="HJ2" s="107">
        <v>82312</v>
      </c>
      <c r="HK2" s="107">
        <v>82330</v>
      </c>
      <c r="HL2" s="107">
        <v>82538</v>
      </c>
      <c r="HM2" s="107">
        <v>82700</v>
      </c>
      <c r="HN2" s="107">
        <v>82716</v>
      </c>
      <c r="HO2" s="107">
        <v>82717</v>
      </c>
      <c r="HP2" s="107">
        <v>83003</v>
      </c>
      <c r="HR2" s="107" t="s">
        <v>1004</v>
      </c>
    </row>
    <row r="3" spans="1:226" ht="13.5" customHeight="1">
      <c r="A3" s="116">
        <v>107800</v>
      </c>
      <c r="B3" s="304"/>
      <c r="C3" s="304"/>
      <c r="D3" s="304"/>
      <c r="E3" s="304"/>
      <c r="F3" s="304"/>
      <c r="G3" s="304">
        <v>437431.86</v>
      </c>
      <c r="H3" s="304">
        <v>2564.3700000000003</v>
      </c>
      <c r="I3" s="304">
        <v>224.5</v>
      </c>
      <c r="J3" s="304">
        <v>126190.81999999998</v>
      </c>
      <c r="K3" s="304">
        <v>57330.58</v>
      </c>
      <c r="L3" s="304">
        <v>1235.1799999999998</v>
      </c>
      <c r="M3" s="304"/>
      <c r="N3" s="304">
        <v>354.24</v>
      </c>
      <c r="O3" s="304">
        <v>147.65999999999997</v>
      </c>
      <c r="P3" s="304"/>
      <c r="Q3" s="304"/>
      <c r="R3" s="304"/>
      <c r="S3" s="304"/>
      <c r="T3" s="304"/>
      <c r="U3" s="304"/>
      <c r="V3" s="304"/>
      <c r="W3" s="304">
        <v>27151.12999999999</v>
      </c>
      <c r="X3" s="304">
        <v>43.16</v>
      </c>
      <c r="Y3" s="304"/>
      <c r="Z3" s="304">
        <v>7161.2800000000007</v>
      </c>
      <c r="AA3" s="304">
        <v>3328.7100000000005</v>
      </c>
      <c r="AB3" s="304">
        <v>13797.400000000001</v>
      </c>
      <c r="AC3" s="304">
        <v>121.67</v>
      </c>
      <c r="AD3" s="304"/>
      <c r="AE3" s="304">
        <v>3674.1700000000005</v>
      </c>
      <c r="AF3" s="304">
        <v>1560.9999999999998</v>
      </c>
      <c r="AG3" s="304">
        <v>834.45</v>
      </c>
      <c r="AH3" s="304"/>
      <c r="AI3" s="304"/>
      <c r="AJ3" s="304">
        <v>220.26999999999998</v>
      </c>
      <c r="AK3" s="304">
        <v>97.52000000000001</v>
      </c>
      <c r="AL3" s="304">
        <v>210696.11</v>
      </c>
      <c r="AM3" s="304">
        <v>2754.89</v>
      </c>
      <c r="AN3" s="304">
        <v>924.77</v>
      </c>
      <c r="AO3" s="304">
        <v>56594.42</v>
      </c>
      <c r="AP3" s="304">
        <v>24471.509999999995</v>
      </c>
      <c r="AQ3" s="304"/>
      <c r="AR3" s="304"/>
      <c r="AS3" s="304"/>
      <c r="AT3" s="304"/>
      <c r="AU3" s="304"/>
      <c r="AV3" s="304"/>
      <c r="AW3" s="304"/>
      <c r="AX3" s="304"/>
      <c r="AY3" s="304"/>
      <c r="AZ3" s="304">
        <v>46434.93</v>
      </c>
      <c r="BA3" s="304">
        <v>828.81</v>
      </c>
      <c r="BB3" s="304">
        <v>117.72</v>
      </c>
      <c r="BC3" s="304"/>
      <c r="BD3" s="304">
        <v>12508.510000000002</v>
      </c>
      <c r="BE3" s="304">
        <v>5588.23</v>
      </c>
      <c r="BF3" s="304">
        <v>0</v>
      </c>
      <c r="BG3" s="304"/>
      <c r="BH3" s="304"/>
      <c r="BI3" s="304">
        <v>0</v>
      </c>
      <c r="BJ3" s="304"/>
      <c r="BK3" s="304"/>
      <c r="BL3" s="304"/>
      <c r="BM3" s="304"/>
      <c r="BN3" s="304"/>
      <c r="BO3" s="304"/>
      <c r="BP3" s="304">
        <v>16928.78</v>
      </c>
      <c r="BQ3" s="304">
        <v>1177.23</v>
      </c>
      <c r="BR3" s="304"/>
      <c r="BS3" s="304">
        <v>1042.3699999999999</v>
      </c>
      <c r="BT3" s="304">
        <v>1605.5200000000002</v>
      </c>
      <c r="BU3" s="304"/>
      <c r="BV3" s="304"/>
      <c r="BW3" s="304"/>
      <c r="BX3" s="304"/>
      <c r="BY3" s="304"/>
      <c r="BZ3" s="304"/>
      <c r="CA3" s="304"/>
      <c r="CB3" s="304"/>
      <c r="CC3" s="304"/>
      <c r="CD3" s="304"/>
      <c r="CE3" s="304"/>
      <c r="CF3" s="304">
        <v>4087</v>
      </c>
      <c r="CG3" s="304"/>
      <c r="CH3" s="304">
        <v>0</v>
      </c>
      <c r="CI3" s="304"/>
      <c r="CJ3" s="304">
        <v>6153</v>
      </c>
      <c r="CK3" s="304">
        <v>13385.03</v>
      </c>
      <c r="CL3" s="304">
        <v>3946.96</v>
      </c>
      <c r="CM3" s="304">
        <v>8583.9200000000055</v>
      </c>
      <c r="CN3" s="304"/>
      <c r="CO3" s="304"/>
      <c r="CP3" s="304"/>
      <c r="CQ3" s="304"/>
      <c r="CR3" s="304"/>
      <c r="CS3" s="304"/>
      <c r="CT3" s="304">
        <v>11131.119999999999</v>
      </c>
      <c r="CU3" s="304">
        <v>9213.33</v>
      </c>
      <c r="CV3" s="304"/>
      <c r="CW3" s="304"/>
      <c r="CX3" s="304"/>
      <c r="CY3" s="304"/>
      <c r="CZ3" s="304">
        <v>15593.75</v>
      </c>
      <c r="DA3" s="304">
        <v>3440.96</v>
      </c>
      <c r="DB3" s="304"/>
      <c r="DC3" s="304">
        <v>2922.6600000000003</v>
      </c>
      <c r="DD3" s="304">
        <v>137.72</v>
      </c>
      <c r="DE3" s="304"/>
      <c r="DF3" s="304"/>
      <c r="DG3" s="304"/>
      <c r="DH3" s="304"/>
      <c r="DI3" s="304"/>
      <c r="DJ3" s="304"/>
      <c r="DK3" s="304"/>
      <c r="DL3" s="304"/>
      <c r="DM3" s="304"/>
      <c r="DN3" s="304"/>
      <c r="DO3" s="304"/>
      <c r="DP3" s="304"/>
      <c r="DQ3" s="304"/>
      <c r="DR3" s="304"/>
      <c r="DS3" s="304"/>
      <c r="DT3" s="304">
        <v>21.060000000000002</v>
      </c>
      <c r="DU3" s="304">
        <v>3807</v>
      </c>
      <c r="DV3" s="304">
        <v>35407.210000000014</v>
      </c>
      <c r="DW3" s="304">
        <v>194.36999999999998</v>
      </c>
      <c r="DX3" s="304"/>
      <c r="DY3" s="304">
        <v>300.53999999999996</v>
      </c>
      <c r="DZ3" s="304">
        <v>2626.6299999999997</v>
      </c>
      <c r="EA3" s="304">
        <v>2499</v>
      </c>
      <c r="EB3" s="304">
        <v>33864.17</v>
      </c>
      <c r="EC3" s="304"/>
      <c r="ED3" s="304">
        <v>9.09</v>
      </c>
      <c r="EE3" s="304">
        <v>276.2</v>
      </c>
      <c r="EF3" s="426"/>
      <c r="EG3" s="304">
        <v>3271.45</v>
      </c>
      <c r="EH3" s="304"/>
      <c r="EI3" s="426"/>
      <c r="EJ3" s="304"/>
      <c r="EK3" s="304">
        <v>5029.5599999999995</v>
      </c>
      <c r="EL3" s="304"/>
      <c r="EM3" s="304"/>
      <c r="EN3" s="304"/>
      <c r="EO3" s="304"/>
      <c r="EP3" s="304"/>
      <c r="EQ3" s="304"/>
      <c r="ER3" s="304"/>
      <c r="ES3" s="304"/>
      <c r="ET3" s="304"/>
      <c r="EU3" s="304"/>
      <c r="EV3" s="304">
        <v>6678</v>
      </c>
      <c r="EW3" s="304">
        <v>8253.41</v>
      </c>
      <c r="EX3" s="304">
        <v>-17.339999999999918</v>
      </c>
      <c r="EY3" s="304">
        <v>27172.83</v>
      </c>
      <c r="EZ3" s="304"/>
      <c r="FA3" s="304"/>
      <c r="FB3" s="304"/>
      <c r="FC3" s="304">
        <v>-1027379.16</v>
      </c>
      <c r="FD3" s="304"/>
      <c r="FE3" s="304"/>
      <c r="FF3" s="304">
        <v>-50000</v>
      </c>
      <c r="FG3" s="304">
        <v>-16550</v>
      </c>
      <c r="FH3" s="304">
        <v>3732.76</v>
      </c>
      <c r="FI3" s="304"/>
      <c r="FJ3" s="304"/>
      <c r="FK3" s="304"/>
      <c r="FL3" s="304"/>
      <c r="FM3" s="304">
        <v>-6227.5</v>
      </c>
      <c r="FN3" s="304">
        <v>-41140</v>
      </c>
      <c r="FO3" s="304">
        <v>-16210</v>
      </c>
      <c r="FP3" s="304"/>
      <c r="FQ3" s="304"/>
      <c r="FR3" s="304">
        <v>369657.17</v>
      </c>
      <c r="FS3" s="304">
        <v>-27162.639999999999</v>
      </c>
      <c r="FT3" s="304"/>
      <c r="FU3" s="304"/>
      <c r="FV3" s="304">
        <v>-121770</v>
      </c>
      <c r="FW3" s="304">
        <v>4118</v>
      </c>
      <c r="FX3" s="304">
        <v>610</v>
      </c>
      <c r="FY3" s="304"/>
      <c r="FZ3" s="304">
        <v>-25056.720000000001</v>
      </c>
      <c r="GA3" s="304">
        <v>-9209</v>
      </c>
      <c r="GB3" s="304">
        <v>-18873</v>
      </c>
      <c r="GC3" s="304">
        <v>1381</v>
      </c>
      <c r="GD3" s="304"/>
      <c r="GE3" s="304">
        <v>1575.72</v>
      </c>
      <c r="GF3" s="304">
        <v>648.16</v>
      </c>
      <c r="GG3" s="304"/>
      <c r="GH3" s="304">
        <v>48351.25</v>
      </c>
      <c r="GI3" s="304">
        <v>2031</v>
      </c>
      <c r="GJ3" s="304">
        <v>5689.010000000002</v>
      </c>
      <c r="GK3" s="304"/>
      <c r="GL3" s="304">
        <v>4006.59</v>
      </c>
      <c r="GM3" s="304">
        <v>2848.09</v>
      </c>
      <c r="GN3" s="304">
        <v>5515</v>
      </c>
      <c r="GO3" s="304">
        <v>560</v>
      </c>
      <c r="GP3" s="304">
        <v>1084</v>
      </c>
      <c r="GQ3" s="304">
        <v>1699.12</v>
      </c>
      <c r="GR3" s="304"/>
      <c r="GS3" s="304"/>
      <c r="GT3" s="304"/>
      <c r="GU3" s="304"/>
      <c r="GV3" s="304"/>
      <c r="GW3" s="304"/>
      <c r="GX3" s="304"/>
      <c r="GY3" s="304"/>
      <c r="GZ3" s="304"/>
      <c r="HA3" s="304">
        <v>-19811.55</v>
      </c>
      <c r="HB3" s="304">
        <v>-26642.559999999994</v>
      </c>
      <c r="HC3" s="304"/>
      <c r="HD3" s="304"/>
      <c r="HE3" s="304">
        <v>-4216.9900000000007</v>
      </c>
      <c r="HF3" s="304"/>
      <c r="HG3" s="304">
        <v>-3741.8500000000004</v>
      </c>
      <c r="HH3" s="304">
        <v>-144</v>
      </c>
      <c r="HI3" s="304">
        <v>-1460.24</v>
      </c>
      <c r="HJ3" s="304">
        <v>-50083.869999999995</v>
      </c>
      <c r="HK3" s="304"/>
      <c r="HL3" s="304"/>
      <c r="HM3" s="304"/>
      <c r="HN3" s="304"/>
    </row>
    <row r="4" spans="1:226">
      <c r="A4" s="116">
        <v>107803</v>
      </c>
      <c r="B4" s="304"/>
      <c r="C4" s="304"/>
      <c r="D4" s="304"/>
      <c r="E4" s="304"/>
      <c r="F4" s="304"/>
      <c r="G4" s="304">
        <v>540366.81999999995</v>
      </c>
      <c r="H4" s="304">
        <v>1964.24</v>
      </c>
      <c r="I4" s="304">
        <v>17269.099999999995</v>
      </c>
      <c r="J4" s="304">
        <v>154180.38999999998</v>
      </c>
      <c r="K4" s="304">
        <v>72034.929999999993</v>
      </c>
      <c r="L4" s="304">
        <v>12208.679999999998</v>
      </c>
      <c r="M4" s="304"/>
      <c r="N4" s="304">
        <v>3543.04</v>
      </c>
      <c r="O4" s="304">
        <v>1323.51</v>
      </c>
      <c r="P4" s="304"/>
      <c r="Q4" s="304"/>
      <c r="R4" s="304"/>
      <c r="S4" s="304"/>
      <c r="T4" s="304"/>
      <c r="U4" s="304"/>
      <c r="V4" s="304"/>
      <c r="W4" s="304">
        <v>15505.61</v>
      </c>
      <c r="X4" s="304">
        <v>155.85000000000002</v>
      </c>
      <c r="Y4" s="304">
        <v>403.20000000000005</v>
      </c>
      <c r="Z4" s="304">
        <v>4240.79</v>
      </c>
      <c r="AA4" s="304">
        <v>1461.29</v>
      </c>
      <c r="AB4" s="304">
        <v>15698.71</v>
      </c>
      <c r="AC4" s="304">
        <v>929.25</v>
      </c>
      <c r="AD4" s="304">
        <v>1460.7</v>
      </c>
      <c r="AE4" s="304">
        <v>4455.3100000000004</v>
      </c>
      <c r="AF4" s="304">
        <v>533.37</v>
      </c>
      <c r="AG4" s="304"/>
      <c r="AH4" s="304"/>
      <c r="AI4" s="304"/>
      <c r="AJ4" s="304"/>
      <c r="AK4" s="304"/>
      <c r="AL4" s="304">
        <v>265063.69999999995</v>
      </c>
      <c r="AM4" s="304">
        <v>8734.75</v>
      </c>
      <c r="AN4" s="304">
        <v>5712.9400000000005</v>
      </c>
      <c r="AO4" s="304">
        <v>74611.610000000015</v>
      </c>
      <c r="AP4" s="304">
        <v>30764.68</v>
      </c>
      <c r="AQ4" s="304"/>
      <c r="AR4" s="304"/>
      <c r="AS4" s="304"/>
      <c r="AT4" s="304"/>
      <c r="AU4" s="304"/>
      <c r="AV4" s="304"/>
      <c r="AW4" s="304"/>
      <c r="AX4" s="304"/>
      <c r="AY4" s="304"/>
      <c r="AZ4" s="304">
        <v>33863.4</v>
      </c>
      <c r="BA4" s="304">
        <v>978.88</v>
      </c>
      <c r="BB4" s="304">
        <v>4346.630000000001</v>
      </c>
      <c r="BC4" s="304"/>
      <c r="BD4" s="304">
        <v>9390.869999999999</v>
      </c>
      <c r="BE4" s="304">
        <v>4266.6200000000008</v>
      </c>
      <c r="BF4" s="304"/>
      <c r="BG4" s="304"/>
      <c r="BH4" s="304"/>
      <c r="BI4" s="304"/>
      <c r="BJ4" s="304"/>
      <c r="BK4" s="304">
        <v>25950.039999999994</v>
      </c>
      <c r="BL4" s="304"/>
      <c r="BM4" s="304">
        <v>40.409999999999997</v>
      </c>
      <c r="BN4" s="304">
        <v>6861.3199999999979</v>
      </c>
      <c r="BO4" s="304">
        <v>2397.3700000000003</v>
      </c>
      <c r="BP4" s="304">
        <v>11388.470000000001</v>
      </c>
      <c r="BQ4" s="304"/>
      <c r="BR4" s="304"/>
      <c r="BS4" s="304">
        <v>3006.5200000000004</v>
      </c>
      <c r="BT4" s="304">
        <v>1061.76</v>
      </c>
      <c r="BU4" s="304">
        <v>8075.9999999999991</v>
      </c>
      <c r="BV4" s="304">
        <v>18.96</v>
      </c>
      <c r="BW4" s="304">
        <v>74.66</v>
      </c>
      <c r="BX4" s="304">
        <v>2156.64</v>
      </c>
      <c r="BY4" s="304">
        <v>508.01</v>
      </c>
      <c r="BZ4" s="304"/>
      <c r="CA4" s="304"/>
      <c r="CB4" s="304"/>
      <c r="CC4" s="304"/>
      <c r="CD4" s="304"/>
      <c r="CE4" s="304">
        <v>111</v>
      </c>
      <c r="CF4" s="304">
        <v>8334.51</v>
      </c>
      <c r="CG4" s="304">
        <v>17286.38</v>
      </c>
      <c r="CH4" s="304"/>
      <c r="CI4" s="304"/>
      <c r="CJ4" s="304">
        <v>103121.69999999998</v>
      </c>
      <c r="CK4" s="304">
        <v>8969.1700000000019</v>
      </c>
      <c r="CL4" s="304">
        <v>334.24</v>
      </c>
      <c r="CM4" s="304">
        <v>27335.96</v>
      </c>
      <c r="CN4" s="304"/>
      <c r="CO4" s="304"/>
      <c r="CP4" s="304"/>
      <c r="CQ4" s="304"/>
      <c r="CR4" s="304">
        <v>0.28000000000000003</v>
      </c>
      <c r="CS4" s="304"/>
      <c r="CT4" s="304">
        <v>14163.859999999999</v>
      </c>
      <c r="CU4" s="304">
        <v>14247.35</v>
      </c>
      <c r="CV4" s="304"/>
      <c r="CW4" s="304"/>
      <c r="CX4" s="304"/>
      <c r="CY4" s="304"/>
      <c r="CZ4" s="304">
        <v>36855</v>
      </c>
      <c r="DA4" s="304">
        <v>5029.4600000000009</v>
      </c>
      <c r="DB4" s="304"/>
      <c r="DC4" s="304">
        <v>3317.1</v>
      </c>
      <c r="DD4" s="304">
        <v>3817.1599999999994</v>
      </c>
      <c r="DE4" s="304"/>
      <c r="DF4" s="304"/>
      <c r="DG4" s="304"/>
      <c r="DH4" s="304"/>
      <c r="DI4" s="304"/>
      <c r="DJ4" s="304"/>
      <c r="DK4" s="304"/>
      <c r="DL4" s="304">
        <v>79.8</v>
      </c>
      <c r="DM4" s="304"/>
      <c r="DN4" s="304">
        <v>951.93000000000006</v>
      </c>
      <c r="DO4" s="304"/>
      <c r="DP4" s="304"/>
      <c r="DQ4" s="304"/>
      <c r="DR4" s="304"/>
      <c r="DS4" s="304"/>
      <c r="DT4" s="304"/>
      <c r="DU4" s="304">
        <v>4753</v>
      </c>
      <c r="DV4" s="304">
        <v>39745.039999999986</v>
      </c>
      <c r="DW4" s="304">
        <v>235.28</v>
      </c>
      <c r="DX4" s="304"/>
      <c r="DY4" s="304">
        <v>5152.3900000000003</v>
      </c>
      <c r="DZ4" s="304">
        <v>7512.0300000000007</v>
      </c>
      <c r="EA4" s="304">
        <v>15675.8</v>
      </c>
      <c r="EB4" s="304"/>
      <c r="EC4" s="304"/>
      <c r="ED4" s="304">
        <v>1.75</v>
      </c>
      <c r="EE4" s="304">
        <v>3144.24</v>
      </c>
      <c r="EF4" s="426"/>
      <c r="EG4" s="304">
        <v>4825.8599999999997</v>
      </c>
      <c r="EH4" s="304"/>
      <c r="EI4" s="426"/>
      <c r="EJ4" s="304">
        <v>2062.66</v>
      </c>
      <c r="EK4" s="304">
        <v>1532.29</v>
      </c>
      <c r="EL4" s="304">
        <v>5998.2599999999993</v>
      </c>
      <c r="EM4" s="304"/>
      <c r="EN4" s="304">
        <v>7448.79</v>
      </c>
      <c r="EO4" s="304"/>
      <c r="EP4" s="304"/>
      <c r="EQ4" s="304"/>
      <c r="ER4" s="304"/>
      <c r="ES4" s="304">
        <v>16.59</v>
      </c>
      <c r="ET4" s="304"/>
      <c r="EU4" s="304">
        <v>66.040000000000006</v>
      </c>
      <c r="EV4" s="304">
        <v>8347.5</v>
      </c>
      <c r="EW4" s="304">
        <v>174.5</v>
      </c>
      <c r="EX4" s="304">
        <v>59035.280000000028</v>
      </c>
      <c r="EY4" s="304">
        <v>31721.629999999997</v>
      </c>
      <c r="EZ4" s="304"/>
      <c r="FA4" s="304"/>
      <c r="FB4" s="304"/>
      <c r="FC4" s="304">
        <v>-1401389.78</v>
      </c>
      <c r="FD4" s="304"/>
      <c r="FE4" s="304">
        <v>-21539.78</v>
      </c>
      <c r="FF4" s="304"/>
      <c r="FG4" s="304">
        <v>-116970</v>
      </c>
      <c r="FH4" s="304"/>
      <c r="FI4" s="304">
        <v>-3256.93</v>
      </c>
      <c r="FJ4" s="304"/>
      <c r="FK4" s="304"/>
      <c r="FL4" s="304"/>
      <c r="FM4" s="304">
        <v>-6868.75</v>
      </c>
      <c r="FN4" s="304">
        <v>-46630</v>
      </c>
      <c r="FO4" s="304">
        <v>-16641</v>
      </c>
      <c r="FP4" s="304"/>
      <c r="FQ4" s="304">
        <v>-211213.8</v>
      </c>
      <c r="FR4" s="304"/>
      <c r="FS4" s="304"/>
      <c r="FT4" s="304"/>
      <c r="FU4" s="304"/>
      <c r="FV4" s="304">
        <v>-85690</v>
      </c>
      <c r="FW4" s="304">
        <v>5147.5</v>
      </c>
      <c r="FX4" s="304">
        <v>762.5</v>
      </c>
      <c r="FY4" s="304"/>
      <c r="FZ4" s="304"/>
      <c r="GA4" s="304">
        <v>-13291</v>
      </c>
      <c r="GB4" s="304">
        <v>-27554</v>
      </c>
      <c r="GC4" s="304">
        <v>3361</v>
      </c>
      <c r="GD4" s="304"/>
      <c r="GE4" s="304">
        <v>1761.16</v>
      </c>
      <c r="GF4" s="304"/>
      <c r="GG4" s="304">
        <v>38812.159999999996</v>
      </c>
      <c r="GH4" s="304">
        <v>710</v>
      </c>
      <c r="GI4" s="304">
        <v>1143.0999999999999</v>
      </c>
      <c r="GJ4" s="304">
        <v>10445.42</v>
      </c>
      <c r="GK4" s="304"/>
      <c r="GL4" s="304">
        <v>4406.92</v>
      </c>
      <c r="GM4" s="304">
        <v>4015.34</v>
      </c>
      <c r="GN4" s="304">
        <v>2625</v>
      </c>
      <c r="GO4" s="304">
        <v>560</v>
      </c>
      <c r="GP4" s="304">
        <v>1195</v>
      </c>
      <c r="GQ4" s="304"/>
      <c r="GR4" s="304">
        <v>1934.68</v>
      </c>
      <c r="GS4" s="304"/>
      <c r="GT4" s="304"/>
      <c r="GU4" s="304"/>
      <c r="GV4" s="304"/>
      <c r="GW4" s="304"/>
      <c r="GX4" s="304"/>
      <c r="GY4" s="304">
        <v>-4124</v>
      </c>
      <c r="GZ4" s="304"/>
      <c r="HA4" s="304">
        <v>-780</v>
      </c>
      <c r="HB4" s="304">
        <v>-22616.809999999998</v>
      </c>
      <c r="HC4" s="304"/>
      <c r="HD4" s="304"/>
      <c r="HE4" s="304"/>
      <c r="HF4" s="304">
        <v>-1992</v>
      </c>
      <c r="HG4" s="304">
        <v>-17039.919999999998</v>
      </c>
      <c r="HH4" s="304"/>
      <c r="HI4" s="304"/>
      <c r="HJ4" s="304">
        <v>-41166.770000000019</v>
      </c>
      <c r="HK4" s="304"/>
      <c r="HL4" s="304"/>
      <c r="HM4" s="304">
        <v>-3730.77</v>
      </c>
      <c r="HN4" s="304"/>
      <c r="HP4">
        <v>-10449.879999999999</v>
      </c>
    </row>
    <row r="5" spans="1:226" s="142" customFormat="1">
      <c r="A5" s="425">
        <v>107805</v>
      </c>
      <c r="B5" s="426"/>
      <c r="C5" s="426"/>
      <c r="D5" s="426"/>
      <c r="E5" s="426"/>
      <c r="F5" s="426"/>
      <c r="G5" s="426">
        <v>269967.21999999997</v>
      </c>
      <c r="H5" s="426">
        <v>8941.0300000000007</v>
      </c>
      <c r="I5" s="426">
        <v>10509</v>
      </c>
      <c r="J5" s="426">
        <v>82265.900000000009</v>
      </c>
      <c r="K5" s="426">
        <v>37935.68</v>
      </c>
      <c r="L5" s="426">
        <v>131.68</v>
      </c>
      <c r="M5" s="426"/>
      <c r="N5" s="426">
        <v>37.770000000000003</v>
      </c>
      <c r="O5" s="426">
        <v>15.85</v>
      </c>
      <c r="P5" s="426"/>
      <c r="Q5" s="426"/>
      <c r="R5" s="426"/>
      <c r="S5" s="426"/>
      <c r="T5" s="426"/>
      <c r="U5" s="426"/>
      <c r="V5" s="426"/>
      <c r="W5" s="426">
        <v>9936.99</v>
      </c>
      <c r="X5" s="426">
        <v>41.52</v>
      </c>
      <c r="Y5" s="426">
        <v>305.82</v>
      </c>
      <c r="Z5" s="426">
        <v>2714.83</v>
      </c>
      <c r="AA5" s="426">
        <v>532.41</v>
      </c>
      <c r="AB5" s="426">
        <v>11777.74</v>
      </c>
      <c r="AC5" s="426">
        <v>727.88</v>
      </c>
      <c r="AD5" s="426"/>
      <c r="AE5" s="426">
        <v>3301.2499999999995</v>
      </c>
      <c r="AF5" s="426">
        <v>1053.6500000000001</v>
      </c>
      <c r="AG5" s="426"/>
      <c r="AH5" s="426"/>
      <c r="AI5" s="426"/>
      <c r="AJ5" s="426"/>
      <c r="AK5" s="426"/>
      <c r="AL5" s="426">
        <v>147193.66999999998</v>
      </c>
      <c r="AM5" s="426">
        <v>1076.58</v>
      </c>
      <c r="AN5" s="426">
        <v>4501.2299999999996</v>
      </c>
      <c r="AO5" s="426">
        <v>36034.43</v>
      </c>
      <c r="AP5" s="426">
        <v>15925.130000000001</v>
      </c>
      <c r="AQ5" s="426">
        <v>42887.329999999994</v>
      </c>
      <c r="AR5" s="426"/>
      <c r="AS5" s="426">
        <v>169.52</v>
      </c>
      <c r="AT5" s="426">
        <v>11366.9</v>
      </c>
      <c r="AU5" s="426">
        <v>5108.91</v>
      </c>
      <c r="AV5" s="426"/>
      <c r="AW5" s="426"/>
      <c r="AX5" s="426"/>
      <c r="AY5" s="426"/>
      <c r="AZ5" s="426">
        <v>42864.71</v>
      </c>
      <c r="BA5" s="426">
        <v>293.47999999999996</v>
      </c>
      <c r="BB5" s="426">
        <v>858.47</v>
      </c>
      <c r="BC5" s="426"/>
      <c r="BD5" s="426">
        <v>11620.229999999998</v>
      </c>
      <c r="BE5" s="426">
        <v>4350.6099999999997</v>
      </c>
      <c r="BF5" s="426"/>
      <c r="BG5" s="426"/>
      <c r="BH5" s="426"/>
      <c r="BI5" s="426"/>
      <c r="BJ5" s="426"/>
      <c r="BK5" s="426"/>
      <c r="BL5" s="426"/>
      <c r="BM5" s="426"/>
      <c r="BN5" s="426"/>
      <c r="BO5" s="426"/>
      <c r="BP5" s="426">
        <v>1424.7399999999998</v>
      </c>
      <c r="BQ5" s="426">
        <v>7.7</v>
      </c>
      <c r="BR5" s="426"/>
      <c r="BS5" s="426">
        <v>378.10999999999996</v>
      </c>
      <c r="BT5" s="426">
        <v>9.1199999999999992</v>
      </c>
      <c r="BU5" s="426"/>
      <c r="BV5" s="426"/>
      <c r="BW5" s="426"/>
      <c r="BX5" s="426"/>
      <c r="BY5" s="426"/>
      <c r="BZ5" s="426"/>
      <c r="CA5" s="426"/>
      <c r="CB5" s="426"/>
      <c r="CC5" s="426"/>
      <c r="CD5" s="426">
        <v>48</v>
      </c>
      <c r="CE5" s="426">
        <v>25</v>
      </c>
      <c r="CF5" s="426">
        <v>3709.8799999999997</v>
      </c>
      <c r="CG5" s="426">
        <v>1619.61</v>
      </c>
      <c r="CH5" s="426"/>
      <c r="CI5" s="426"/>
      <c r="CJ5" s="426">
        <v>2124</v>
      </c>
      <c r="CK5" s="426">
        <v>15119.720000000003</v>
      </c>
      <c r="CL5" s="426">
        <v>1750</v>
      </c>
      <c r="CM5" s="426">
        <v>4450</v>
      </c>
      <c r="CN5" s="426">
        <v>156.36000000000001</v>
      </c>
      <c r="CO5" s="426"/>
      <c r="CP5" s="426">
        <v>530</v>
      </c>
      <c r="CQ5" s="426"/>
      <c r="CR5" s="426">
        <v>163.56</v>
      </c>
      <c r="CS5" s="426">
        <v>911.13</v>
      </c>
      <c r="CT5" s="426">
        <v>7451.7</v>
      </c>
      <c r="CU5" s="426">
        <v>4002.8500000000004</v>
      </c>
      <c r="CV5" s="426"/>
      <c r="CW5" s="426"/>
      <c r="CX5" s="426"/>
      <c r="CY5" s="426"/>
      <c r="CZ5" s="426">
        <v>12475</v>
      </c>
      <c r="DA5" s="426">
        <v>1968.6900000000005</v>
      </c>
      <c r="DB5" s="426"/>
      <c r="DC5" s="426">
        <v>1310.7099999999998</v>
      </c>
      <c r="DD5" s="426"/>
      <c r="DE5" s="426"/>
      <c r="DF5" s="426"/>
      <c r="DG5" s="426"/>
      <c r="DH5" s="426"/>
      <c r="DI5" s="426"/>
      <c r="DJ5" s="426"/>
      <c r="DK5" s="426">
        <v>0</v>
      </c>
      <c r="DL5" s="426"/>
      <c r="DM5" s="426"/>
      <c r="DN5" s="426">
        <v>1170</v>
      </c>
      <c r="DO5" s="426"/>
      <c r="DP5" s="426"/>
      <c r="DQ5" s="426"/>
      <c r="DR5" s="426"/>
      <c r="DS5" s="426"/>
      <c r="DT5" s="426"/>
      <c r="DU5" s="426">
        <v>2750</v>
      </c>
      <c r="DV5" s="426">
        <v>26098.46</v>
      </c>
      <c r="DW5" s="426">
        <v>354.36</v>
      </c>
      <c r="DX5" s="426"/>
      <c r="DY5" s="426"/>
      <c r="DZ5" s="426">
        <v>3241.5</v>
      </c>
      <c r="EA5" s="426"/>
      <c r="EB5" s="426">
        <v>45875.530000000006</v>
      </c>
      <c r="EC5" s="426"/>
      <c r="ED5" s="426">
        <v>10.35</v>
      </c>
      <c r="EE5" s="304">
        <v>784.76</v>
      </c>
      <c r="EF5" s="426"/>
      <c r="EG5" s="304">
        <v>2547.09</v>
      </c>
      <c r="EH5" s="304"/>
      <c r="EI5" s="426">
        <v>350</v>
      </c>
      <c r="EJ5" s="426">
        <v>1325.5</v>
      </c>
      <c r="EK5" s="426"/>
      <c r="EL5" s="426"/>
      <c r="EM5" s="426"/>
      <c r="EN5" s="426"/>
      <c r="EO5" s="426"/>
      <c r="EP5" s="426"/>
      <c r="EQ5" s="426"/>
      <c r="ER5" s="426"/>
      <c r="ES5" s="426"/>
      <c r="ET5" s="426"/>
      <c r="EU5" s="426"/>
      <c r="EV5" s="426">
        <v>3505.95</v>
      </c>
      <c r="EW5" s="426"/>
      <c r="EX5" s="426">
        <v>257.06</v>
      </c>
      <c r="EY5" s="426">
        <v>11304.240000000003</v>
      </c>
      <c r="EZ5" s="426"/>
      <c r="FA5" s="426">
        <v>8952.93</v>
      </c>
      <c r="FB5" s="426"/>
      <c r="FC5" s="426">
        <v>-628867.41</v>
      </c>
      <c r="FD5" s="426"/>
      <c r="FE5" s="426"/>
      <c r="FF5" s="426"/>
      <c r="FG5" s="426">
        <v>-44250</v>
      </c>
      <c r="FH5" s="426"/>
      <c r="FI5" s="426">
        <v>-28351.64</v>
      </c>
      <c r="FJ5" s="426"/>
      <c r="FK5" s="426"/>
      <c r="FL5" s="426">
        <v>-82284.110000000015</v>
      </c>
      <c r="FM5" s="426">
        <v>-5170</v>
      </c>
      <c r="FN5" s="426">
        <v>-20304</v>
      </c>
      <c r="FO5" s="426">
        <v>-15497</v>
      </c>
      <c r="FP5" s="426"/>
      <c r="FQ5" s="426">
        <v>-44544.37</v>
      </c>
      <c r="FR5" s="426"/>
      <c r="FS5" s="426">
        <v>-11060.74</v>
      </c>
      <c r="FT5" s="426">
        <v>-11264.75</v>
      </c>
      <c r="FU5" s="426">
        <v>-45903.66</v>
      </c>
      <c r="FV5" s="426">
        <v>-125766</v>
      </c>
      <c r="FW5" s="426">
        <v>2161.9499999999998</v>
      </c>
      <c r="FX5" s="426">
        <v>320.25</v>
      </c>
      <c r="FY5" s="426"/>
      <c r="FZ5" s="426"/>
      <c r="GA5" s="426">
        <v>-6235</v>
      </c>
      <c r="GB5" s="426">
        <v>-12622</v>
      </c>
      <c r="GC5" s="426">
        <v>2593</v>
      </c>
      <c r="GD5" s="426">
        <v>4858.8599999999997</v>
      </c>
      <c r="GE5" s="426">
        <v>1305.1600000000001</v>
      </c>
      <c r="GF5" s="426">
        <v>39.83</v>
      </c>
      <c r="GG5" s="426">
        <v>18205.240000000005</v>
      </c>
      <c r="GH5" s="426">
        <v>34229.230000000003</v>
      </c>
      <c r="GI5" s="426">
        <v>-548.9</v>
      </c>
      <c r="GJ5" s="426">
        <v>3122.0399999999995</v>
      </c>
      <c r="GK5" s="426">
        <v>261</v>
      </c>
      <c r="GL5" s="426">
        <v>2836.29</v>
      </c>
      <c r="GM5" s="426">
        <v>1894.28</v>
      </c>
      <c r="GN5" s="426">
        <v>2782.5</v>
      </c>
      <c r="GO5" s="426">
        <v>560</v>
      </c>
      <c r="GP5" s="426">
        <v>882.55</v>
      </c>
      <c r="GQ5" s="426">
        <v>1407.1799999999998</v>
      </c>
      <c r="GR5" s="426"/>
      <c r="GS5" s="426"/>
      <c r="GT5" s="426"/>
      <c r="GU5" s="426"/>
      <c r="GV5" s="426"/>
      <c r="GW5" s="426"/>
      <c r="GX5" s="426"/>
      <c r="GY5" s="426">
        <v>-1107</v>
      </c>
      <c r="GZ5" s="426"/>
      <c r="HA5" s="426">
        <v>-3928.7800000000011</v>
      </c>
      <c r="HB5" s="426">
        <v>-7053.1100000000006</v>
      </c>
      <c r="HC5" s="426"/>
      <c r="HD5" s="426"/>
      <c r="HE5" s="426">
        <v>-1442.1999999999998</v>
      </c>
      <c r="HF5" s="426">
        <v>-2973</v>
      </c>
      <c r="HG5" s="426"/>
      <c r="HH5" s="426"/>
      <c r="HI5" s="426"/>
      <c r="HJ5" s="426">
        <v>-18193.019999999997</v>
      </c>
      <c r="HK5" s="426"/>
      <c r="HL5" s="426">
        <v>-777.13000000000011</v>
      </c>
      <c r="HM5" s="426">
        <v>-394.5</v>
      </c>
      <c r="HN5" s="426">
        <v>-9365.6400000000012</v>
      </c>
      <c r="HP5" s="142">
        <v>-4570.2700000000004</v>
      </c>
    </row>
    <row r="6" spans="1:226">
      <c r="A6" s="116">
        <v>107808</v>
      </c>
      <c r="B6" s="304">
        <v>0</v>
      </c>
      <c r="C6" s="304"/>
      <c r="D6" s="304"/>
      <c r="E6" s="304"/>
      <c r="F6" s="304"/>
      <c r="G6" s="304">
        <v>280691.17000000004</v>
      </c>
      <c r="H6" s="304">
        <v>8218.3100000000013</v>
      </c>
      <c r="I6" s="304">
        <v>185</v>
      </c>
      <c r="J6" s="304">
        <v>82859.159999999989</v>
      </c>
      <c r="K6" s="304">
        <v>38008.54</v>
      </c>
      <c r="L6" s="304">
        <v>6306.1399999999994</v>
      </c>
      <c r="M6" s="304"/>
      <c r="N6" s="304">
        <v>1808.6</v>
      </c>
      <c r="O6" s="304">
        <v>472.10000000000008</v>
      </c>
      <c r="P6" s="304"/>
      <c r="Q6" s="304">
        <v>0</v>
      </c>
      <c r="R6" s="304"/>
      <c r="S6" s="304"/>
      <c r="T6" s="304"/>
      <c r="U6" s="304"/>
      <c r="V6" s="304"/>
      <c r="W6" s="304">
        <v>7145.52</v>
      </c>
      <c r="X6" s="304"/>
      <c r="Y6" s="304"/>
      <c r="Z6" s="304">
        <v>1886.3000000000004</v>
      </c>
      <c r="AA6" s="304">
        <v>854.0999999999998</v>
      </c>
      <c r="AB6" s="304">
        <v>6354.51</v>
      </c>
      <c r="AC6" s="304">
        <v>11.67</v>
      </c>
      <c r="AD6" s="304"/>
      <c r="AE6" s="304">
        <v>1680.5200000000002</v>
      </c>
      <c r="AF6" s="304">
        <v>713.35</v>
      </c>
      <c r="AG6" s="304"/>
      <c r="AH6" s="304"/>
      <c r="AI6" s="304"/>
      <c r="AJ6" s="304"/>
      <c r="AK6" s="304"/>
      <c r="AL6" s="304">
        <v>89247.689999999988</v>
      </c>
      <c r="AM6" s="304">
        <v>1407.8600000000001</v>
      </c>
      <c r="AN6" s="304">
        <v>1540.9600000000003</v>
      </c>
      <c r="AO6" s="304">
        <v>24291.149999999998</v>
      </c>
      <c r="AP6" s="304">
        <v>10431.609999999999</v>
      </c>
      <c r="AQ6" s="304"/>
      <c r="AR6" s="304"/>
      <c r="AS6" s="304"/>
      <c r="AT6" s="304"/>
      <c r="AU6" s="304"/>
      <c r="AV6" s="304"/>
      <c r="AW6" s="304"/>
      <c r="AX6" s="304"/>
      <c r="AY6" s="304"/>
      <c r="AZ6" s="304">
        <v>24716.159999999996</v>
      </c>
      <c r="BA6" s="304">
        <v>129.78</v>
      </c>
      <c r="BB6" s="304">
        <v>31.64</v>
      </c>
      <c r="BC6" s="304"/>
      <c r="BD6" s="304">
        <v>6567.57</v>
      </c>
      <c r="BE6" s="304">
        <v>2771.0599999999995</v>
      </c>
      <c r="BF6" s="304">
        <v>13725</v>
      </c>
      <c r="BG6" s="304"/>
      <c r="BH6" s="304"/>
      <c r="BI6" s="304">
        <v>3623.4000000000005</v>
      </c>
      <c r="BJ6" s="304">
        <v>1433.24</v>
      </c>
      <c r="BK6" s="304"/>
      <c r="BL6" s="304"/>
      <c r="BM6" s="304"/>
      <c r="BN6" s="304"/>
      <c r="BO6" s="304"/>
      <c r="BP6" s="304"/>
      <c r="BQ6" s="304"/>
      <c r="BR6" s="304"/>
      <c r="BS6" s="304"/>
      <c r="BT6" s="304"/>
      <c r="BU6" s="304"/>
      <c r="BV6" s="304"/>
      <c r="BW6" s="304"/>
      <c r="BX6" s="304"/>
      <c r="BY6" s="304"/>
      <c r="BZ6" s="304"/>
      <c r="CA6" s="304"/>
      <c r="CB6" s="304"/>
      <c r="CC6" s="304"/>
      <c r="CD6" s="304"/>
      <c r="CE6" s="304"/>
      <c r="CF6" s="304">
        <v>2276.25</v>
      </c>
      <c r="CG6" s="304"/>
      <c r="CH6" s="304"/>
      <c r="CI6" s="304"/>
      <c r="CJ6" s="304">
        <v>2608.34</v>
      </c>
      <c r="CK6" s="304">
        <v>32520.989999999998</v>
      </c>
      <c r="CL6" s="304">
        <v>5270</v>
      </c>
      <c r="CM6" s="304">
        <v>27572.870000000003</v>
      </c>
      <c r="CN6" s="304"/>
      <c r="CO6" s="304"/>
      <c r="CP6" s="304"/>
      <c r="CQ6" s="304"/>
      <c r="CR6" s="304"/>
      <c r="CS6" s="304">
        <v>490.28000000000003</v>
      </c>
      <c r="CT6" s="304">
        <v>11613.279999999999</v>
      </c>
      <c r="CU6" s="304"/>
      <c r="CV6" s="304"/>
      <c r="CW6" s="304">
        <v>1820</v>
      </c>
      <c r="CX6" s="304"/>
      <c r="CY6" s="304">
        <v>3000</v>
      </c>
      <c r="CZ6" s="304">
        <v>5738.5</v>
      </c>
      <c r="DA6" s="304">
        <v>2537.12</v>
      </c>
      <c r="DB6" s="304"/>
      <c r="DC6" s="304">
        <v>1279.25</v>
      </c>
      <c r="DD6" s="304">
        <v>1034.74</v>
      </c>
      <c r="DE6" s="304"/>
      <c r="DF6" s="304"/>
      <c r="DG6" s="304"/>
      <c r="DH6" s="304"/>
      <c r="DI6" s="304"/>
      <c r="DJ6" s="304"/>
      <c r="DK6" s="304"/>
      <c r="DL6" s="304">
        <v>97.399999999999991</v>
      </c>
      <c r="DM6" s="304"/>
      <c r="DN6" s="304">
        <v>2489.39</v>
      </c>
      <c r="DO6" s="304"/>
      <c r="DP6" s="304"/>
      <c r="DQ6" s="304"/>
      <c r="DR6" s="304"/>
      <c r="DS6" s="304"/>
      <c r="DT6" s="304"/>
      <c r="DU6" s="304">
        <v>2192</v>
      </c>
      <c r="DV6" s="304">
        <v>10974.589999999998</v>
      </c>
      <c r="DW6" s="304">
        <v>197.67000000000002</v>
      </c>
      <c r="DX6" s="304"/>
      <c r="DY6" s="304">
        <v>510.55000000000007</v>
      </c>
      <c r="DZ6" s="304">
        <v>2083.1400000000003</v>
      </c>
      <c r="EA6" s="304">
        <v>5928.53</v>
      </c>
      <c r="EB6" s="304">
        <v>17233.11</v>
      </c>
      <c r="EC6" s="304"/>
      <c r="ED6" s="304"/>
      <c r="EE6" s="304">
        <v>602.53</v>
      </c>
      <c r="EF6" s="426"/>
      <c r="EG6" s="304">
        <v>1084.6500000000001</v>
      </c>
      <c r="EH6" s="304"/>
      <c r="EI6" s="426"/>
      <c r="EJ6" s="304">
        <v>1711.05</v>
      </c>
      <c r="EK6" s="304">
        <v>3619.32</v>
      </c>
      <c r="EL6" s="304">
        <v>11788.7</v>
      </c>
      <c r="EM6" s="304"/>
      <c r="EN6" s="304">
        <v>2539.5</v>
      </c>
      <c r="EO6" s="304"/>
      <c r="EP6" s="304"/>
      <c r="EQ6" s="304"/>
      <c r="ER6" s="304">
        <v>1435</v>
      </c>
      <c r="ES6" s="304"/>
      <c r="ET6" s="304"/>
      <c r="EU6" s="304">
        <v>5931.79</v>
      </c>
      <c r="EV6" s="304">
        <v>3305.61</v>
      </c>
      <c r="EW6" s="304">
        <v>4619.41</v>
      </c>
      <c r="EX6" s="304">
        <v>1454.7400000000007</v>
      </c>
      <c r="EY6" s="304">
        <v>22987.530000000002</v>
      </c>
      <c r="EZ6" s="304"/>
      <c r="FA6" s="304"/>
      <c r="FB6" s="304"/>
      <c r="FC6" s="304">
        <v>-627758.72</v>
      </c>
      <c r="FD6" s="304"/>
      <c r="FE6" s="304"/>
      <c r="FF6" s="304"/>
      <c r="FG6" s="304">
        <v>-12820</v>
      </c>
      <c r="FH6" s="304"/>
      <c r="FI6" s="304"/>
      <c r="FJ6" s="304"/>
      <c r="FK6" s="304"/>
      <c r="FL6" s="304"/>
      <c r="FM6" s="304">
        <v>-5035</v>
      </c>
      <c r="FN6" s="304">
        <v>-18920</v>
      </c>
      <c r="FO6" s="304">
        <v>-15403</v>
      </c>
      <c r="FP6" s="304"/>
      <c r="FQ6" s="304">
        <v>-106327.89</v>
      </c>
      <c r="FR6" s="304"/>
      <c r="FS6" s="304"/>
      <c r="FT6" s="304"/>
      <c r="FU6" s="304"/>
      <c r="FV6" s="304">
        <v>-25104</v>
      </c>
      <c r="FW6" s="304">
        <v>2038.4099999999999</v>
      </c>
      <c r="FX6" s="304">
        <v>301.95</v>
      </c>
      <c r="FY6" s="304"/>
      <c r="FZ6" s="304">
        <v>-4887.6899999999996</v>
      </c>
      <c r="GA6" s="304">
        <v>-5378</v>
      </c>
      <c r="GB6" s="304">
        <v>-10792</v>
      </c>
      <c r="GC6" s="304">
        <v>96</v>
      </c>
      <c r="GD6" s="304"/>
      <c r="GE6" s="304">
        <v>2883.64</v>
      </c>
      <c r="GF6" s="304">
        <v>4688.5999999999995</v>
      </c>
      <c r="GG6" s="304"/>
      <c r="GH6" s="304">
        <v>24154.44</v>
      </c>
      <c r="GI6" s="304">
        <v>72</v>
      </c>
      <c r="GJ6" s="304">
        <v>6061.0400000000036</v>
      </c>
      <c r="GK6" s="304">
        <v>261</v>
      </c>
      <c r="GL6" s="304">
        <v>10836.58</v>
      </c>
      <c r="GM6" s="304">
        <v>1420.71</v>
      </c>
      <c r="GN6" s="304">
        <v>1039.5</v>
      </c>
      <c r="GO6" s="304">
        <v>560</v>
      </c>
      <c r="GP6" s="304">
        <v>859.78</v>
      </c>
      <c r="GQ6" s="304">
        <v>1207.8799999999999</v>
      </c>
      <c r="GR6" s="304"/>
      <c r="GS6" s="304"/>
      <c r="GT6" s="304"/>
      <c r="GU6" s="304"/>
      <c r="GV6" s="304"/>
      <c r="GW6" s="304"/>
      <c r="GX6" s="304"/>
      <c r="GY6" s="304">
        <v>-4200</v>
      </c>
      <c r="GZ6" s="304"/>
      <c r="HA6" s="304">
        <v>-1206.4200000000003</v>
      </c>
      <c r="HB6" s="304">
        <v>-21010.209999999977</v>
      </c>
      <c r="HC6" s="304"/>
      <c r="HD6" s="304"/>
      <c r="HE6" s="304">
        <v>-1705.48</v>
      </c>
      <c r="HF6" s="304"/>
      <c r="HG6" s="304">
        <v>0</v>
      </c>
      <c r="HH6" s="304"/>
      <c r="HI6" s="304"/>
      <c r="HJ6" s="304">
        <v>-21822.949999999997</v>
      </c>
      <c r="HK6" s="304"/>
      <c r="HL6" s="304"/>
      <c r="HM6" s="304">
        <v>-78691.210000000006</v>
      </c>
      <c r="HN6" s="304"/>
      <c r="HP6">
        <v>-5352.93</v>
      </c>
    </row>
    <row r="7" spans="1:226">
      <c r="A7" s="116">
        <v>107811</v>
      </c>
      <c r="B7" s="304"/>
      <c r="C7" s="304"/>
      <c r="D7" s="304"/>
      <c r="E7" s="304"/>
      <c r="F7" s="304"/>
      <c r="G7" s="304">
        <v>702817.62</v>
      </c>
      <c r="H7" s="304"/>
      <c r="I7" s="304">
        <v>6683.46</v>
      </c>
      <c r="J7" s="304">
        <v>204242.81</v>
      </c>
      <c r="K7" s="304">
        <v>92846.429999999978</v>
      </c>
      <c r="L7" s="304">
        <v>2092.31</v>
      </c>
      <c r="M7" s="304"/>
      <c r="N7" s="304">
        <v>600.08000000000004</v>
      </c>
      <c r="O7" s="304">
        <v>225.07</v>
      </c>
      <c r="P7" s="304"/>
      <c r="Q7" s="304"/>
      <c r="R7" s="304"/>
      <c r="S7" s="304"/>
      <c r="T7" s="304"/>
      <c r="U7" s="304"/>
      <c r="V7" s="304"/>
      <c r="W7" s="304">
        <v>10424.360000000002</v>
      </c>
      <c r="X7" s="304"/>
      <c r="Y7" s="304">
        <v>68.5</v>
      </c>
      <c r="Z7" s="304">
        <v>2770.0299999999997</v>
      </c>
      <c r="AA7" s="304">
        <v>1283.3600000000001</v>
      </c>
      <c r="AB7" s="304">
        <v>30356.559999999998</v>
      </c>
      <c r="AC7" s="304"/>
      <c r="AD7" s="304">
        <v>407.22999999999996</v>
      </c>
      <c r="AE7" s="304">
        <v>7825.0300000000007</v>
      </c>
      <c r="AF7" s="304">
        <v>1971</v>
      </c>
      <c r="AG7" s="304"/>
      <c r="AH7" s="304"/>
      <c r="AI7" s="304"/>
      <c r="AJ7" s="304"/>
      <c r="AK7" s="304"/>
      <c r="AL7" s="304">
        <v>234068.32</v>
      </c>
      <c r="AM7" s="304">
        <v>6.08</v>
      </c>
      <c r="AN7" s="304">
        <v>791.07999999999993</v>
      </c>
      <c r="AO7" s="304">
        <v>61807.78</v>
      </c>
      <c r="AP7" s="304">
        <v>25976.329999999994</v>
      </c>
      <c r="AQ7" s="304">
        <v>87530.69</v>
      </c>
      <c r="AR7" s="304">
        <v>3968.3399999999997</v>
      </c>
      <c r="AS7" s="304">
        <v>3251.73</v>
      </c>
      <c r="AT7" s="304">
        <v>17810.7</v>
      </c>
      <c r="AU7" s="304">
        <v>10208.629999999999</v>
      </c>
      <c r="AV7" s="304"/>
      <c r="AW7" s="304"/>
      <c r="AX7" s="304"/>
      <c r="AY7" s="304"/>
      <c r="AZ7" s="304">
        <v>77417.549999999988</v>
      </c>
      <c r="BA7" s="304"/>
      <c r="BB7" s="304"/>
      <c r="BC7" s="304"/>
      <c r="BD7" s="304">
        <v>12936.97</v>
      </c>
      <c r="BE7" s="304">
        <v>9866.93</v>
      </c>
      <c r="BF7" s="304"/>
      <c r="BG7" s="304"/>
      <c r="BH7" s="304"/>
      <c r="BI7" s="304"/>
      <c r="BJ7" s="304"/>
      <c r="BK7" s="304">
        <v>35950.259999999995</v>
      </c>
      <c r="BL7" s="304">
        <v>1781.85</v>
      </c>
      <c r="BM7" s="304">
        <v>617.07999999999993</v>
      </c>
      <c r="BN7" s="304">
        <v>10124.01</v>
      </c>
      <c r="BO7" s="304">
        <v>4040.9900000000011</v>
      </c>
      <c r="BP7" s="304">
        <v>61696.680000000008</v>
      </c>
      <c r="BQ7" s="304">
        <v>3900.61</v>
      </c>
      <c r="BR7" s="304"/>
      <c r="BS7" s="304">
        <v>17317.320000000003</v>
      </c>
      <c r="BT7" s="304">
        <v>6124.8199999999988</v>
      </c>
      <c r="BU7" s="304"/>
      <c r="BV7" s="304"/>
      <c r="BW7" s="304"/>
      <c r="BX7" s="304"/>
      <c r="BY7" s="304"/>
      <c r="BZ7" s="304"/>
      <c r="CA7" s="304"/>
      <c r="CB7" s="304"/>
      <c r="CC7" s="304"/>
      <c r="CD7" s="304"/>
      <c r="CE7" s="304"/>
      <c r="CF7" s="304">
        <v>2468.25</v>
      </c>
      <c r="CG7" s="304"/>
      <c r="CH7" s="304"/>
      <c r="CI7" s="304"/>
      <c r="CJ7" s="304">
        <v>1466</v>
      </c>
      <c r="CK7" s="304">
        <v>8205.8299999999981</v>
      </c>
      <c r="CL7" s="304">
        <v>1941.7</v>
      </c>
      <c r="CM7" s="304">
        <v>3992.4399999999987</v>
      </c>
      <c r="CN7" s="304"/>
      <c r="CO7" s="304"/>
      <c r="CP7" s="304"/>
      <c r="CQ7" s="304"/>
      <c r="CR7" s="304"/>
      <c r="CS7" s="304">
        <v>1744.99</v>
      </c>
      <c r="CT7" s="304">
        <v>17248.600000000006</v>
      </c>
      <c r="CU7" s="304">
        <v>10343.880000000001</v>
      </c>
      <c r="CV7" s="304">
        <v>217.24</v>
      </c>
      <c r="CW7" s="304"/>
      <c r="CX7" s="304"/>
      <c r="CY7" s="304"/>
      <c r="CZ7" s="304">
        <v>56030.25</v>
      </c>
      <c r="DA7" s="304">
        <v>3832.8599999999997</v>
      </c>
      <c r="DB7" s="304">
        <v>696.46</v>
      </c>
      <c r="DC7" s="304">
        <v>5432.53</v>
      </c>
      <c r="DD7" s="304">
        <v>1154</v>
      </c>
      <c r="DE7" s="304"/>
      <c r="DF7" s="304"/>
      <c r="DG7" s="304"/>
      <c r="DH7" s="304">
        <v>0</v>
      </c>
      <c r="DI7" s="304"/>
      <c r="DJ7" s="304"/>
      <c r="DK7" s="304">
        <v>0</v>
      </c>
      <c r="DL7" s="304">
        <v>170.36</v>
      </c>
      <c r="DM7" s="304"/>
      <c r="DN7" s="304">
        <v>1091.8799999999999</v>
      </c>
      <c r="DO7" s="304"/>
      <c r="DP7" s="304"/>
      <c r="DQ7" s="304"/>
      <c r="DR7" s="304"/>
      <c r="DS7" s="304"/>
      <c r="DT7" s="304"/>
      <c r="DU7" s="304">
        <v>6273</v>
      </c>
      <c r="DV7" s="304">
        <v>50403.179999999971</v>
      </c>
      <c r="DW7" s="304">
        <v>330.21</v>
      </c>
      <c r="DX7" s="304">
        <v>262.18</v>
      </c>
      <c r="DY7" s="304">
        <v>24.28</v>
      </c>
      <c r="DZ7" s="304">
        <v>4339.4699999999993</v>
      </c>
      <c r="EA7" s="304">
        <v>15580.48</v>
      </c>
      <c r="EB7" s="304">
        <v>4676.5</v>
      </c>
      <c r="EC7" s="304"/>
      <c r="ED7" s="304"/>
      <c r="EE7" s="304">
        <v>2319.75</v>
      </c>
      <c r="EF7" s="426"/>
      <c r="EG7" s="304">
        <v>6425.69</v>
      </c>
      <c r="EH7" s="304"/>
      <c r="EI7" s="426"/>
      <c r="EJ7" s="304"/>
      <c r="EK7" s="304"/>
      <c r="EL7" s="304"/>
      <c r="EM7" s="304">
        <v>1770.3600000000001</v>
      </c>
      <c r="EN7" s="304">
        <v>3323</v>
      </c>
      <c r="EO7" s="304"/>
      <c r="EP7" s="304"/>
      <c r="EQ7" s="304"/>
      <c r="ER7" s="304"/>
      <c r="ES7" s="304"/>
      <c r="ET7" s="304"/>
      <c r="EU7" s="304"/>
      <c r="EV7" s="304">
        <v>8247.33</v>
      </c>
      <c r="EW7" s="304">
        <v>174.5</v>
      </c>
      <c r="EX7" s="304">
        <v>44258.57999999998</v>
      </c>
      <c r="EY7" s="304">
        <v>26545.32</v>
      </c>
      <c r="EZ7" s="304"/>
      <c r="FA7" s="304">
        <v>24567.250000000011</v>
      </c>
      <c r="FB7" s="304"/>
      <c r="FC7" s="304">
        <v>-1424726.63</v>
      </c>
      <c r="FD7" s="304"/>
      <c r="FE7" s="304"/>
      <c r="FF7" s="304"/>
      <c r="FG7" s="304">
        <v>-90335</v>
      </c>
      <c r="FH7" s="304"/>
      <c r="FI7" s="304">
        <v>-3256.93</v>
      </c>
      <c r="FJ7" s="304"/>
      <c r="FK7" s="304"/>
      <c r="FL7" s="304">
        <v>-148724.26999999999</v>
      </c>
      <c r="FM7" s="304">
        <v>-7060</v>
      </c>
      <c r="FN7" s="304">
        <v>-35360</v>
      </c>
      <c r="FO7" s="304">
        <v>-16727</v>
      </c>
      <c r="FP7" s="304"/>
      <c r="FQ7" s="304">
        <v>-5340.4</v>
      </c>
      <c r="FR7" s="304"/>
      <c r="FS7" s="304">
        <v>-9378.2199999999993</v>
      </c>
      <c r="FT7" s="304"/>
      <c r="FU7" s="304">
        <v>-22237.09</v>
      </c>
      <c r="FV7" s="304">
        <v>-80681</v>
      </c>
      <c r="FW7" s="304">
        <v>5085.7299999999996</v>
      </c>
      <c r="FX7" s="304">
        <v>753.35</v>
      </c>
      <c r="FY7" s="304"/>
      <c r="FZ7" s="304">
        <v>-456.65</v>
      </c>
      <c r="GA7" s="304">
        <v>-12545</v>
      </c>
      <c r="GB7" s="304">
        <v>-25960</v>
      </c>
      <c r="GC7" s="304">
        <v>1049</v>
      </c>
      <c r="GD7" s="304"/>
      <c r="GE7" s="304"/>
      <c r="GF7" s="304"/>
      <c r="GG7" s="304"/>
      <c r="GH7" s="304"/>
      <c r="GI7" s="304">
        <v>1166</v>
      </c>
      <c r="GJ7" s="304">
        <v>6115.6600000000044</v>
      </c>
      <c r="GK7" s="304">
        <v>833.85</v>
      </c>
      <c r="GL7" s="304">
        <v>2699.9</v>
      </c>
      <c r="GM7" s="304">
        <v>4382.1900000000005</v>
      </c>
      <c r="GN7" s="304">
        <v>2593.5</v>
      </c>
      <c r="GO7" s="304">
        <v>560</v>
      </c>
      <c r="GP7" s="304">
        <v>1188.3399999999999</v>
      </c>
      <c r="GQ7" s="304">
        <v>2785.1999999999994</v>
      </c>
      <c r="GR7" s="304"/>
      <c r="GS7" s="304"/>
      <c r="GT7" s="304"/>
      <c r="GU7" s="304"/>
      <c r="GV7" s="304"/>
      <c r="GW7" s="304"/>
      <c r="GX7" s="304"/>
      <c r="GY7" s="304"/>
      <c r="GZ7" s="304"/>
      <c r="HA7" s="304">
        <v>-6797.57</v>
      </c>
      <c r="HB7" s="304">
        <v>-22266.04</v>
      </c>
      <c r="HC7" s="304"/>
      <c r="HD7" s="304"/>
      <c r="HE7" s="304">
        <v>-333</v>
      </c>
      <c r="HF7" s="304"/>
      <c r="HG7" s="304">
        <v>-25000</v>
      </c>
      <c r="HH7" s="304">
        <v>-2970</v>
      </c>
      <c r="HI7" s="304"/>
      <c r="HJ7" s="304">
        <v>-35000</v>
      </c>
      <c r="HK7" s="304"/>
      <c r="HL7" s="304"/>
      <c r="HM7" s="304">
        <v>-9764.0400000000009</v>
      </c>
      <c r="HN7" s="304">
        <v>-6123.35</v>
      </c>
      <c r="HP7">
        <v>-2358.35</v>
      </c>
    </row>
    <row r="8" spans="1:226">
      <c r="A8" s="116">
        <v>107812</v>
      </c>
      <c r="B8" s="304"/>
      <c r="C8" s="304"/>
      <c r="D8" s="304"/>
      <c r="E8" s="304"/>
      <c r="F8" s="304"/>
      <c r="G8" s="304">
        <v>697444.91</v>
      </c>
      <c r="H8" s="304">
        <v>6772.0300000000007</v>
      </c>
      <c r="I8" s="304">
        <v>4855</v>
      </c>
      <c r="J8" s="304">
        <v>210609.86000000002</v>
      </c>
      <c r="K8" s="304">
        <v>97588.780000000013</v>
      </c>
      <c r="L8" s="304">
        <v>11269.05</v>
      </c>
      <c r="M8" s="304">
        <v>26.159999999999997</v>
      </c>
      <c r="N8" s="304">
        <v>3231.9899999999993</v>
      </c>
      <c r="O8" s="304">
        <v>1450.9</v>
      </c>
      <c r="P8" s="304"/>
      <c r="Q8" s="304"/>
      <c r="R8" s="304">
        <v>12547.970000000001</v>
      </c>
      <c r="S8" s="304"/>
      <c r="T8" s="304">
        <v>61.13</v>
      </c>
      <c r="U8" s="304">
        <v>3328.7499999999995</v>
      </c>
      <c r="V8" s="304">
        <v>1453.5</v>
      </c>
      <c r="W8" s="304">
        <v>33139.320000000007</v>
      </c>
      <c r="X8" s="304">
        <v>1142.17</v>
      </c>
      <c r="Y8" s="304">
        <v>4887.53</v>
      </c>
      <c r="Z8" s="304">
        <v>8893.43</v>
      </c>
      <c r="AA8" s="304">
        <v>3863.3199999999997</v>
      </c>
      <c r="AB8" s="304">
        <v>34293.560000000005</v>
      </c>
      <c r="AC8" s="304">
        <v>466.10999999999996</v>
      </c>
      <c r="AD8" s="304">
        <v>795.45</v>
      </c>
      <c r="AE8" s="304">
        <v>8058.2999999999993</v>
      </c>
      <c r="AF8" s="304">
        <v>3391.51</v>
      </c>
      <c r="AG8" s="304">
        <v>0</v>
      </c>
      <c r="AH8" s="304"/>
      <c r="AI8" s="304"/>
      <c r="AJ8" s="304">
        <v>0</v>
      </c>
      <c r="AK8" s="304"/>
      <c r="AL8" s="304">
        <v>321305.94</v>
      </c>
      <c r="AM8" s="304">
        <v>2531.59</v>
      </c>
      <c r="AN8" s="304">
        <v>7079.0000000000009</v>
      </c>
      <c r="AO8" s="304">
        <v>81725.72</v>
      </c>
      <c r="AP8" s="304">
        <v>36831.170000000006</v>
      </c>
      <c r="AQ8" s="304">
        <v>177301.95</v>
      </c>
      <c r="AR8" s="304">
        <v>8652.1299999999992</v>
      </c>
      <c r="AS8" s="304">
        <v>4251.5199999999995</v>
      </c>
      <c r="AT8" s="304">
        <v>47828.72</v>
      </c>
      <c r="AU8" s="304">
        <v>18322.27</v>
      </c>
      <c r="AV8" s="304">
        <v>0</v>
      </c>
      <c r="AW8" s="304"/>
      <c r="AX8" s="304"/>
      <c r="AY8" s="304"/>
      <c r="AZ8" s="304">
        <v>53749.000000000007</v>
      </c>
      <c r="BA8" s="304">
        <v>1768.9799999999996</v>
      </c>
      <c r="BB8" s="304">
        <v>2465.9800000000005</v>
      </c>
      <c r="BC8" s="304"/>
      <c r="BD8" s="304">
        <v>15799.869999999999</v>
      </c>
      <c r="BE8" s="304">
        <v>6726.2199999999993</v>
      </c>
      <c r="BF8" s="304"/>
      <c r="BG8" s="304"/>
      <c r="BH8" s="304"/>
      <c r="BI8" s="304"/>
      <c r="BJ8" s="304"/>
      <c r="BK8" s="304"/>
      <c r="BL8" s="304"/>
      <c r="BM8" s="304"/>
      <c r="BN8" s="304"/>
      <c r="BO8" s="304"/>
      <c r="BP8" s="304">
        <v>21275.690000000002</v>
      </c>
      <c r="BQ8" s="304">
        <v>83.81</v>
      </c>
      <c r="BR8" s="304">
        <v>220.49</v>
      </c>
      <c r="BS8" s="304">
        <v>6313.7999999999993</v>
      </c>
      <c r="BT8" s="304">
        <v>1692.2899999999995</v>
      </c>
      <c r="BU8" s="304"/>
      <c r="BV8" s="304">
        <v>33.33</v>
      </c>
      <c r="BW8" s="304"/>
      <c r="BX8" s="304"/>
      <c r="BY8" s="304"/>
      <c r="BZ8" s="304"/>
      <c r="CA8" s="304"/>
      <c r="CB8" s="304"/>
      <c r="CC8" s="304"/>
      <c r="CD8" s="304"/>
      <c r="CE8" s="304"/>
      <c r="CF8" s="304">
        <v>2278.5</v>
      </c>
      <c r="CG8" s="304"/>
      <c r="CH8" s="304">
        <v>0</v>
      </c>
      <c r="CI8" s="304">
        <v>0</v>
      </c>
      <c r="CJ8" s="304"/>
      <c r="CK8" s="304">
        <v>13486.809999999994</v>
      </c>
      <c r="CL8" s="304">
        <v>103.38999999999999</v>
      </c>
      <c r="CM8" s="304">
        <v>6533.55</v>
      </c>
      <c r="CN8" s="304"/>
      <c r="CO8" s="304"/>
      <c r="CP8" s="304"/>
      <c r="CQ8" s="304"/>
      <c r="CR8" s="304"/>
      <c r="CS8" s="304">
        <v>3547.8</v>
      </c>
      <c r="CT8" s="304">
        <v>15116.100000000002</v>
      </c>
      <c r="CU8" s="304">
        <v>12221.150000000001</v>
      </c>
      <c r="CV8" s="304"/>
      <c r="CW8" s="304"/>
      <c r="CX8" s="304"/>
      <c r="CY8" s="304"/>
      <c r="CZ8" s="304">
        <v>51487.05</v>
      </c>
      <c r="DA8" s="304">
        <v>3595.0599999999995</v>
      </c>
      <c r="DB8" s="304"/>
      <c r="DC8" s="304">
        <v>11709.519999999997</v>
      </c>
      <c r="DD8" s="304">
        <v>293.14</v>
      </c>
      <c r="DE8" s="304">
        <v>-1502.55</v>
      </c>
      <c r="DF8" s="304"/>
      <c r="DG8" s="304"/>
      <c r="DH8" s="304"/>
      <c r="DI8" s="304"/>
      <c r="DJ8" s="304">
        <v>6230.97</v>
      </c>
      <c r="DK8" s="304">
        <v>0</v>
      </c>
      <c r="DL8" s="304">
        <v>964.52999999999986</v>
      </c>
      <c r="DM8" s="304"/>
      <c r="DN8" s="304">
        <v>709.54</v>
      </c>
      <c r="DO8" s="304"/>
      <c r="DP8" s="304"/>
      <c r="DQ8" s="304"/>
      <c r="DR8" s="304"/>
      <c r="DS8" s="304"/>
      <c r="DT8" s="304"/>
      <c r="DU8" s="304">
        <v>7062</v>
      </c>
      <c r="DV8" s="304">
        <v>19173.93</v>
      </c>
      <c r="DW8" s="304">
        <v>257.69000000000005</v>
      </c>
      <c r="DX8" s="304"/>
      <c r="DY8" s="304">
        <v>1201.6300000000001</v>
      </c>
      <c r="DZ8" s="304">
        <v>5073.2699999999995</v>
      </c>
      <c r="EA8" s="304">
        <v>1400.13</v>
      </c>
      <c r="EB8" s="304">
        <v>24942.480000000003</v>
      </c>
      <c r="EC8" s="304"/>
      <c r="ED8" s="304"/>
      <c r="EE8" s="304">
        <v>1447.5500000000002</v>
      </c>
      <c r="EF8" s="426"/>
      <c r="EG8" s="304">
        <v>1707.75</v>
      </c>
      <c r="EH8" s="304"/>
      <c r="EI8" s="426"/>
      <c r="EJ8" s="304">
        <v>3203.26</v>
      </c>
      <c r="EK8" s="304">
        <v>16268.249999999996</v>
      </c>
      <c r="EL8" s="304">
        <v>6108.82</v>
      </c>
      <c r="EM8" s="304">
        <v>7548.32</v>
      </c>
      <c r="EN8" s="304">
        <v>6171.1</v>
      </c>
      <c r="EO8" s="304"/>
      <c r="EP8" s="304"/>
      <c r="EQ8" s="304"/>
      <c r="ER8" s="304"/>
      <c r="ES8" s="304"/>
      <c r="ET8" s="304">
        <v>-7360</v>
      </c>
      <c r="EU8" s="304"/>
      <c r="EV8" s="304">
        <v>10017</v>
      </c>
      <c r="EW8" s="304">
        <v>240.52999999999997</v>
      </c>
      <c r="EX8" s="304">
        <v>1130.1499999999999</v>
      </c>
      <c r="EY8" s="304">
        <v>27002.560000000001</v>
      </c>
      <c r="EZ8" s="304"/>
      <c r="FA8" s="304">
        <v>27209.689999999995</v>
      </c>
      <c r="FB8" s="304">
        <v>11.299999999999999</v>
      </c>
      <c r="FC8" s="304">
        <v>-1537987.05</v>
      </c>
      <c r="FD8" s="304">
        <v>-33882.28</v>
      </c>
      <c r="FE8" s="304"/>
      <c r="FF8" s="304"/>
      <c r="FG8" s="304">
        <v>-90085</v>
      </c>
      <c r="FH8" s="304"/>
      <c r="FI8" s="304">
        <v>-876</v>
      </c>
      <c r="FJ8" s="304"/>
      <c r="FK8" s="304"/>
      <c r="FL8" s="304">
        <v>-258094.31999999998</v>
      </c>
      <c r="FM8" s="304">
        <v>-7195</v>
      </c>
      <c r="FN8" s="304">
        <v>-55352</v>
      </c>
      <c r="FO8" s="304">
        <v>-16942</v>
      </c>
      <c r="FP8" s="304"/>
      <c r="FQ8" s="304">
        <v>-68424.02</v>
      </c>
      <c r="FR8" s="304"/>
      <c r="FS8" s="304">
        <v>-10786</v>
      </c>
      <c r="FT8" s="304"/>
      <c r="FU8" s="304">
        <v>-25008.45</v>
      </c>
      <c r="FV8" s="304">
        <v>-161784</v>
      </c>
      <c r="FW8" s="304">
        <v>6177</v>
      </c>
      <c r="FX8" s="304">
        <v>915</v>
      </c>
      <c r="FY8" s="304"/>
      <c r="FZ8" s="304">
        <v>-7247.91</v>
      </c>
      <c r="GA8" s="304">
        <v>-14237</v>
      </c>
      <c r="GB8" s="304">
        <v>-29517</v>
      </c>
      <c r="GC8" s="304">
        <v>288</v>
      </c>
      <c r="GD8" s="304"/>
      <c r="GE8" s="304">
        <v>3473.4</v>
      </c>
      <c r="GF8" s="304">
        <v>3746.0200000000004</v>
      </c>
      <c r="GG8" s="304"/>
      <c r="GH8" s="304">
        <v>83473.850000000006</v>
      </c>
      <c r="GI8" s="304">
        <v>153</v>
      </c>
      <c r="GJ8" s="304">
        <v>4999.9800000000023</v>
      </c>
      <c r="GK8" s="304">
        <v>221.85</v>
      </c>
      <c r="GL8" s="304">
        <v>3669.16</v>
      </c>
      <c r="GM8" s="304">
        <v>3945.97</v>
      </c>
      <c r="GN8" s="304">
        <v>2677.5</v>
      </c>
      <c r="GO8" s="304">
        <v>476</v>
      </c>
      <c r="GP8" s="304">
        <v>1110.0999999999999</v>
      </c>
      <c r="GQ8" s="304">
        <v>2619.7099999999987</v>
      </c>
      <c r="GR8" s="304"/>
      <c r="GS8" s="304">
        <v>5000</v>
      </c>
      <c r="GT8" s="304">
        <v>-5000</v>
      </c>
      <c r="GU8" s="304"/>
      <c r="GV8" s="304"/>
      <c r="GW8" s="304"/>
      <c r="GX8" s="304"/>
      <c r="GY8" s="304"/>
      <c r="GZ8" s="304"/>
      <c r="HA8" s="304">
        <v>-11825.06</v>
      </c>
      <c r="HB8" s="304">
        <v>-31591.639999999989</v>
      </c>
      <c r="HC8" s="304"/>
      <c r="HD8" s="304"/>
      <c r="HE8" s="304">
        <v>-2893.2100000000005</v>
      </c>
      <c r="HF8" s="304"/>
      <c r="HG8" s="304">
        <v>1.1000000000000001</v>
      </c>
      <c r="HH8" s="304"/>
      <c r="HI8" s="304">
        <v>-9287.5</v>
      </c>
      <c r="HJ8" s="304">
        <v>-82182.62999999999</v>
      </c>
      <c r="HK8" s="304"/>
      <c r="HL8" s="304"/>
      <c r="HM8" s="304">
        <v>-1550</v>
      </c>
      <c r="HN8" s="304">
        <v>-16043.659999999993</v>
      </c>
      <c r="HP8">
        <v>-5312.42</v>
      </c>
    </row>
    <row r="9" spans="1:226">
      <c r="A9" s="116">
        <v>107816</v>
      </c>
      <c r="B9" s="304"/>
      <c r="C9" s="304"/>
      <c r="D9" s="304"/>
      <c r="E9" s="304"/>
      <c r="F9" s="304"/>
      <c r="G9" s="304">
        <v>452052.5</v>
      </c>
      <c r="H9" s="304">
        <v>6287.45</v>
      </c>
      <c r="I9" s="304">
        <v>4889.5</v>
      </c>
      <c r="J9" s="304">
        <v>131338.14000000001</v>
      </c>
      <c r="K9" s="304">
        <v>61106.189999999988</v>
      </c>
      <c r="L9" s="304">
        <v>8501.9999999999982</v>
      </c>
      <c r="M9" s="304"/>
      <c r="N9" s="304">
        <v>2438.37</v>
      </c>
      <c r="O9" s="304">
        <v>970.93999999999994</v>
      </c>
      <c r="P9" s="304"/>
      <c r="Q9" s="304"/>
      <c r="R9" s="304"/>
      <c r="S9" s="304"/>
      <c r="T9" s="304"/>
      <c r="U9" s="304"/>
      <c r="V9" s="304"/>
      <c r="W9" s="304"/>
      <c r="X9" s="304"/>
      <c r="Y9" s="304"/>
      <c r="Z9" s="304"/>
      <c r="AA9" s="304"/>
      <c r="AB9" s="304">
        <v>25862.59</v>
      </c>
      <c r="AC9" s="304">
        <v>2076.37</v>
      </c>
      <c r="AD9" s="304">
        <v>708.68999999999994</v>
      </c>
      <c r="AE9" s="304">
        <v>7391.3</v>
      </c>
      <c r="AF9" s="304">
        <v>1213.0800000000002</v>
      </c>
      <c r="AG9" s="304"/>
      <c r="AH9" s="304"/>
      <c r="AI9" s="304"/>
      <c r="AJ9" s="304"/>
      <c r="AK9" s="304"/>
      <c r="AL9" s="304">
        <v>190380.82999999996</v>
      </c>
      <c r="AM9" s="304">
        <v>9177.5899999999983</v>
      </c>
      <c r="AN9" s="304">
        <v>10139.819999999998</v>
      </c>
      <c r="AO9" s="304">
        <v>55993.960000000006</v>
      </c>
      <c r="AP9" s="304">
        <v>18689.289999999997</v>
      </c>
      <c r="AQ9" s="304"/>
      <c r="AR9" s="304"/>
      <c r="AS9" s="304"/>
      <c r="AT9" s="304"/>
      <c r="AU9" s="304"/>
      <c r="AV9" s="304"/>
      <c r="AW9" s="304"/>
      <c r="AX9" s="304"/>
      <c r="AY9" s="304"/>
      <c r="AZ9" s="304">
        <v>35108.06</v>
      </c>
      <c r="BA9" s="304">
        <v>251.55</v>
      </c>
      <c r="BB9" s="304">
        <v>83.550000000000011</v>
      </c>
      <c r="BC9" s="304"/>
      <c r="BD9" s="304">
        <v>9495.89</v>
      </c>
      <c r="BE9" s="304">
        <v>4594.9799999999996</v>
      </c>
      <c r="BF9" s="304"/>
      <c r="BG9" s="304"/>
      <c r="BH9" s="304"/>
      <c r="BI9" s="304"/>
      <c r="BJ9" s="304"/>
      <c r="BK9" s="304"/>
      <c r="BL9" s="304"/>
      <c r="BM9" s="304"/>
      <c r="BN9" s="304"/>
      <c r="BO9" s="304"/>
      <c r="BP9" s="304">
        <v>32844.479999999996</v>
      </c>
      <c r="BQ9" s="304"/>
      <c r="BR9" s="304">
        <v>499.89000000000004</v>
      </c>
      <c r="BS9" s="304">
        <v>8729.85</v>
      </c>
      <c r="BT9" s="304">
        <v>1374.42</v>
      </c>
      <c r="BU9" s="304"/>
      <c r="BV9" s="304"/>
      <c r="BW9" s="304"/>
      <c r="BX9" s="304"/>
      <c r="BY9" s="304"/>
      <c r="BZ9" s="304"/>
      <c r="CA9" s="304"/>
      <c r="CB9" s="304">
        <v>45</v>
      </c>
      <c r="CC9" s="304"/>
      <c r="CD9" s="304"/>
      <c r="CE9" s="304">
        <v>15</v>
      </c>
      <c r="CF9" s="304">
        <v>2465</v>
      </c>
      <c r="CG9" s="304">
        <v>666.13</v>
      </c>
      <c r="CH9" s="304"/>
      <c r="CI9" s="304"/>
      <c r="CJ9" s="304">
        <v>10860</v>
      </c>
      <c r="CK9" s="304">
        <v>14978.210000000001</v>
      </c>
      <c r="CL9" s="304">
        <v>3227.8000000000006</v>
      </c>
      <c r="CM9" s="304">
        <v>0</v>
      </c>
      <c r="CN9" s="304"/>
      <c r="CO9" s="304"/>
      <c r="CP9" s="304"/>
      <c r="CQ9" s="304"/>
      <c r="CR9" s="304"/>
      <c r="CS9" s="304">
        <v>1645.75</v>
      </c>
      <c r="CT9" s="304">
        <v>12024.32</v>
      </c>
      <c r="CU9" s="304">
        <v>5393.4599999999991</v>
      </c>
      <c r="CV9" s="304"/>
      <c r="CW9" s="304"/>
      <c r="CX9" s="304"/>
      <c r="CY9" s="304"/>
      <c r="CZ9" s="304">
        <v>38185</v>
      </c>
      <c r="DA9" s="304">
        <v>1446.8399999999997</v>
      </c>
      <c r="DB9" s="304">
        <v>577</v>
      </c>
      <c r="DC9" s="304">
        <v>2296.3700000000003</v>
      </c>
      <c r="DD9" s="304">
        <v>96.66</v>
      </c>
      <c r="DE9" s="304"/>
      <c r="DF9" s="304"/>
      <c r="DG9" s="304"/>
      <c r="DH9" s="304"/>
      <c r="DI9" s="304"/>
      <c r="DJ9" s="304"/>
      <c r="DK9" s="304"/>
      <c r="DL9" s="304">
        <v>835.77999999999975</v>
      </c>
      <c r="DM9" s="304"/>
      <c r="DN9" s="304">
        <v>99.99</v>
      </c>
      <c r="DO9" s="304"/>
      <c r="DP9" s="304"/>
      <c r="DQ9" s="304"/>
      <c r="DR9" s="304">
        <v>8828</v>
      </c>
      <c r="DS9" s="304"/>
      <c r="DT9" s="304"/>
      <c r="DU9" s="304">
        <v>3866</v>
      </c>
      <c r="DV9" s="304">
        <v>14393.229999999998</v>
      </c>
      <c r="DW9" s="304">
        <v>371.37000000000006</v>
      </c>
      <c r="DX9" s="304"/>
      <c r="DY9" s="304">
        <v>1454.2900000000002</v>
      </c>
      <c r="DZ9" s="304">
        <v>1655.1000000000001</v>
      </c>
      <c r="EA9" s="304">
        <v>8378.0499999999993</v>
      </c>
      <c r="EB9" s="304">
        <v>26447.050000000003</v>
      </c>
      <c r="EC9" s="304"/>
      <c r="ED9" s="304"/>
      <c r="EE9" s="304">
        <v>1166.5599999999997</v>
      </c>
      <c r="EF9" s="426"/>
      <c r="EG9" s="304">
        <v>2826.75</v>
      </c>
      <c r="EH9" s="304"/>
      <c r="EI9" s="426"/>
      <c r="EJ9" s="304">
        <v>1462.55</v>
      </c>
      <c r="EK9" s="304">
        <v>4335.6799999999985</v>
      </c>
      <c r="EL9" s="304">
        <v>660</v>
      </c>
      <c r="EM9" s="304">
        <v>36.979999999999997</v>
      </c>
      <c r="EN9" s="304">
        <v>1938.53</v>
      </c>
      <c r="EO9" s="304"/>
      <c r="EP9" s="304"/>
      <c r="EQ9" s="304"/>
      <c r="ER9" s="304"/>
      <c r="ES9" s="304"/>
      <c r="ET9" s="304"/>
      <c r="EU9" s="304">
        <v>2663</v>
      </c>
      <c r="EV9" s="304">
        <v>6978.51</v>
      </c>
      <c r="EW9" s="304">
        <v>174.5</v>
      </c>
      <c r="EX9" s="304">
        <v>114.83</v>
      </c>
      <c r="EY9" s="304">
        <v>34002.049999999996</v>
      </c>
      <c r="EZ9" s="304"/>
      <c r="FA9" s="304"/>
      <c r="FB9" s="304"/>
      <c r="FC9" s="304">
        <v>-1113725.32</v>
      </c>
      <c r="FD9" s="304"/>
      <c r="FE9" s="304"/>
      <c r="FF9" s="304">
        <v>-1680</v>
      </c>
      <c r="FG9" s="304">
        <v>-38331.99</v>
      </c>
      <c r="FH9" s="304"/>
      <c r="FI9" s="304"/>
      <c r="FJ9" s="304"/>
      <c r="FK9" s="304"/>
      <c r="FL9" s="304"/>
      <c r="FM9" s="304">
        <v>-6373.75</v>
      </c>
      <c r="FN9" s="304">
        <v>-27451</v>
      </c>
      <c r="FO9" s="304">
        <v>-16311</v>
      </c>
      <c r="FP9" s="304"/>
      <c r="FQ9" s="304"/>
      <c r="FR9" s="304">
        <v>24141.74</v>
      </c>
      <c r="FS9" s="304">
        <v>-2455.15</v>
      </c>
      <c r="FT9" s="304"/>
      <c r="FU9" s="304"/>
      <c r="FV9" s="304">
        <v>-102673</v>
      </c>
      <c r="FW9" s="304">
        <v>4303.3099999999995</v>
      </c>
      <c r="FX9" s="304">
        <v>637.45000000000005</v>
      </c>
      <c r="FY9" s="304"/>
      <c r="FZ9" s="304">
        <v>-11525.89</v>
      </c>
      <c r="GA9" s="304">
        <v>-9932</v>
      </c>
      <c r="GB9" s="304">
        <v>-20410</v>
      </c>
      <c r="GC9" s="304">
        <v>1613</v>
      </c>
      <c r="GD9" s="304"/>
      <c r="GE9" s="304">
        <v>3248.44</v>
      </c>
      <c r="GF9" s="304"/>
      <c r="GG9" s="304"/>
      <c r="GH9" s="304">
        <v>40016.199999999997</v>
      </c>
      <c r="GI9" s="304">
        <v>1487</v>
      </c>
      <c r="GJ9" s="304">
        <v>7956.310000000004</v>
      </c>
      <c r="GK9" s="304"/>
      <c r="GL9" s="304">
        <v>10608.98</v>
      </c>
      <c r="GM9" s="304">
        <v>3134.9</v>
      </c>
      <c r="GN9" s="304">
        <v>4694.5</v>
      </c>
      <c r="GO9" s="304">
        <v>560</v>
      </c>
      <c r="GP9" s="304">
        <v>1103.98</v>
      </c>
      <c r="GQ9" s="304">
        <v>2076.2899999999995</v>
      </c>
      <c r="GR9" s="304"/>
      <c r="GS9" s="304"/>
      <c r="GT9" s="304"/>
      <c r="GU9" s="304"/>
      <c r="GV9" s="304"/>
      <c r="GW9" s="304"/>
      <c r="GX9" s="304"/>
      <c r="GY9" s="304"/>
      <c r="GZ9" s="304"/>
      <c r="HA9" s="304">
        <v>-12785.4</v>
      </c>
      <c r="HB9" s="304">
        <v>-20700.019999999971</v>
      </c>
      <c r="HC9" s="304"/>
      <c r="HD9" s="304"/>
      <c r="HE9" s="304">
        <v>-2739.3</v>
      </c>
      <c r="HF9" s="304">
        <v>-666</v>
      </c>
      <c r="HG9" s="304">
        <v>330.98</v>
      </c>
      <c r="HH9" s="304"/>
      <c r="HI9" s="304">
        <v>-2885.2200000000007</v>
      </c>
      <c r="HJ9" s="304"/>
      <c r="HK9" s="304"/>
      <c r="HL9" s="304"/>
      <c r="HM9" s="304">
        <v>7500</v>
      </c>
      <c r="HN9" s="304"/>
      <c r="HP9">
        <v>-135.41999999999999</v>
      </c>
    </row>
    <row r="10" spans="1:226">
      <c r="A10" s="116">
        <v>107817</v>
      </c>
      <c r="B10" s="304"/>
      <c r="C10" s="304"/>
      <c r="D10" s="304"/>
      <c r="E10" s="304"/>
      <c r="F10" s="304"/>
      <c r="G10" s="304">
        <v>894723.36999999988</v>
      </c>
      <c r="H10" s="304">
        <v>22975.25</v>
      </c>
      <c r="I10" s="304">
        <v>57424.92</v>
      </c>
      <c r="J10" s="304">
        <v>249395.57000000007</v>
      </c>
      <c r="K10" s="304">
        <v>119290</v>
      </c>
      <c r="L10" s="304">
        <v>3961.4599999999996</v>
      </c>
      <c r="M10" s="304"/>
      <c r="N10" s="304">
        <v>1136.1500000000001</v>
      </c>
      <c r="O10" s="304">
        <v>409.97</v>
      </c>
      <c r="P10" s="304"/>
      <c r="Q10" s="304"/>
      <c r="R10" s="304">
        <v>1202.5999999999999</v>
      </c>
      <c r="S10" s="304">
        <v>18.25</v>
      </c>
      <c r="T10" s="304"/>
      <c r="U10" s="304">
        <v>217.85999999999999</v>
      </c>
      <c r="V10" s="304">
        <v>142.97</v>
      </c>
      <c r="W10" s="304">
        <v>17647.57</v>
      </c>
      <c r="X10" s="304">
        <v>114.29999999999998</v>
      </c>
      <c r="Y10" s="304">
        <v>160.65</v>
      </c>
      <c r="Z10" s="304">
        <v>4606.3099999999995</v>
      </c>
      <c r="AA10" s="304">
        <v>1660.7299999999998</v>
      </c>
      <c r="AB10" s="304">
        <v>52605.05</v>
      </c>
      <c r="AC10" s="304">
        <v>3221.54</v>
      </c>
      <c r="AD10" s="304">
        <v>1314.18</v>
      </c>
      <c r="AE10" s="304">
        <v>15990.760000000002</v>
      </c>
      <c r="AF10" s="304">
        <v>1983.9800000000005</v>
      </c>
      <c r="AG10" s="304"/>
      <c r="AH10" s="304"/>
      <c r="AI10" s="304"/>
      <c r="AJ10" s="304"/>
      <c r="AK10" s="304"/>
      <c r="AL10" s="304">
        <v>316242.2</v>
      </c>
      <c r="AM10" s="304">
        <v>3350.34</v>
      </c>
      <c r="AN10" s="304">
        <v>5248.6799999999994</v>
      </c>
      <c r="AO10" s="304">
        <v>87336.41</v>
      </c>
      <c r="AP10" s="304">
        <v>36376.74</v>
      </c>
      <c r="AQ10" s="304">
        <v>145205.48000000001</v>
      </c>
      <c r="AR10" s="304">
        <v>1031.5</v>
      </c>
      <c r="AS10" s="304">
        <v>338.89</v>
      </c>
      <c r="AT10" s="304">
        <v>38878.520000000004</v>
      </c>
      <c r="AU10" s="304">
        <v>14335.689999999999</v>
      </c>
      <c r="AV10" s="304"/>
      <c r="AW10" s="304"/>
      <c r="AX10" s="304"/>
      <c r="AY10" s="304"/>
      <c r="AZ10" s="304">
        <v>95131.959999999992</v>
      </c>
      <c r="BA10" s="304">
        <v>580.95000000000005</v>
      </c>
      <c r="BB10" s="304">
        <v>1855.2599999999998</v>
      </c>
      <c r="BC10" s="304"/>
      <c r="BD10" s="304">
        <v>25707.89</v>
      </c>
      <c r="BE10" s="304">
        <v>10300.84</v>
      </c>
      <c r="BF10" s="304"/>
      <c r="BG10" s="304"/>
      <c r="BH10" s="304"/>
      <c r="BI10" s="304"/>
      <c r="BJ10" s="304"/>
      <c r="BK10" s="304"/>
      <c r="BL10" s="304"/>
      <c r="BM10" s="304"/>
      <c r="BN10" s="304"/>
      <c r="BO10" s="304"/>
      <c r="BP10" s="304">
        <v>31088.42</v>
      </c>
      <c r="BQ10" s="304"/>
      <c r="BR10" s="304">
        <v>450.22999999999996</v>
      </c>
      <c r="BS10" s="304">
        <v>8326.15</v>
      </c>
      <c r="BT10" s="304">
        <v>3981.4000000000005</v>
      </c>
      <c r="BU10" s="304"/>
      <c r="BV10" s="304"/>
      <c r="BW10" s="304"/>
      <c r="BX10" s="304"/>
      <c r="BY10" s="304"/>
      <c r="BZ10" s="304"/>
      <c r="CA10" s="304"/>
      <c r="CB10" s="304"/>
      <c r="CC10" s="304"/>
      <c r="CD10" s="304"/>
      <c r="CE10" s="304"/>
      <c r="CF10" s="304">
        <v>9266.58</v>
      </c>
      <c r="CG10" s="304"/>
      <c r="CH10" s="304">
        <v>231.66999999999996</v>
      </c>
      <c r="CI10" s="304">
        <v>200.65999999999997</v>
      </c>
      <c r="CJ10" s="304">
        <v>303017.72000000015</v>
      </c>
      <c r="CK10" s="304">
        <v>27289.59</v>
      </c>
      <c r="CL10" s="304"/>
      <c r="CM10" s="304">
        <v>2339.44</v>
      </c>
      <c r="CN10" s="304"/>
      <c r="CO10" s="304"/>
      <c r="CP10" s="304">
        <v>4650.88</v>
      </c>
      <c r="CQ10" s="304"/>
      <c r="CR10" s="304"/>
      <c r="CS10" s="304">
        <v>5405.45</v>
      </c>
      <c r="CT10" s="304">
        <v>27484.289999999997</v>
      </c>
      <c r="CU10" s="304">
        <v>16817.25</v>
      </c>
      <c r="CV10" s="304"/>
      <c r="CW10" s="304"/>
      <c r="CX10" s="304"/>
      <c r="CY10" s="304"/>
      <c r="CZ10" s="304">
        <v>80774.8</v>
      </c>
      <c r="DA10" s="304">
        <v>4634.03</v>
      </c>
      <c r="DB10" s="304">
        <v>714</v>
      </c>
      <c r="DC10" s="304">
        <v>34031.840000000011</v>
      </c>
      <c r="DD10" s="304">
        <v>1574.68</v>
      </c>
      <c r="DE10" s="304"/>
      <c r="DF10" s="304"/>
      <c r="DG10" s="304"/>
      <c r="DH10" s="304"/>
      <c r="DI10" s="304"/>
      <c r="DJ10" s="304"/>
      <c r="DK10" s="304"/>
      <c r="DL10" s="304">
        <v>1066.7499999999998</v>
      </c>
      <c r="DM10" s="304"/>
      <c r="DN10" s="304"/>
      <c r="DO10" s="304"/>
      <c r="DP10" s="304"/>
      <c r="DQ10" s="304">
        <v>405</v>
      </c>
      <c r="DR10" s="304">
        <v>2382</v>
      </c>
      <c r="DS10" s="304"/>
      <c r="DT10" s="304"/>
      <c r="DU10" s="304">
        <v>7986</v>
      </c>
      <c r="DV10" s="304">
        <v>133302.04999999996</v>
      </c>
      <c r="DW10" s="304">
        <v>274.61</v>
      </c>
      <c r="DX10" s="304"/>
      <c r="DY10" s="304">
        <v>10596.689999999997</v>
      </c>
      <c r="DZ10" s="304">
        <v>3583.6300000000006</v>
      </c>
      <c r="EA10" s="304">
        <v>9587.4699999999993</v>
      </c>
      <c r="EB10" s="304"/>
      <c r="EC10" s="304"/>
      <c r="ED10" s="304">
        <v>98.15</v>
      </c>
      <c r="EE10" s="304">
        <v>3647.3599999999997</v>
      </c>
      <c r="EF10" s="426"/>
      <c r="EG10" s="304">
        <v>861.51</v>
      </c>
      <c r="EH10" s="304"/>
      <c r="EI10" s="426">
        <v>0</v>
      </c>
      <c r="EJ10" s="304">
        <v>1601</v>
      </c>
      <c r="EK10" s="304">
        <v>1205.22</v>
      </c>
      <c r="EL10" s="304"/>
      <c r="EM10" s="304">
        <v>362.14</v>
      </c>
      <c r="EN10" s="304"/>
      <c r="EO10" s="304"/>
      <c r="EP10" s="304"/>
      <c r="EQ10" s="304"/>
      <c r="ER10" s="304"/>
      <c r="ES10" s="304"/>
      <c r="ET10" s="304"/>
      <c r="EU10" s="304"/>
      <c r="EV10" s="304">
        <v>13823.46</v>
      </c>
      <c r="EW10" s="304">
        <v>3426.67</v>
      </c>
      <c r="EX10" s="304">
        <v>8.85</v>
      </c>
      <c r="EY10" s="304">
        <v>25986.199999999997</v>
      </c>
      <c r="EZ10" s="304"/>
      <c r="FA10" s="304">
        <v>73292.939999999988</v>
      </c>
      <c r="FB10" s="304">
        <v>11.030000000000001</v>
      </c>
      <c r="FC10" s="304">
        <v>-2201834.0699999998</v>
      </c>
      <c r="FD10" s="304"/>
      <c r="FE10" s="304"/>
      <c r="FF10" s="304">
        <v>-2750</v>
      </c>
      <c r="FG10" s="304">
        <v>-164936.78999999998</v>
      </c>
      <c r="FH10" s="304"/>
      <c r="FI10" s="304">
        <v>-8342.57</v>
      </c>
      <c r="FJ10" s="304"/>
      <c r="FK10" s="304"/>
      <c r="FL10" s="304">
        <v>-242253.82000000004</v>
      </c>
      <c r="FM10" s="304">
        <v>-8680</v>
      </c>
      <c r="FN10" s="304">
        <v>-66924</v>
      </c>
      <c r="FO10" s="304">
        <v>-17924</v>
      </c>
      <c r="FP10" s="304"/>
      <c r="FQ10" s="304">
        <v>-43118.11</v>
      </c>
      <c r="FR10" s="304"/>
      <c r="FS10" s="304">
        <v>-482.17</v>
      </c>
      <c r="FT10" s="304"/>
      <c r="FU10" s="304">
        <v>5452.65</v>
      </c>
      <c r="FV10" s="304">
        <v>-346400</v>
      </c>
      <c r="FW10" s="304">
        <v>8524.26</v>
      </c>
      <c r="FX10" s="304">
        <v>1262.7</v>
      </c>
      <c r="FY10" s="304"/>
      <c r="FZ10" s="304">
        <v>-18535.86</v>
      </c>
      <c r="GA10" s="304">
        <v>-19927</v>
      </c>
      <c r="GB10" s="304">
        <v>-41562</v>
      </c>
      <c r="GC10" s="304">
        <v>1422.25</v>
      </c>
      <c r="GD10" s="304"/>
      <c r="GE10" s="304">
        <v>3859.48</v>
      </c>
      <c r="GF10" s="304">
        <v>749.78000000000009</v>
      </c>
      <c r="GG10" s="304"/>
      <c r="GH10" s="304">
        <v>116499.43</v>
      </c>
      <c r="GI10" s="304">
        <v>1938</v>
      </c>
      <c r="GJ10" s="304">
        <v>8426.1300000000065</v>
      </c>
      <c r="GK10" s="304">
        <v>14264.06</v>
      </c>
      <c r="GL10" s="304">
        <v>2756.6800000000003</v>
      </c>
      <c r="GM10" s="304">
        <v>6096.38</v>
      </c>
      <c r="GN10" s="304">
        <v>6280</v>
      </c>
      <c r="GO10" s="304">
        <v>740</v>
      </c>
      <c r="GP10" s="304">
        <v>1559.08</v>
      </c>
      <c r="GQ10" s="304">
        <v>3561.2999999999997</v>
      </c>
      <c r="GR10" s="304"/>
      <c r="GS10" s="304"/>
      <c r="GT10" s="304"/>
      <c r="GU10" s="304"/>
      <c r="GV10" s="304"/>
      <c r="GW10" s="304"/>
      <c r="GX10" s="304"/>
      <c r="GY10" s="304"/>
      <c r="GZ10" s="304"/>
      <c r="HA10" s="304">
        <v>-2295</v>
      </c>
      <c r="HB10" s="304">
        <v>-19082.969999999994</v>
      </c>
      <c r="HC10" s="304"/>
      <c r="HD10" s="304"/>
      <c r="HE10" s="304">
        <v>-1392.4899999999998</v>
      </c>
      <c r="HF10" s="304"/>
      <c r="HG10" s="304">
        <v>147.56</v>
      </c>
      <c r="HH10" s="304">
        <v>-1330</v>
      </c>
      <c r="HI10" s="304">
        <v>-3195.25</v>
      </c>
      <c r="HJ10" s="304">
        <v>-34085.700000000004</v>
      </c>
      <c r="HK10" s="304"/>
      <c r="HL10" s="304"/>
      <c r="HM10" s="304">
        <v>-11771.509999999998</v>
      </c>
      <c r="HN10" s="304">
        <v>-26972.26</v>
      </c>
      <c r="HP10">
        <v>-2328.14</v>
      </c>
    </row>
    <row r="11" spans="1:226">
      <c r="A11" s="116">
        <v>107818</v>
      </c>
      <c r="B11" s="304"/>
      <c r="C11" s="304"/>
      <c r="D11" s="304"/>
      <c r="E11" s="304"/>
      <c r="F11" s="304"/>
      <c r="G11" s="304">
        <v>353983.31000000006</v>
      </c>
      <c r="H11" s="304">
        <v>2315.9399999999996</v>
      </c>
      <c r="I11" s="304">
        <v>630</v>
      </c>
      <c r="J11" s="304">
        <v>102186.66999999998</v>
      </c>
      <c r="K11" s="304">
        <v>46064.56</v>
      </c>
      <c r="L11" s="304">
        <v>15206.18</v>
      </c>
      <c r="M11" s="304"/>
      <c r="N11" s="304">
        <v>4361.16</v>
      </c>
      <c r="O11" s="304">
        <v>1515.12</v>
      </c>
      <c r="P11" s="304"/>
      <c r="Q11" s="304"/>
      <c r="R11" s="304"/>
      <c r="S11" s="304"/>
      <c r="T11" s="304"/>
      <c r="U11" s="304"/>
      <c r="V11" s="304"/>
      <c r="W11" s="304">
        <v>22841.67</v>
      </c>
      <c r="X11" s="304">
        <v>602.39</v>
      </c>
      <c r="Y11" s="304">
        <v>825.75999999999988</v>
      </c>
      <c r="Z11" s="304">
        <v>5509.79</v>
      </c>
      <c r="AA11" s="304">
        <v>2405.0700000000002</v>
      </c>
      <c r="AB11" s="304">
        <v>19870.7</v>
      </c>
      <c r="AC11" s="304">
        <v>907.95</v>
      </c>
      <c r="AD11" s="304">
        <v>53.819999999999993</v>
      </c>
      <c r="AE11" s="304">
        <v>5499.15</v>
      </c>
      <c r="AF11" s="304">
        <v>2110.1000000000004</v>
      </c>
      <c r="AG11" s="304"/>
      <c r="AH11" s="304"/>
      <c r="AI11" s="304"/>
      <c r="AJ11" s="304"/>
      <c r="AK11" s="304"/>
      <c r="AL11" s="304">
        <v>185044.51</v>
      </c>
      <c r="AM11" s="304">
        <v>8476.66</v>
      </c>
      <c r="AN11" s="304">
        <v>6287.1399999999994</v>
      </c>
      <c r="AO11" s="304">
        <v>52622.17</v>
      </c>
      <c r="AP11" s="304">
        <v>19788.59</v>
      </c>
      <c r="AQ11" s="304">
        <v>68291.759999999995</v>
      </c>
      <c r="AR11" s="304">
        <v>989.93000000000006</v>
      </c>
      <c r="AS11" s="304">
        <v>4093.5800000000004</v>
      </c>
      <c r="AT11" s="304">
        <v>19007.28</v>
      </c>
      <c r="AU11" s="304">
        <v>7869.9299999999985</v>
      </c>
      <c r="AV11" s="304"/>
      <c r="AW11" s="304">
        <v>0</v>
      </c>
      <c r="AX11" s="304">
        <v>0</v>
      </c>
      <c r="AY11" s="304">
        <v>0</v>
      </c>
      <c r="AZ11" s="304">
        <v>35063.579999999994</v>
      </c>
      <c r="BA11" s="304">
        <v>184.55</v>
      </c>
      <c r="BB11" s="304">
        <v>462.29999999999995</v>
      </c>
      <c r="BC11" s="304"/>
      <c r="BD11" s="304">
        <v>9427.4100000000035</v>
      </c>
      <c r="BE11" s="304">
        <v>4027.4599999999996</v>
      </c>
      <c r="BF11" s="304">
        <v>587.28</v>
      </c>
      <c r="BG11" s="304"/>
      <c r="BH11" s="304"/>
      <c r="BI11" s="304">
        <v>155.02999999999997</v>
      </c>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v>5047.1399999999994</v>
      </c>
      <c r="CG11" s="304">
        <v>4543.2999999999993</v>
      </c>
      <c r="CH11" s="304"/>
      <c r="CI11" s="304"/>
      <c r="CJ11" s="304"/>
      <c r="CK11" s="304">
        <v>6777.62</v>
      </c>
      <c r="CL11" s="304">
        <v>3275.76</v>
      </c>
      <c r="CM11" s="304">
        <v>1625</v>
      </c>
      <c r="CN11" s="304"/>
      <c r="CO11" s="304">
        <v>4190.76</v>
      </c>
      <c r="CP11" s="304">
        <v>788</v>
      </c>
      <c r="CQ11" s="304">
        <v>450.94000000000005</v>
      </c>
      <c r="CR11" s="304">
        <v>260</v>
      </c>
      <c r="CS11" s="304">
        <v>345</v>
      </c>
      <c r="CT11" s="304">
        <v>4239.1799999999994</v>
      </c>
      <c r="CU11" s="304">
        <v>839.32999999999993</v>
      </c>
      <c r="CV11" s="304"/>
      <c r="CW11" s="304"/>
      <c r="CX11" s="304"/>
      <c r="CY11" s="304"/>
      <c r="CZ11" s="304">
        <v>15469</v>
      </c>
      <c r="DA11" s="304">
        <v>128.28999999999979</v>
      </c>
      <c r="DB11" s="304">
        <v>430</v>
      </c>
      <c r="DC11" s="304">
        <v>1818.19</v>
      </c>
      <c r="DD11" s="304">
        <v>2981.47</v>
      </c>
      <c r="DE11" s="304"/>
      <c r="DF11" s="304"/>
      <c r="DG11" s="304"/>
      <c r="DH11" s="304"/>
      <c r="DI11" s="304"/>
      <c r="DJ11" s="304"/>
      <c r="DK11" s="304"/>
      <c r="DL11" s="304">
        <v>58.339999999999996</v>
      </c>
      <c r="DM11" s="304"/>
      <c r="DN11" s="304">
        <v>1407.67</v>
      </c>
      <c r="DO11" s="304"/>
      <c r="DP11" s="304"/>
      <c r="DQ11" s="304"/>
      <c r="DR11" s="304"/>
      <c r="DS11" s="304"/>
      <c r="DT11" s="304"/>
      <c r="DU11" s="304">
        <v>3585</v>
      </c>
      <c r="DV11" s="304">
        <v>8708.9799999999959</v>
      </c>
      <c r="DW11" s="304">
        <v>384.50000000000006</v>
      </c>
      <c r="DX11" s="304">
        <v>381.43</v>
      </c>
      <c r="DY11" s="304">
        <v>3140.03</v>
      </c>
      <c r="DZ11" s="304"/>
      <c r="EA11" s="304">
        <v>17105.29</v>
      </c>
      <c r="EB11" s="304">
        <v>46721.299999999996</v>
      </c>
      <c r="EC11" s="304"/>
      <c r="ED11" s="304">
        <v>48.989999999999995</v>
      </c>
      <c r="EE11" s="304">
        <v>3754.85</v>
      </c>
      <c r="EF11" s="426"/>
      <c r="EG11" s="304">
        <v>2663.25</v>
      </c>
      <c r="EH11" s="304"/>
      <c r="EI11" s="426"/>
      <c r="EJ11" s="304">
        <v>3727.0899999999997</v>
      </c>
      <c r="EK11" s="304">
        <v>6897.7400000000007</v>
      </c>
      <c r="EL11" s="304"/>
      <c r="EM11" s="304">
        <v>71.64</v>
      </c>
      <c r="EN11" s="304">
        <v>1229.43</v>
      </c>
      <c r="EO11" s="304"/>
      <c r="EP11" s="304"/>
      <c r="EQ11" s="304"/>
      <c r="ER11" s="304">
        <v>109</v>
      </c>
      <c r="ES11" s="304"/>
      <c r="ET11" s="304"/>
      <c r="EU11" s="304">
        <v>2143.71</v>
      </c>
      <c r="EV11" s="304">
        <v>4574.43</v>
      </c>
      <c r="EW11" s="304">
        <v>1111</v>
      </c>
      <c r="EX11" s="304">
        <v>23744.769999999997</v>
      </c>
      <c r="EY11" s="304">
        <v>16025.220000000001</v>
      </c>
      <c r="EZ11" s="304"/>
      <c r="FA11" s="304">
        <v>7191.7000000000007</v>
      </c>
      <c r="FB11" s="304"/>
      <c r="FC11" s="304">
        <v>-769055.76</v>
      </c>
      <c r="FD11" s="304"/>
      <c r="FE11" s="304">
        <v>0</v>
      </c>
      <c r="FF11" s="304"/>
      <c r="FG11" s="304">
        <v>-31700</v>
      </c>
      <c r="FH11" s="304"/>
      <c r="FI11" s="304"/>
      <c r="FJ11" s="304"/>
      <c r="FK11" s="304"/>
      <c r="FL11" s="304"/>
      <c r="FM11" s="304">
        <v>-5575</v>
      </c>
      <c r="FN11" s="304">
        <v>-26809</v>
      </c>
      <c r="FO11" s="304">
        <v>-15767</v>
      </c>
      <c r="FP11" s="304"/>
      <c r="FQ11" s="304"/>
      <c r="FR11" s="304">
        <v>47601</v>
      </c>
      <c r="FS11" s="304">
        <v>-14028.78</v>
      </c>
      <c r="FT11" s="304"/>
      <c r="FU11" s="304">
        <v>3517.19</v>
      </c>
      <c r="FV11" s="304">
        <v>-208430</v>
      </c>
      <c r="FW11" s="304">
        <v>2820.83</v>
      </c>
      <c r="FX11" s="304">
        <v>417.85</v>
      </c>
      <c r="FY11" s="304"/>
      <c r="FZ11" s="304">
        <v>-10026.629999999999</v>
      </c>
      <c r="GA11" s="304">
        <v>-7216</v>
      </c>
      <c r="GB11" s="304">
        <v>-14681</v>
      </c>
      <c r="GC11" s="304">
        <v>259</v>
      </c>
      <c r="GD11" s="304"/>
      <c r="GE11" s="304">
        <v>1414.6</v>
      </c>
      <c r="GF11" s="304">
        <v>562</v>
      </c>
      <c r="GG11" s="304">
        <v>22869.680000000004</v>
      </c>
      <c r="GH11" s="304">
        <v>13634.18</v>
      </c>
      <c r="GI11" s="304"/>
      <c r="GJ11" s="304">
        <v>4124.2600000000011</v>
      </c>
      <c r="GK11" s="304">
        <v>261</v>
      </c>
      <c r="GL11" s="304">
        <v>4156.5</v>
      </c>
      <c r="GM11" s="304">
        <v>3314.9900000000002</v>
      </c>
      <c r="GN11" s="304">
        <v>1438.5</v>
      </c>
      <c r="GO11" s="304">
        <v>925</v>
      </c>
      <c r="GP11" s="304">
        <v>944.14</v>
      </c>
      <c r="GQ11" s="304"/>
      <c r="GR11" s="304"/>
      <c r="GS11" s="304"/>
      <c r="GT11" s="304"/>
      <c r="GU11" s="304"/>
      <c r="GV11" s="304"/>
      <c r="GW11" s="304"/>
      <c r="GX11" s="304"/>
      <c r="GY11" s="304"/>
      <c r="GZ11" s="304"/>
      <c r="HA11" s="304">
        <v>-4949.8999999999996</v>
      </c>
      <c r="HB11" s="304">
        <v>-9418.68</v>
      </c>
      <c r="HC11" s="304"/>
      <c r="HD11" s="304">
        <v>-502.03</v>
      </c>
      <c r="HE11" s="304">
        <v>-1321.2899999999997</v>
      </c>
      <c r="HF11" s="304"/>
      <c r="HG11" s="304">
        <v>-6392.2900000000009</v>
      </c>
      <c r="HH11" s="304"/>
      <c r="HI11" s="304"/>
      <c r="HJ11" s="304">
        <v>-28000</v>
      </c>
      <c r="HK11" s="304"/>
      <c r="HL11" s="304"/>
      <c r="HM11" s="304">
        <v>-13500</v>
      </c>
      <c r="HN11" s="304">
        <v>-84481</v>
      </c>
      <c r="HP11">
        <v>-180.32</v>
      </c>
    </row>
    <row r="12" spans="1:226">
      <c r="A12" s="116">
        <v>107825</v>
      </c>
      <c r="B12" s="304"/>
      <c r="C12" s="304"/>
      <c r="D12" s="304"/>
      <c r="E12" s="304"/>
      <c r="F12" s="304"/>
      <c r="G12" s="304">
        <v>470608.14</v>
      </c>
      <c r="H12" s="304">
        <v>2226.7299999999996</v>
      </c>
      <c r="I12" s="304">
        <v>3458</v>
      </c>
      <c r="J12" s="304">
        <v>133863.21999999997</v>
      </c>
      <c r="K12" s="304">
        <v>61793.540000000008</v>
      </c>
      <c r="L12" s="304">
        <v>7747.6600000000008</v>
      </c>
      <c r="M12" s="304"/>
      <c r="N12" s="304">
        <v>2222.0299999999997</v>
      </c>
      <c r="O12" s="304">
        <v>595.54</v>
      </c>
      <c r="P12" s="304"/>
      <c r="Q12" s="304"/>
      <c r="R12" s="304"/>
      <c r="S12" s="304"/>
      <c r="T12" s="304"/>
      <c r="U12" s="304"/>
      <c r="V12" s="304"/>
      <c r="W12" s="304"/>
      <c r="X12" s="304"/>
      <c r="Y12" s="304"/>
      <c r="Z12" s="304"/>
      <c r="AA12" s="304"/>
      <c r="AB12" s="304">
        <v>22315.26</v>
      </c>
      <c r="AC12" s="304">
        <v>252.23</v>
      </c>
      <c r="AD12" s="304">
        <v>400.15999999999997</v>
      </c>
      <c r="AE12" s="304">
        <v>5107.3500000000004</v>
      </c>
      <c r="AF12" s="304">
        <v>1810.21</v>
      </c>
      <c r="AG12" s="304"/>
      <c r="AH12" s="304"/>
      <c r="AI12" s="304"/>
      <c r="AJ12" s="304"/>
      <c r="AK12" s="304"/>
      <c r="AL12" s="304">
        <v>114707.41</v>
      </c>
      <c r="AM12" s="304">
        <v>771.27</v>
      </c>
      <c r="AN12" s="304">
        <v>2180.0999999999995</v>
      </c>
      <c r="AO12" s="304">
        <v>31061.21</v>
      </c>
      <c r="AP12" s="304">
        <v>12510.499999999998</v>
      </c>
      <c r="AQ12" s="304"/>
      <c r="AR12" s="304"/>
      <c r="AS12" s="304"/>
      <c r="AT12" s="304"/>
      <c r="AU12" s="304"/>
      <c r="AV12" s="304"/>
      <c r="AW12" s="304"/>
      <c r="AX12" s="304"/>
      <c r="AY12" s="304"/>
      <c r="AZ12" s="304">
        <v>31470.440000000002</v>
      </c>
      <c r="BA12" s="304">
        <v>223.33</v>
      </c>
      <c r="BB12" s="304">
        <v>1188.04</v>
      </c>
      <c r="BC12" s="304"/>
      <c r="BD12" s="304">
        <v>14922.92</v>
      </c>
      <c r="BE12" s="304">
        <v>6884.8799999999992</v>
      </c>
      <c r="BF12" s="304"/>
      <c r="BG12" s="304"/>
      <c r="BH12" s="304"/>
      <c r="BI12" s="304"/>
      <c r="BJ12" s="304"/>
      <c r="BK12" s="304"/>
      <c r="BL12" s="304"/>
      <c r="BM12" s="304"/>
      <c r="BN12" s="304"/>
      <c r="BO12" s="304"/>
      <c r="BP12" s="304">
        <v>31053.379999999994</v>
      </c>
      <c r="BQ12" s="304">
        <v>435.15999999999997</v>
      </c>
      <c r="BR12" s="304">
        <v>383.35999999999996</v>
      </c>
      <c r="BS12" s="304">
        <v>12629.95</v>
      </c>
      <c r="BT12" s="304">
        <v>4820.6499999999996</v>
      </c>
      <c r="BU12" s="304"/>
      <c r="BV12" s="304"/>
      <c r="BW12" s="304"/>
      <c r="BX12" s="304"/>
      <c r="BY12" s="304"/>
      <c r="BZ12" s="304"/>
      <c r="CA12" s="304"/>
      <c r="CB12" s="304"/>
      <c r="CC12" s="304"/>
      <c r="CD12" s="304">
        <v>117</v>
      </c>
      <c r="CE12" s="304"/>
      <c r="CF12" s="304">
        <v>2780.5</v>
      </c>
      <c r="CG12" s="304">
        <v>1092</v>
      </c>
      <c r="CH12" s="304"/>
      <c r="CI12" s="304"/>
      <c r="CJ12" s="304">
        <v>6112</v>
      </c>
      <c r="CK12" s="304">
        <v>18664.699999999986</v>
      </c>
      <c r="CL12" s="304">
        <v>3170.7200000000003</v>
      </c>
      <c r="CM12" s="304">
        <v>18796</v>
      </c>
      <c r="CN12" s="304"/>
      <c r="CO12" s="304"/>
      <c r="CP12" s="304"/>
      <c r="CQ12" s="304"/>
      <c r="CR12" s="304"/>
      <c r="CS12" s="304">
        <v>4826.13</v>
      </c>
      <c r="CT12" s="304">
        <v>10884.689999999999</v>
      </c>
      <c r="CU12" s="304">
        <v>6004.41</v>
      </c>
      <c r="CV12" s="304"/>
      <c r="CW12" s="304"/>
      <c r="CX12" s="304"/>
      <c r="CY12" s="304"/>
      <c r="CZ12" s="304">
        <v>28665</v>
      </c>
      <c r="DA12" s="304">
        <v>3161.1400000000003</v>
      </c>
      <c r="DB12" s="304">
        <v>169</v>
      </c>
      <c r="DC12" s="304">
        <v>3870.4599999999987</v>
      </c>
      <c r="DD12" s="304">
        <v>1387.0500000000002</v>
      </c>
      <c r="DE12" s="304"/>
      <c r="DF12" s="304"/>
      <c r="DG12" s="304"/>
      <c r="DH12" s="304"/>
      <c r="DI12" s="304"/>
      <c r="DJ12" s="304"/>
      <c r="DK12" s="304"/>
      <c r="DL12" s="304">
        <v>671.02</v>
      </c>
      <c r="DM12" s="304">
        <v>204.9</v>
      </c>
      <c r="DN12" s="304"/>
      <c r="DO12" s="304"/>
      <c r="DP12" s="304"/>
      <c r="DQ12" s="304"/>
      <c r="DR12" s="304"/>
      <c r="DS12" s="304"/>
      <c r="DT12" s="304">
        <v>94</v>
      </c>
      <c r="DU12" s="304">
        <v>3594</v>
      </c>
      <c r="DV12" s="304">
        <v>19429.270000000008</v>
      </c>
      <c r="DW12" s="304">
        <v>701.50999999999988</v>
      </c>
      <c r="DX12" s="304">
        <v>118.64</v>
      </c>
      <c r="DY12" s="304">
        <v>106.54</v>
      </c>
      <c r="DZ12" s="304">
        <v>11525.76</v>
      </c>
      <c r="EA12" s="304">
        <v>4430.96</v>
      </c>
      <c r="EB12" s="304">
        <v>50429.5</v>
      </c>
      <c r="EC12" s="304"/>
      <c r="ED12" s="304"/>
      <c r="EE12" s="304">
        <v>935.2800000000002</v>
      </c>
      <c r="EF12" s="426"/>
      <c r="EG12" s="304">
        <v>4150</v>
      </c>
      <c r="EH12" s="304"/>
      <c r="EI12" s="426"/>
      <c r="EJ12" s="304">
        <v>4426.7</v>
      </c>
      <c r="EK12" s="304">
        <v>6820.49</v>
      </c>
      <c r="EL12" s="304">
        <v>948</v>
      </c>
      <c r="EM12" s="304">
        <v>917.24</v>
      </c>
      <c r="EN12" s="304"/>
      <c r="EO12" s="304"/>
      <c r="EP12" s="304"/>
      <c r="EQ12" s="304">
        <v>-4000</v>
      </c>
      <c r="ER12" s="304"/>
      <c r="ES12" s="304"/>
      <c r="ET12" s="304"/>
      <c r="EU12" s="304"/>
      <c r="EV12" s="304">
        <v>7078.68</v>
      </c>
      <c r="EW12" s="304">
        <v>351.5</v>
      </c>
      <c r="EX12" s="304">
        <v>49.48</v>
      </c>
      <c r="EY12" s="304">
        <v>28944.819999999992</v>
      </c>
      <c r="EZ12" s="304"/>
      <c r="FA12" s="304"/>
      <c r="FB12" s="304"/>
      <c r="FC12" s="304">
        <v>-1079301.95</v>
      </c>
      <c r="FD12" s="304"/>
      <c r="FE12" s="304"/>
      <c r="FF12" s="304"/>
      <c r="FG12" s="304">
        <v>-36425</v>
      </c>
      <c r="FH12" s="304"/>
      <c r="FI12" s="304">
        <v>-988.32999999999993</v>
      </c>
      <c r="FJ12" s="304"/>
      <c r="FK12" s="304"/>
      <c r="FL12" s="304"/>
      <c r="FM12" s="304">
        <v>-6407.5</v>
      </c>
      <c r="FN12" s="304">
        <v>-40938</v>
      </c>
      <c r="FO12" s="304">
        <v>-16348</v>
      </c>
      <c r="FP12" s="304"/>
      <c r="FQ12" s="304">
        <v>-114856.31</v>
      </c>
      <c r="FR12" s="304"/>
      <c r="FS12" s="304">
        <v>-15181.53</v>
      </c>
      <c r="FT12" s="304"/>
      <c r="FU12" s="304"/>
      <c r="FV12" s="304">
        <v>-39308</v>
      </c>
      <c r="FW12" s="304">
        <v>4365.08</v>
      </c>
      <c r="FX12" s="304">
        <v>646.6</v>
      </c>
      <c r="FY12" s="304"/>
      <c r="FZ12" s="304">
        <v>-17338.439999999999</v>
      </c>
      <c r="GA12" s="304">
        <v>-9692</v>
      </c>
      <c r="GB12" s="304">
        <v>-19890</v>
      </c>
      <c r="GC12" s="304">
        <v>1022</v>
      </c>
      <c r="GD12" s="304"/>
      <c r="GE12" s="304">
        <v>1636.52</v>
      </c>
      <c r="GF12" s="304">
        <v>743.15000000000009</v>
      </c>
      <c r="GG12" s="304">
        <v>507</v>
      </c>
      <c r="GH12" s="304">
        <v>48233.96</v>
      </c>
      <c r="GI12" s="304">
        <v>429</v>
      </c>
      <c r="GJ12" s="304">
        <v>7648.8200000000052</v>
      </c>
      <c r="GK12" s="304">
        <v>261</v>
      </c>
      <c r="GL12" s="304">
        <v>3220</v>
      </c>
      <c r="GM12" s="304">
        <v>2474.5699999999997</v>
      </c>
      <c r="GN12" s="304">
        <v>2226</v>
      </c>
      <c r="GO12" s="304">
        <v>610</v>
      </c>
      <c r="GP12" s="304">
        <v>1110.6400000000001</v>
      </c>
      <c r="GQ12" s="304">
        <v>1441.5399999999997</v>
      </c>
      <c r="GR12" s="304"/>
      <c r="GS12" s="304"/>
      <c r="GT12" s="304"/>
      <c r="GU12" s="304"/>
      <c r="GV12" s="304"/>
      <c r="GW12" s="304"/>
      <c r="GX12" s="304"/>
      <c r="GY12" s="304">
        <v>-9057</v>
      </c>
      <c r="GZ12" s="304"/>
      <c r="HA12" s="304">
        <v>-3591.0899999999992</v>
      </c>
      <c r="HB12" s="304">
        <v>-23636.959999999985</v>
      </c>
      <c r="HC12" s="304"/>
      <c r="HD12" s="304">
        <v>-130.80000000000001</v>
      </c>
      <c r="HE12" s="304"/>
      <c r="HF12" s="304"/>
      <c r="HG12" s="304"/>
      <c r="HH12" s="304"/>
      <c r="HI12" s="304">
        <v>-7171.13</v>
      </c>
      <c r="HJ12" s="304">
        <v>-19942.689999999988</v>
      </c>
      <c r="HK12" s="304"/>
      <c r="HL12" s="304"/>
      <c r="HM12" s="304">
        <v>-1614.67</v>
      </c>
      <c r="HN12" s="304">
        <v>0</v>
      </c>
      <c r="HP12">
        <v>-5861.67</v>
      </c>
    </row>
    <row r="13" spans="1:226">
      <c r="A13" s="116">
        <v>107827</v>
      </c>
      <c r="B13" s="304"/>
      <c r="C13" s="304"/>
      <c r="D13" s="304"/>
      <c r="E13" s="304"/>
      <c r="F13" s="304"/>
      <c r="G13" s="304">
        <v>329967.94999999995</v>
      </c>
      <c r="H13" s="304">
        <v>2606.09</v>
      </c>
      <c r="I13" s="304"/>
      <c r="J13" s="304">
        <v>93456.31</v>
      </c>
      <c r="K13" s="304">
        <v>44874.400000000001</v>
      </c>
      <c r="L13" s="304">
        <v>20042.53</v>
      </c>
      <c r="M13" s="304"/>
      <c r="N13" s="304">
        <v>3698.51</v>
      </c>
      <c r="O13" s="304">
        <v>2532.4299999999998</v>
      </c>
      <c r="P13" s="304"/>
      <c r="Q13" s="304"/>
      <c r="R13" s="304"/>
      <c r="S13" s="304"/>
      <c r="T13" s="304"/>
      <c r="U13" s="304"/>
      <c r="V13" s="304"/>
      <c r="W13" s="304">
        <v>17102.11</v>
      </c>
      <c r="X13" s="304"/>
      <c r="Y13" s="304"/>
      <c r="Z13" s="304">
        <v>1693.17</v>
      </c>
      <c r="AA13" s="304">
        <v>914.49999999999989</v>
      </c>
      <c r="AB13" s="304">
        <v>19996.379999999997</v>
      </c>
      <c r="AC13" s="304">
        <v>16.489999999999998</v>
      </c>
      <c r="AD13" s="304">
        <v>1191.6799999999998</v>
      </c>
      <c r="AE13" s="304">
        <v>5459.04</v>
      </c>
      <c r="AF13" s="304">
        <v>1196.83</v>
      </c>
      <c r="AG13" s="304"/>
      <c r="AH13" s="304"/>
      <c r="AI13" s="304"/>
      <c r="AJ13" s="304"/>
      <c r="AK13" s="304"/>
      <c r="AL13" s="304">
        <v>124842.45</v>
      </c>
      <c r="AM13" s="304">
        <v>689.8599999999999</v>
      </c>
      <c r="AN13" s="304">
        <v>4926.9599999999991</v>
      </c>
      <c r="AO13" s="304">
        <v>32600.37</v>
      </c>
      <c r="AP13" s="304">
        <v>13330.999999999998</v>
      </c>
      <c r="AQ13" s="304"/>
      <c r="AR13" s="304"/>
      <c r="AS13" s="304"/>
      <c r="AT13" s="304"/>
      <c r="AU13" s="304"/>
      <c r="AV13" s="304"/>
      <c r="AW13" s="304"/>
      <c r="AX13" s="304"/>
      <c r="AY13" s="304"/>
      <c r="AZ13" s="304">
        <v>40909.759999999995</v>
      </c>
      <c r="BA13" s="304">
        <v>160.56</v>
      </c>
      <c r="BB13" s="304">
        <v>1101.0800000000002</v>
      </c>
      <c r="BC13" s="304"/>
      <c r="BD13" s="304">
        <v>11133.01</v>
      </c>
      <c r="BE13" s="304">
        <v>4632.0800000000008</v>
      </c>
      <c r="BF13" s="304"/>
      <c r="BG13" s="304"/>
      <c r="BH13" s="304"/>
      <c r="BI13" s="304"/>
      <c r="BJ13" s="304"/>
      <c r="BK13" s="304"/>
      <c r="BL13" s="304"/>
      <c r="BM13" s="304"/>
      <c r="BN13" s="304"/>
      <c r="BO13" s="304"/>
      <c r="BP13" s="304">
        <v>16028.38</v>
      </c>
      <c r="BQ13" s="304">
        <v>867.05000000000007</v>
      </c>
      <c r="BR13" s="304">
        <v>1107.0200000000002</v>
      </c>
      <c r="BS13" s="304">
        <v>3746.27</v>
      </c>
      <c r="BT13" s="304">
        <v>971.44</v>
      </c>
      <c r="BU13" s="304"/>
      <c r="BV13" s="304"/>
      <c r="BW13" s="304"/>
      <c r="BX13" s="304"/>
      <c r="BY13" s="304"/>
      <c r="BZ13" s="304"/>
      <c r="CA13" s="304"/>
      <c r="CB13" s="304"/>
      <c r="CC13" s="304">
        <v>1302.04</v>
      </c>
      <c r="CD13" s="304"/>
      <c r="CE13" s="304">
        <v>450</v>
      </c>
      <c r="CF13" s="304">
        <v>3244.71</v>
      </c>
      <c r="CG13" s="304">
        <v>7910.46</v>
      </c>
      <c r="CH13" s="304"/>
      <c r="CI13" s="304"/>
      <c r="CJ13" s="304"/>
      <c r="CK13" s="304">
        <v>6076.670000000001</v>
      </c>
      <c r="CL13" s="304">
        <v>744.12</v>
      </c>
      <c r="CM13" s="304">
        <v>4483.8099999999995</v>
      </c>
      <c r="CN13" s="304"/>
      <c r="CO13" s="304"/>
      <c r="CP13" s="304"/>
      <c r="CQ13" s="304"/>
      <c r="CR13" s="304"/>
      <c r="CS13" s="304"/>
      <c r="CT13" s="304">
        <v>6745.93</v>
      </c>
      <c r="CU13" s="304"/>
      <c r="CV13" s="304">
        <v>6715.71</v>
      </c>
      <c r="CW13" s="304"/>
      <c r="CX13" s="304"/>
      <c r="CY13" s="304"/>
      <c r="CZ13" s="304">
        <v>12724.5</v>
      </c>
      <c r="DA13" s="304">
        <v>4673.5700000000006</v>
      </c>
      <c r="DB13" s="304">
        <v>189.5</v>
      </c>
      <c r="DC13" s="304">
        <v>1937.2399999999998</v>
      </c>
      <c r="DD13" s="304">
        <v>3490.22</v>
      </c>
      <c r="DE13" s="304"/>
      <c r="DF13" s="304"/>
      <c r="DG13" s="304"/>
      <c r="DH13" s="304"/>
      <c r="DI13" s="304"/>
      <c r="DJ13" s="304"/>
      <c r="DK13" s="304"/>
      <c r="DL13" s="304">
        <v>320.84000000000003</v>
      </c>
      <c r="DM13" s="304"/>
      <c r="DN13" s="304">
        <v>525</v>
      </c>
      <c r="DO13" s="304"/>
      <c r="DP13" s="304"/>
      <c r="DQ13" s="304"/>
      <c r="DR13" s="304"/>
      <c r="DS13" s="304"/>
      <c r="DT13" s="304"/>
      <c r="DU13" s="304">
        <v>2907</v>
      </c>
      <c r="DV13" s="304">
        <v>21581.919999999998</v>
      </c>
      <c r="DW13" s="304">
        <v>361.77</v>
      </c>
      <c r="DX13" s="304"/>
      <c r="DY13" s="304">
        <v>1589.95</v>
      </c>
      <c r="DZ13" s="304">
        <v>4316</v>
      </c>
      <c r="EA13" s="304">
        <v>4509.1400000000003</v>
      </c>
      <c r="EB13" s="304">
        <v>19224.64</v>
      </c>
      <c r="EC13" s="304"/>
      <c r="ED13" s="304">
        <v>15.18</v>
      </c>
      <c r="EE13" s="304">
        <v>1328.5900000000001</v>
      </c>
      <c r="EF13" s="426"/>
      <c r="EG13" s="304">
        <v>358</v>
      </c>
      <c r="EH13" s="304">
        <v>720</v>
      </c>
      <c r="EI13" s="426"/>
      <c r="EJ13" s="304">
        <v>11342.629999999997</v>
      </c>
      <c r="EK13" s="304">
        <v>6916.47</v>
      </c>
      <c r="EL13" s="304">
        <v>850.19</v>
      </c>
      <c r="EM13" s="304">
        <v>111.6</v>
      </c>
      <c r="EN13" s="304">
        <v>174</v>
      </c>
      <c r="EO13" s="304"/>
      <c r="EP13" s="304"/>
      <c r="EQ13" s="304"/>
      <c r="ER13" s="304"/>
      <c r="ES13" s="304"/>
      <c r="ET13" s="304"/>
      <c r="EU13" s="304"/>
      <c r="EV13" s="304">
        <v>4307.3100000000004</v>
      </c>
      <c r="EW13" s="304">
        <v>2311.2000000000003</v>
      </c>
      <c r="EX13" s="304"/>
      <c r="EY13" s="304">
        <v>26128.35</v>
      </c>
      <c r="EZ13" s="304"/>
      <c r="FA13" s="304"/>
      <c r="FB13" s="304">
        <v>7.24</v>
      </c>
      <c r="FC13" s="304">
        <v>-741386.31</v>
      </c>
      <c r="FD13" s="304">
        <v>-33882.28</v>
      </c>
      <c r="FE13" s="304"/>
      <c r="FF13" s="304">
        <v>-550</v>
      </c>
      <c r="FG13" s="304">
        <v>-21515</v>
      </c>
      <c r="FH13" s="304"/>
      <c r="FI13" s="304">
        <v>-571.29</v>
      </c>
      <c r="FJ13" s="304"/>
      <c r="FK13" s="304"/>
      <c r="FL13" s="304"/>
      <c r="FM13" s="304">
        <v>-5406.25</v>
      </c>
      <c r="FN13" s="304">
        <v>-18937</v>
      </c>
      <c r="FO13" s="304">
        <v>-15669</v>
      </c>
      <c r="FP13" s="304"/>
      <c r="FQ13" s="304">
        <v>-82874.320000000007</v>
      </c>
      <c r="FR13" s="304"/>
      <c r="FS13" s="304"/>
      <c r="FT13" s="304"/>
      <c r="FU13" s="304"/>
      <c r="FV13" s="304">
        <v>-71191</v>
      </c>
      <c r="FW13" s="304">
        <v>2656.1099999999997</v>
      </c>
      <c r="FX13" s="304">
        <v>393.45</v>
      </c>
      <c r="FY13" s="304"/>
      <c r="FZ13" s="304">
        <v>-4018.5</v>
      </c>
      <c r="GA13" s="304">
        <v>-6636</v>
      </c>
      <c r="GB13" s="304">
        <v>-13449</v>
      </c>
      <c r="GC13" s="304">
        <v>1149.75</v>
      </c>
      <c r="GD13" s="304"/>
      <c r="GE13" s="304">
        <v>1381.16</v>
      </c>
      <c r="GF13" s="304"/>
      <c r="GG13" s="304"/>
      <c r="GH13" s="304">
        <v>26544.660000000003</v>
      </c>
      <c r="GI13" s="304">
        <v>2385</v>
      </c>
      <c r="GJ13" s="304">
        <v>6365.2900000000045</v>
      </c>
      <c r="GK13" s="304">
        <v>261</v>
      </c>
      <c r="GL13" s="304">
        <v>2659.7799999999997</v>
      </c>
      <c r="GM13" s="304">
        <v>2781.39</v>
      </c>
      <c r="GN13" s="304">
        <v>3854.5</v>
      </c>
      <c r="GO13" s="304">
        <v>560</v>
      </c>
      <c r="GP13" s="304">
        <v>926.38</v>
      </c>
      <c r="GQ13" s="304"/>
      <c r="GR13" s="304">
        <v>60</v>
      </c>
      <c r="GS13" s="304"/>
      <c r="GT13" s="304"/>
      <c r="GU13" s="304"/>
      <c r="GV13" s="304"/>
      <c r="GW13" s="304"/>
      <c r="GX13" s="304"/>
      <c r="GY13" s="304">
        <v>-96</v>
      </c>
      <c r="GZ13" s="304">
        <v>-10000</v>
      </c>
      <c r="HA13" s="304">
        <v>-1302.81</v>
      </c>
      <c r="HB13" s="304">
        <v>-22202.319999999989</v>
      </c>
      <c r="HC13" s="304"/>
      <c r="HD13" s="304"/>
      <c r="HE13" s="304">
        <v>-2615.9699999999998</v>
      </c>
      <c r="HF13" s="304"/>
      <c r="HG13" s="304">
        <v>2.23</v>
      </c>
      <c r="HH13" s="304">
        <v>-380</v>
      </c>
      <c r="HI13" s="304"/>
      <c r="HJ13" s="304">
        <v>-18748.850000000013</v>
      </c>
      <c r="HK13" s="304"/>
      <c r="HL13" s="304"/>
      <c r="HM13" s="304">
        <v>-13110</v>
      </c>
      <c r="HN13" s="304"/>
      <c r="HP13">
        <v>-4346.47</v>
      </c>
    </row>
    <row r="14" spans="1:226">
      <c r="A14" s="116">
        <v>107829</v>
      </c>
      <c r="B14" s="304"/>
      <c r="C14" s="304"/>
      <c r="D14" s="304"/>
      <c r="E14" s="304"/>
      <c r="F14" s="304"/>
      <c r="G14" s="304">
        <v>276122.91000000003</v>
      </c>
      <c r="H14" s="304">
        <v>382.84</v>
      </c>
      <c r="I14" s="304">
        <v>1972.5</v>
      </c>
      <c r="J14" s="304">
        <v>79301.89</v>
      </c>
      <c r="K14" s="304">
        <v>37072.800000000003</v>
      </c>
      <c r="L14" s="304">
        <v>215.11</v>
      </c>
      <c r="M14" s="304"/>
      <c r="N14" s="304">
        <v>61.69</v>
      </c>
      <c r="O14" s="304">
        <v>28.47</v>
      </c>
      <c r="P14" s="304"/>
      <c r="Q14" s="304"/>
      <c r="R14" s="304"/>
      <c r="S14" s="304"/>
      <c r="T14" s="304"/>
      <c r="U14" s="304"/>
      <c r="V14" s="304"/>
      <c r="W14" s="304">
        <v>29746.429999999997</v>
      </c>
      <c r="X14" s="304">
        <v>3640.6200000000003</v>
      </c>
      <c r="Y14" s="304">
        <v>3414.3500000000004</v>
      </c>
      <c r="Z14" s="304">
        <v>8979.48</v>
      </c>
      <c r="AA14" s="304">
        <v>2886.38</v>
      </c>
      <c r="AB14" s="304">
        <v>14527.200000000003</v>
      </c>
      <c r="AC14" s="304">
        <v>156.9</v>
      </c>
      <c r="AD14" s="304">
        <v>167.09</v>
      </c>
      <c r="AE14" s="304">
        <v>3721.0199999999995</v>
      </c>
      <c r="AF14" s="304">
        <v>861.1099999999999</v>
      </c>
      <c r="AG14" s="304"/>
      <c r="AH14" s="304"/>
      <c r="AI14" s="304"/>
      <c r="AJ14" s="304"/>
      <c r="AK14" s="304"/>
      <c r="AL14" s="304">
        <v>84326.659999999989</v>
      </c>
      <c r="AM14" s="304">
        <v>293.83999999999997</v>
      </c>
      <c r="AN14" s="304">
        <v>1747.6299999999999</v>
      </c>
      <c r="AO14" s="304">
        <v>22781.449999999997</v>
      </c>
      <c r="AP14" s="304">
        <v>8486.2999999999993</v>
      </c>
      <c r="AQ14" s="304"/>
      <c r="AR14" s="304"/>
      <c r="AS14" s="304"/>
      <c r="AT14" s="304"/>
      <c r="AU14" s="304"/>
      <c r="AV14" s="304"/>
      <c r="AW14" s="304"/>
      <c r="AX14" s="304"/>
      <c r="AY14" s="304"/>
      <c r="AZ14" s="304">
        <v>28679.47</v>
      </c>
      <c r="BA14" s="304">
        <v>4.42</v>
      </c>
      <c r="BB14" s="304">
        <v>734.51</v>
      </c>
      <c r="BC14" s="304"/>
      <c r="BD14" s="304">
        <v>7766.2899999999991</v>
      </c>
      <c r="BE14" s="304">
        <v>2864.0600000000004</v>
      </c>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c r="CF14" s="304">
        <v>1220.8699999999999</v>
      </c>
      <c r="CG14" s="304"/>
      <c r="CH14" s="304">
        <v>97.899999999999991</v>
      </c>
      <c r="CI14" s="304">
        <v>0.54</v>
      </c>
      <c r="CJ14" s="304"/>
      <c r="CK14" s="304">
        <v>10478.330000000002</v>
      </c>
      <c r="CL14" s="304">
        <v>4156.7700000000004</v>
      </c>
      <c r="CM14" s="304">
        <v>20118.36</v>
      </c>
      <c r="CN14" s="304"/>
      <c r="CO14" s="304"/>
      <c r="CP14" s="304"/>
      <c r="CQ14" s="304"/>
      <c r="CR14" s="304"/>
      <c r="CS14" s="304">
        <v>1107.1500000000001</v>
      </c>
      <c r="CT14" s="304">
        <v>6558.23</v>
      </c>
      <c r="CU14" s="304">
        <v>2863.21</v>
      </c>
      <c r="CV14" s="304"/>
      <c r="CW14" s="304"/>
      <c r="CX14" s="304">
        <v>652.95000000000005</v>
      </c>
      <c r="CY14" s="304"/>
      <c r="CZ14" s="304">
        <v>14595.75</v>
      </c>
      <c r="DA14" s="304">
        <v>2403.1800000000003</v>
      </c>
      <c r="DB14" s="304">
        <v>75</v>
      </c>
      <c r="DC14" s="304">
        <v>618.52</v>
      </c>
      <c r="DD14" s="304">
        <v>1249.4700000000005</v>
      </c>
      <c r="DE14" s="304"/>
      <c r="DF14" s="304"/>
      <c r="DG14" s="304"/>
      <c r="DH14" s="304"/>
      <c r="DI14" s="304"/>
      <c r="DJ14" s="304"/>
      <c r="DK14" s="304"/>
      <c r="DL14" s="304"/>
      <c r="DM14" s="304"/>
      <c r="DN14" s="304"/>
      <c r="DO14" s="304"/>
      <c r="DP14" s="304"/>
      <c r="DQ14" s="304"/>
      <c r="DR14" s="304"/>
      <c r="DS14" s="304"/>
      <c r="DT14" s="304"/>
      <c r="DU14" s="304">
        <v>2212</v>
      </c>
      <c r="DV14" s="304">
        <v>5158.9299999999994</v>
      </c>
      <c r="DW14" s="304">
        <v>42.42</v>
      </c>
      <c r="DX14" s="304"/>
      <c r="DY14" s="304">
        <v>3047.1399999999994</v>
      </c>
      <c r="DZ14" s="304">
        <v>3095.3900000000003</v>
      </c>
      <c r="EA14" s="304">
        <v>4327</v>
      </c>
      <c r="EB14" s="304">
        <v>10115.499999999998</v>
      </c>
      <c r="EC14" s="304"/>
      <c r="ED14" s="304">
        <v>84.25</v>
      </c>
      <c r="EE14" s="304">
        <v>1291.0699999999997</v>
      </c>
      <c r="EF14" s="426"/>
      <c r="EG14" s="304"/>
      <c r="EH14" s="304">
        <v>809.99</v>
      </c>
      <c r="EI14" s="426"/>
      <c r="EJ14" s="304"/>
      <c r="EK14" s="304"/>
      <c r="EL14" s="304">
        <v>810.49</v>
      </c>
      <c r="EM14" s="304">
        <v>979.48</v>
      </c>
      <c r="EN14" s="304">
        <v>893.1</v>
      </c>
      <c r="EO14" s="304"/>
      <c r="EP14" s="304"/>
      <c r="EQ14" s="304"/>
      <c r="ER14" s="304"/>
      <c r="ES14" s="304"/>
      <c r="ET14" s="304"/>
      <c r="EU14" s="304">
        <v>4132.2299999999996</v>
      </c>
      <c r="EV14" s="304">
        <v>3105.27</v>
      </c>
      <c r="EW14" s="304">
        <v>6023.44</v>
      </c>
      <c r="EX14" s="304">
        <v>969.03999999999985</v>
      </c>
      <c r="EY14" s="304">
        <v>14866.310000000001</v>
      </c>
      <c r="EZ14" s="304"/>
      <c r="FA14" s="304">
        <v>1883.4</v>
      </c>
      <c r="FB14" s="304"/>
      <c r="FC14" s="304">
        <v>-602201.77</v>
      </c>
      <c r="FD14" s="304"/>
      <c r="FE14" s="304"/>
      <c r="FF14" s="304"/>
      <c r="FG14" s="304">
        <v>-15465</v>
      </c>
      <c r="FH14" s="304"/>
      <c r="FI14" s="304"/>
      <c r="FJ14" s="304"/>
      <c r="FK14" s="304"/>
      <c r="FL14" s="304">
        <v>-10106.109999999999</v>
      </c>
      <c r="FM14" s="304">
        <v>-5113.75</v>
      </c>
      <c r="FN14" s="304">
        <v>-14382</v>
      </c>
      <c r="FO14" s="304">
        <v>-15447</v>
      </c>
      <c r="FP14" s="304"/>
      <c r="FQ14" s="304">
        <v>-200036.32</v>
      </c>
      <c r="FR14" s="304"/>
      <c r="FS14" s="304">
        <v>-18965.099999999999</v>
      </c>
      <c r="FT14" s="304"/>
      <c r="FU14" s="304"/>
      <c r="FV14" s="304">
        <v>-39189</v>
      </c>
      <c r="FW14" s="304">
        <v>1914.87</v>
      </c>
      <c r="FX14" s="304">
        <v>283.64999999999998</v>
      </c>
      <c r="FY14" s="304"/>
      <c r="FZ14" s="304">
        <v>-21956.21</v>
      </c>
      <c r="GA14" s="304">
        <v>-5049</v>
      </c>
      <c r="GB14" s="304">
        <v>-10095</v>
      </c>
      <c r="GC14" s="304">
        <v>300</v>
      </c>
      <c r="GD14" s="304"/>
      <c r="GE14" s="304">
        <v>1293</v>
      </c>
      <c r="GF14" s="304"/>
      <c r="GG14" s="304">
        <v>20308.96</v>
      </c>
      <c r="GH14" s="304">
        <v>17886.050000000003</v>
      </c>
      <c r="GI14" s="304">
        <v>1550.1</v>
      </c>
      <c r="GJ14" s="304">
        <v>4058.54</v>
      </c>
      <c r="GK14" s="304"/>
      <c r="GL14" s="304">
        <v>4589.54</v>
      </c>
      <c r="GM14" s="304">
        <v>1947.6399999999999</v>
      </c>
      <c r="GN14" s="304">
        <v>2476.5</v>
      </c>
      <c r="GO14" s="304">
        <v>895</v>
      </c>
      <c r="GP14" s="304">
        <v>846.46</v>
      </c>
      <c r="GQ14" s="304"/>
      <c r="GR14" s="304">
        <v>115</v>
      </c>
      <c r="GS14" s="304"/>
      <c r="GT14" s="304"/>
      <c r="GU14" s="304"/>
      <c r="GV14" s="304"/>
      <c r="GW14" s="304"/>
      <c r="GX14" s="304">
        <v>-766.42999999999984</v>
      </c>
      <c r="GY14" s="304"/>
      <c r="GZ14" s="304"/>
      <c r="HA14" s="304">
        <v>-377.06</v>
      </c>
      <c r="HB14" s="304">
        <v>-8957.090000000002</v>
      </c>
      <c r="HC14" s="304"/>
      <c r="HD14" s="304"/>
      <c r="HE14" s="304">
        <v>-3655.41</v>
      </c>
      <c r="HF14" s="304"/>
      <c r="HG14" s="304">
        <v>1.34</v>
      </c>
      <c r="HH14" s="304"/>
      <c r="HI14" s="304"/>
      <c r="HJ14" s="304">
        <v>-45565.760000000002</v>
      </c>
      <c r="HK14" s="304"/>
      <c r="HL14" s="304"/>
      <c r="HM14" s="304">
        <v>-15911.9</v>
      </c>
      <c r="HN14" s="304">
        <v>-1838.6600000000003</v>
      </c>
      <c r="HP14">
        <v>-9891.75</v>
      </c>
    </row>
    <row r="15" spans="1:226">
      <c r="A15" s="116">
        <v>107830</v>
      </c>
      <c r="B15" s="304"/>
      <c r="C15" s="304"/>
      <c r="D15" s="304"/>
      <c r="E15" s="304"/>
      <c r="F15" s="304"/>
      <c r="G15" s="304">
        <v>456231.02000000008</v>
      </c>
      <c r="H15" s="304">
        <v>20874.03</v>
      </c>
      <c r="I15" s="304">
        <v>19352.73</v>
      </c>
      <c r="J15" s="304">
        <v>134417.10999999999</v>
      </c>
      <c r="K15" s="304">
        <v>62530.139999999992</v>
      </c>
      <c r="L15" s="304">
        <v>24606.229999999996</v>
      </c>
      <c r="M15" s="304">
        <v>580.5</v>
      </c>
      <c r="N15" s="304">
        <v>7057.0800000000008</v>
      </c>
      <c r="O15" s="304">
        <v>2899.7000000000003</v>
      </c>
      <c r="P15" s="304"/>
      <c r="Q15" s="304"/>
      <c r="R15" s="304"/>
      <c r="S15" s="304"/>
      <c r="T15" s="304"/>
      <c r="U15" s="304"/>
      <c r="V15" s="304"/>
      <c r="W15" s="304">
        <v>14674.81</v>
      </c>
      <c r="X15" s="304">
        <v>788.17</v>
      </c>
      <c r="Y15" s="304">
        <v>1582.0200000000002</v>
      </c>
      <c r="Z15" s="304">
        <v>4040.4700000000003</v>
      </c>
      <c r="AA15" s="304">
        <v>1728.4099999999999</v>
      </c>
      <c r="AB15" s="304">
        <v>22742.449999999997</v>
      </c>
      <c r="AC15" s="304">
        <v>899.08000000000015</v>
      </c>
      <c r="AD15" s="304">
        <v>77.11</v>
      </c>
      <c r="AE15" s="304">
        <v>5778.82</v>
      </c>
      <c r="AF15" s="304">
        <v>1971.63</v>
      </c>
      <c r="AG15" s="304"/>
      <c r="AH15" s="304"/>
      <c r="AI15" s="304"/>
      <c r="AJ15" s="304"/>
      <c r="AK15" s="304"/>
      <c r="AL15" s="304">
        <v>124835.9</v>
      </c>
      <c r="AM15" s="304">
        <v>11564.050000000001</v>
      </c>
      <c r="AN15" s="304">
        <v>9142.86</v>
      </c>
      <c r="AO15" s="304">
        <v>38211.759999999995</v>
      </c>
      <c r="AP15" s="304">
        <v>16064.42</v>
      </c>
      <c r="AQ15" s="304">
        <v>57248.430000000008</v>
      </c>
      <c r="AR15" s="304">
        <v>175.12</v>
      </c>
      <c r="AS15" s="304">
        <v>3317.6799999999994</v>
      </c>
      <c r="AT15" s="304">
        <v>16513.570000000003</v>
      </c>
      <c r="AU15" s="304">
        <v>6178.69</v>
      </c>
      <c r="AV15" s="304"/>
      <c r="AW15" s="304"/>
      <c r="AX15" s="304"/>
      <c r="AY15" s="304"/>
      <c r="AZ15" s="304">
        <v>55503.009999999987</v>
      </c>
      <c r="BA15" s="304"/>
      <c r="BB15" s="304">
        <v>27.37</v>
      </c>
      <c r="BC15" s="304"/>
      <c r="BD15" s="304">
        <v>14659.78</v>
      </c>
      <c r="BE15" s="304">
        <v>6591.880000000001</v>
      </c>
      <c r="BF15" s="304"/>
      <c r="BG15" s="304"/>
      <c r="BH15" s="304"/>
      <c r="BI15" s="304"/>
      <c r="BJ15" s="304"/>
      <c r="BK15" s="304">
        <v>31191.84</v>
      </c>
      <c r="BL15" s="304"/>
      <c r="BM15" s="304">
        <v>176.37</v>
      </c>
      <c r="BN15" s="304">
        <v>8281.08</v>
      </c>
      <c r="BO15" s="304">
        <v>3550.3500000000008</v>
      </c>
      <c r="BP15" s="304">
        <v>21020.32</v>
      </c>
      <c r="BQ15" s="304">
        <v>1024.8900000000001</v>
      </c>
      <c r="BR15" s="304">
        <v>250.61999999999998</v>
      </c>
      <c r="BS15" s="304">
        <v>8024.2099999999991</v>
      </c>
      <c r="BT15" s="304">
        <v>2051.6400000000003</v>
      </c>
      <c r="BU15" s="304"/>
      <c r="BV15" s="304"/>
      <c r="BW15" s="304"/>
      <c r="BX15" s="304"/>
      <c r="BY15" s="304"/>
      <c r="BZ15" s="304"/>
      <c r="CA15" s="304"/>
      <c r="CB15" s="304"/>
      <c r="CC15" s="304"/>
      <c r="CD15" s="304"/>
      <c r="CE15" s="304"/>
      <c r="CF15" s="304">
        <v>2051.5</v>
      </c>
      <c r="CG15" s="304">
        <v>2092.3000000000002</v>
      </c>
      <c r="CH15" s="304">
        <v>0</v>
      </c>
      <c r="CI15" s="304"/>
      <c r="CJ15" s="304">
        <v>81295.450000000012</v>
      </c>
      <c r="CK15" s="304">
        <v>4348.6399999999994</v>
      </c>
      <c r="CL15" s="304">
        <v>1288.54</v>
      </c>
      <c r="CM15" s="304">
        <v>6791.76</v>
      </c>
      <c r="CN15" s="304"/>
      <c r="CO15" s="304"/>
      <c r="CP15" s="304"/>
      <c r="CQ15" s="304"/>
      <c r="CR15" s="304"/>
      <c r="CS15" s="304"/>
      <c r="CT15" s="304">
        <v>17056.23</v>
      </c>
      <c r="CU15" s="304">
        <v>22096.77</v>
      </c>
      <c r="CV15" s="304"/>
      <c r="CW15" s="304"/>
      <c r="CX15" s="304"/>
      <c r="CY15" s="304"/>
      <c r="CZ15" s="304">
        <v>4441.1000000000004</v>
      </c>
      <c r="DA15" s="304">
        <v>5147.55</v>
      </c>
      <c r="DB15" s="304"/>
      <c r="DC15" s="304">
        <v>2540.8100000000004</v>
      </c>
      <c r="DD15" s="304">
        <v>3320.8900000000003</v>
      </c>
      <c r="DE15" s="304">
        <v>209.9</v>
      </c>
      <c r="DF15" s="304"/>
      <c r="DG15" s="304"/>
      <c r="DH15" s="304"/>
      <c r="DI15" s="304"/>
      <c r="DJ15" s="304"/>
      <c r="DK15" s="304"/>
      <c r="DL15" s="304"/>
      <c r="DM15" s="304"/>
      <c r="DN15" s="304">
        <v>599.96</v>
      </c>
      <c r="DO15" s="304"/>
      <c r="DP15" s="304"/>
      <c r="DQ15" s="304"/>
      <c r="DR15" s="304"/>
      <c r="DS15" s="304"/>
      <c r="DT15" s="304">
        <v>21</v>
      </c>
      <c r="DU15" s="304"/>
      <c r="DV15" s="304">
        <v>5795.4399999999987</v>
      </c>
      <c r="DW15" s="304">
        <v>332.15</v>
      </c>
      <c r="DX15" s="304"/>
      <c r="DY15" s="304">
        <v>5685.7199999999993</v>
      </c>
      <c r="DZ15" s="304"/>
      <c r="EA15" s="304">
        <v>36904.840000000011</v>
      </c>
      <c r="EB15" s="304">
        <v>1095</v>
      </c>
      <c r="EC15" s="304"/>
      <c r="ED15" s="304"/>
      <c r="EE15" s="304">
        <v>8997.7800000000007</v>
      </c>
      <c r="EF15" s="426"/>
      <c r="EG15" s="304">
        <v>4510.16</v>
      </c>
      <c r="EH15" s="304"/>
      <c r="EI15" s="426"/>
      <c r="EJ15" s="304"/>
      <c r="EK15" s="304"/>
      <c r="EL15" s="304">
        <v>861</v>
      </c>
      <c r="EM15" s="304"/>
      <c r="EN15" s="304"/>
      <c r="EO15" s="304"/>
      <c r="EP15" s="304"/>
      <c r="EQ15" s="304"/>
      <c r="ER15" s="304"/>
      <c r="ES15" s="304"/>
      <c r="ET15" s="304"/>
      <c r="EU15" s="304">
        <v>17321.419999999998</v>
      </c>
      <c r="EV15" s="304">
        <v>6477.66</v>
      </c>
      <c r="EW15" s="304">
        <v>26027.55</v>
      </c>
      <c r="EX15" s="304">
        <v>13194.330000000011</v>
      </c>
      <c r="EY15" s="304">
        <v>34808.979999999996</v>
      </c>
      <c r="EZ15" s="304"/>
      <c r="FA15" s="304">
        <v>6639.18</v>
      </c>
      <c r="FB15" s="304"/>
      <c r="FC15" s="304">
        <v>-997349.3</v>
      </c>
      <c r="FD15" s="304"/>
      <c r="FE15" s="304">
        <v>-7250</v>
      </c>
      <c r="FF15" s="304">
        <v>-2016</v>
      </c>
      <c r="FG15" s="304">
        <v>-47515</v>
      </c>
      <c r="FH15" s="304"/>
      <c r="FI15" s="304">
        <v>-2400</v>
      </c>
      <c r="FJ15" s="304"/>
      <c r="FK15" s="304">
        <v>-192</v>
      </c>
      <c r="FL15" s="304">
        <v>-89266.329999999987</v>
      </c>
      <c r="FM15" s="304">
        <v>-6351.25</v>
      </c>
      <c r="FN15" s="304">
        <v>-32691</v>
      </c>
      <c r="FO15" s="304">
        <v>-16290</v>
      </c>
      <c r="FP15" s="304"/>
      <c r="FQ15" s="304"/>
      <c r="FR15" s="304">
        <v>31007.71</v>
      </c>
      <c r="FS15" s="304">
        <v>-17330.98</v>
      </c>
      <c r="FT15" s="304"/>
      <c r="FU15" s="304">
        <v>18219.54</v>
      </c>
      <c r="FV15" s="304">
        <v>-149457</v>
      </c>
      <c r="FW15" s="304">
        <v>3994.46</v>
      </c>
      <c r="FX15" s="304">
        <v>591.70000000000005</v>
      </c>
      <c r="FY15" s="304">
        <v>0</v>
      </c>
      <c r="FZ15" s="304">
        <v>-2386.73</v>
      </c>
      <c r="GA15" s="304">
        <v>-9550</v>
      </c>
      <c r="GB15" s="304">
        <v>-19609</v>
      </c>
      <c r="GC15" s="304">
        <v>639</v>
      </c>
      <c r="GD15" s="304">
        <v>499.51</v>
      </c>
      <c r="GE15" s="304">
        <v>1896.23</v>
      </c>
      <c r="GF15" s="304">
        <v>4848.0899999999992</v>
      </c>
      <c r="GG15" s="304">
        <v>162.05000000000001</v>
      </c>
      <c r="GH15" s="304"/>
      <c r="GI15" s="304">
        <v>879</v>
      </c>
      <c r="GJ15" s="304">
        <v>3693.52</v>
      </c>
      <c r="GK15" s="304">
        <v>261</v>
      </c>
      <c r="GL15" s="304">
        <v>6156.1</v>
      </c>
      <c r="GM15" s="304">
        <v>3775.2200000000003</v>
      </c>
      <c r="GN15" s="304">
        <v>5204.1000000000004</v>
      </c>
      <c r="GO15" s="304">
        <v>610</v>
      </c>
      <c r="GP15" s="304">
        <v>1070.68</v>
      </c>
      <c r="GQ15" s="304"/>
      <c r="GR15" s="304"/>
      <c r="GS15" s="304"/>
      <c r="GT15" s="304"/>
      <c r="GU15" s="304"/>
      <c r="GV15" s="304"/>
      <c r="GW15" s="304">
        <v>-800</v>
      </c>
      <c r="GX15" s="304"/>
      <c r="GY15" s="304"/>
      <c r="GZ15" s="304"/>
      <c r="HA15" s="304">
        <v>-1250</v>
      </c>
      <c r="HB15" s="304">
        <v>-22356.21</v>
      </c>
      <c r="HC15" s="304"/>
      <c r="HD15" s="304"/>
      <c r="HE15" s="304">
        <v>-1805.37</v>
      </c>
      <c r="HF15" s="304">
        <v>-1287.5999999999999</v>
      </c>
      <c r="HG15" s="304">
        <v>-8642.19</v>
      </c>
      <c r="HH15" s="304">
        <v>-200</v>
      </c>
      <c r="HI15" s="304">
        <v>-500</v>
      </c>
      <c r="HJ15" s="304">
        <v>-29104.189999999991</v>
      </c>
      <c r="HK15" s="304"/>
      <c r="HL15" s="304"/>
      <c r="HM15" s="304">
        <v>-7256</v>
      </c>
      <c r="HN15" s="304">
        <v>-952.5</v>
      </c>
      <c r="HO15">
        <v>-4527.1000000000004</v>
      </c>
      <c r="HP15">
        <v>-6.71</v>
      </c>
    </row>
    <row r="16" spans="1:226">
      <c r="A16" s="116">
        <v>107837</v>
      </c>
      <c r="B16" s="304"/>
      <c r="C16" s="304"/>
      <c r="D16" s="304"/>
      <c r="E16" s="304"/>
      <c r="F16" s="304"/>
      <c r="G16" s="304">
        <v>148056.15999999997</v>
      </c>
      <c r="H16" s="304">
        <v>4366.7099999999991</v>
      </c>
      <c r="I16" s="304">
        <v>4724</v>
      </c>
      <c r="J16" s="304">
        <v>35836.28</v>
      </c>
      <c r="K16" s="304">
        <v>20954.600000000002</v>
      </c>
      <c r="L16" s="304">
        <v>7084.9400000000005</v>
      </c>
      <c r="M16" s="304"/>
      <c r="N16" s="304">
        <v>398.95000000000005</v>
      </c>
      <c r="O16" s="304">
        <v>808.62</v>
      </c>
      <c r="P16" s="304"/>
      <c r="Q16" s="304"/>
      <c r="R16" s="304"/>
      <c r="S16" s="304"/>
      <c r="T16" s="304"/>
      <c r="U16" s="304"/>
      <c r="V16" s="304"/>
      <c r="W16" s="304"/>
      <c r="X16" s="304"/>
      <c r="Y16" s="304"/>
      <c r="Z16" s="304"/>
      <c r="AA16" s="304"/>
      <c r="AB16" s="304">
        <v>5713.84</v>
      </c>
      <c r="AC16" s="304">
        <v>15.92</v>
      </c>
      <c r="AD16" s="304"/>
      <c r="AE16" s="304">
        <v>756.26999999999987</v>
      </c>
      <c r="AF16" s="304">
        <v>633.56999999999982</v>
      </c>
      <c r="AG16" s="304"/>
      <c r="AH16" s="304"/>
      <c r="AI16" s="304"/>
      <c r="AJ16" s="304"/>
      <c r="AK16" s="304"/>
      <c r="AL16" s="304">
        <v>47957.38</v>
      </c>
      <c r="AM16" s="304">
        <v>541.83999999999992</v>
      </c>
      <c r="AN16" s="304"/>
      <c r="AO16" s="304">
        <v>12687.25</v>
      </c>
      <c r="AP16" s="304">
        <v>5402.48</v>
      </c>
      <c r="AQ16" s="304">
        <v>3319.55</v>
      </c>
      <c r="AR16" s="304">
        <v>3583.8300000000004</v>
      </c>
      <c r="AS16" s="304"/>
      <c r="AT16" s="304">
        <v>1822.4699999999998</v>
      </c>
      <c r="AU16" s="304">
        <v>722.76</v>
      </c>
      <c r="AV16" s="304"/>
      <c r="AW16" s="304"/>
      <c r="AX16" s="304"/>
      <c r="AY16" s="304"/>
      <c r="AZ16" s="304">
        <v>29945.84</v>
      </c>
      <c r="BA16" s="304"/>
      <c r="BB16" s="304">
        <v>348.04</v>
      </c>
      <c r="BC16" s="304"/>
      <c r="BD16" s="304">
        <v>7997.49</v>
      </c>
      <c r="BE16" s="304">
        <v>3549.0299999999997</v>
      </c>
      <c r="BF16" s="304"/>
      <c r="BG16" s="304"/>
      <c r="BH16" s="304"/>
      <c r="BI16" s="304"/>
      <c r="BJ16" s="304"/>
      <c r="BK16" s="304"/>
      <c r="BL16" s="304"/>
      <c r="BM16" s="304"/>
      <c r="BN16" s="304"/>
      <c r="BO16" s="304"/>
      <c r="BP16" s="304">
        <v>7334.04</v>
      </c>
      <c r="BQ16" s="304">
        <v>58.37</v>
      </c>
      <c r="BR16" s="304"/>
      <c r="BS16" s="304">
        <v>1910.7900000000002</v>
      </c>
      <c r="BT16" s="304">
        <v>444.29000000000008</v>
      </c>
      <c r="BU16" s="304"/>
      <c r="BV16" s="304"/>
      <c r="BW16" s="304"/>
      <c r="BX16" s="304"/>
      <c r="BY16" s="304"/>
      <c r="BZ16" s="304"/>
      <c r="CA16" s="304"/>
      <c r="CB16" s="304"/>
      <c r="CC16" s="304"/>
      <c r="CD16" s="304"/>
      <c r="CE16" s="304"/>
      <c r="CF16" s="304">
        <v>-683.51999999999987</v>
      </c>
      <c r="CG16" s="304"/>
      <c r="CH16" s="304"/>
      <c r="CI16" s="304"/>
      <c r="CJ16" s="304"/>
      <c r="CK16" s="304">
        <v>1737.26</v>
      </c>
      <c r="CL16" s="304">
        <v>2033.12</v>
      </c>
      <c r="CM16" s="304">
        <v>6184.51</v>
      </c>
      <c r="CN16" s="304"/>
      <c r="CO16" s="304"/>
      <c r="CP16" s="304"/>
      <c r="CQ16" s="304"/>
      <c r="CR16" s="304"/>
      <c r="CS16" s="304">
        <v>447.49</v>
      </c>
      <c r="CT16" s="304">
        <v>2293.12</v>
      </c>
      <c r="CU16" s="304">
        <v>1990.6800000000003</v>
      </c>
      <c r="CV16" s="304"/>
      <c r="CW16" s="304">
        <v>8990.34</v>
      </c>
      <c r="CX16" s="304"/>
      <c r="CY16" s="304"/>
      <c r="CZ16" s="304">
        <v>8108.75</v>
      </c>
      <c r="DA16" s="304">
        <v>532.41000000000008</v>
      </c>
      <c r="DB16" s="304">
        <v>540.36</v>
      </c>
      <c r="DC16" s="304">
        <v>2323.0000000000005</v>
      </c>
      <c r="DD16" s="304">
        <v>500</v>
      </c>
      <c r="DE16" s="304"/>
      <c r="DF16" s="304"/>
      <c r="DG16" s="304"/>
      <c r="DH16" s="304"/>
      <c r="DI16" s="304"/>
      <c r="DJ16" s="304"/>
      <c r="DK16" s="304"/>
      <c r="DL16" s="304">
        <v>106.22999999999999</v>
      </c>
      <c r="DM16" s="304"/>
      <c r="DN16" s="304">
        <v>-242.45000000000005</v>
      </c>
      <c r="DO16" s="304"/>
      <c r="DP16" s="304"/>
      <c r="DQ16" s="304"/>
      <c r="DR16" s="304">
        <v>-428</v>
      </c>
      <c r="DS16" s="304"/>
      <c r="DT16" s="304"/>
      <c r="DU16" s="304">
        <v>1281</v>
      </c>
      <c r="DV16" s="304">
        <v>4774.9399999999996</v>
      </c>
      <c r="DW16" s="304">
        <v>104.94</v>
      </c>
      <c r="DX16" s="304"/>
      <c r="DY16" s="304">
        <v>1310.6399999999999</v>
      </c>
      <c r="DZ16" s="304">
        <v>933.64</v>
      </c>
      <c r="EA16" s="304">
        <v>164</v>
      </c>
      <c r="EB16" s="304">
        <v>3340</v>
      </c>
      <c r="EC16" s="304"/>
      <c r="ED16" s="304">
        <v>2.5</v>
      </c>
      <c r="EE16" s="304">
        <v>610.31000000000006</v>
      </c>
      <c r="EF16" s="426"/>
      <c r="EG16" s="304">
        <v>1687.56</v>
      </c>
      <c r="EH16" s="304">
        <v>1053.48</v>
      </c>
      <c r="EI16" s="426"/>
      <c r="EJ16" s="304">
        <v>3160.9999999999995</v>
      </c>
      <c r="EK16" s="304">
        <v>3511.6800000000003</v>
      </c>
      <c r="EL16" s="304">
        <v>2144.88</v>
      </c>
      <c r="EM16" s="304">
        <v>5726.3200000000006</v>
      </c>
      <c r="EN16" s="304"/>
      <c r="EO16" s="304">
        <v>189.45999999999987</v>
      </c>
      <c r="EP16" s="304"/>
      <c r="EQ16" s="304"/>
      <c r="ER16" s="304"/>
      <c r="ES16" s="304"/>
      <c r="ET16" s="304"/>
      <c r="EU16" s="304">
        <v>4689.3900000000003</v>
      </c>
      <c r="EV16" s="304">
        <v>1268.82</v>
      </c>
      <c r="EW16" s="304">
        <v>-1330.73</v>
      </c>
      <c r="EX16" s="304">
        <v>479</v>
      </c>
      <c r="EY16" s="304">
        <v>5306.4700000000021</v>
      </c>
      <c r="EZ16" s="304"/>
      <c r="FA16" s="304"/>
      <c r="FB16" s="304"/>
      <c r="FC16" s="304">
        <v>-418359.2</v>
      </c>
      <c r="FD16" s="304"/>
      <c r="FE16" s="304"/>
      <c r="FF16" s="304"/>
      <c r="FG16" s="304">
        <v>-4895</v>
      </c>
      <c r="FH16" s="304"/>
      <c r="FI16" s="304"/>
      <c r="FJ16" s="304"/>
      <c r="FK16" s="304"/>
      <c r="FL16" s="304">
        <v>-4174.12</v>
      </c>
      <c r="FM16" s="304">
        <v>-4466.88</v>
      </c>
      <c r="FN16" s="304">
        <v>-6908</v>
      </c>
      <c r="FO16" s="304">
        <v>-14995</v>
      </c>
      <c r="FP16" s="304"/>
      <c r="FQ16" s="304">
        <v>-36057</v>
      </c>
      <c r="FR16" s="304"/>
      <c r="FS16" s="304">
        <v>-31009.439999999999</v>
      </c>
      <c r="FT16" s="304"/>
      <c r="FU16" s="304">
        <v>-3889.39</v>
      </c>
      <c r="FV16" s="304">
        <v>-2175</v>
      </c>
      <c r="FW16" s="304">
        <v>782.42</v>
      </c>
      <c r="FX16" s="304">
        <v>115.9</v>
      </c>
      <c r="FY16" s="304"/>
      <c r="FZ16" s="304">
        <v>-8601.84</v>
      </c>
      <c r="GA16" s="304">
        <v>-2930</v>
      </c>
      <c r="GB16" s="304">
        <v>-5626</v>
      </c>
      <c r="GC16" s="304">
        <v>1068.75</v>
      </c>
      <c r="GD16" s="304"/>
      <c r="GE16" s="304">
        <v>1144.04</v>
      </c>
      <c r="GF16" s="304"/>
      <c r="GG16" s="304"/>
      <c r="GH16" s="304">
        <v>8861.41</v>
      </c>
      <c r="GI16" s="304"/>
      <c r="GJ16" s="304">
        <v>7409.670000000001</v>
      </c>
      <c r="GK16" s="304">
        <v>261</v>
      </c>
      <c r="GL16" s="304">
        <v>4040.84</v>
      </c>
      <c r="GM16" s="304">
        <v>1340.67</v>
      </c>
      <c r="GN16" s="304">
        <v>3290</v>
      </c>
      <c r="GO16" s="304">
        <v>895</v>
      </c>
      <c r="GP16" s="304">
        <v>1093.78</v>
      </c>
      <c r="GQ16" s="304">
        <v>1212.8800000000001</v>
      </c>
      <c r="GR16" s="304"/>
      <c r="GS16" s="304"/>
      <c r="GT16" s="304"/>
      <c r="GU16" s="304"/>
      <c r="GV16" s="304"/>
      <c r="GW16" s="304"/>
      <c r="GX16" s="304"/>
      <c r="GY16" s="304">
        <v>-1683</v>
      </c>
      <c r="GZ16" s="304"/>
      <c r="HA16" s="304"/>
      <c r="HB16" s="304">
        <v>-2425.98</v>
      </c>
      <c r="HC16" s="304"/>
      <c r="HD16" s="304"/>
      <c r="HE16" s="304">
        <v>-431.12999999999994</v>
      </c>
      <c r="HF16" s="304"/>
      <c r="HG16" s="304"/>
      <c r="HH16" s="304"/>
      <c r="HI16" s="304"/>
      <c r="HJ16" s="304"/>
      <c r="HK16" s="304">
        <v>-4041.7599999999998</v>
      </c>
      <c r="HL16" s="304"/>
      <c r="HM16" s="304">
        <v>-757.80000000000018</v>
      </c>
      <c r="HN16" s="304">
        <v>-326.66999999999996</v>
      </c>
      <c r="HP16">
        <v>-3767.26</v>
      </c>
    </row>
    <row r="17" spans="1:224">
      <c r="A17" s="116">
        <v>107838</v>
      </c>
      <c r="B17" s="304"/>
      <c r="C17" s="304"/>
      <c r="D17" s="304"/>
      <c r="E17" s="304"/>
      <c r="F17" s="304"/>
      <c r="G17" s="304">
        <v>198577.42000000004</v>
      </c>
      <c r="H17" s="304">
        <v>4554.8399999999992</v>
      </c>
      <c r="I17" s="304">
        <v>2058</v>
      </c>
      <c r="J17" s="304">
        <v>61836.910000000011</v>
      </c>
      <c r="K17" s="304">
        <v>27205.000000000004</v>
      </c>
      <c r="L17" s="304">
        <v>9459.44</v>
      </c>
      <c r="M17" s="304"/>
      <c r="N17" s="304">
        <v>2657.05</v>
      </c>
      <c r="O17" s="304">
        <v>1056.03</v>
      </c>
      <c r="P17" s="304"/>
      <c r="Q17" s="304"/>
      <c r="R17" s="304"/>
      <c r="S17" s="304"/>
      <c r="T17" s="304"/>
      <c r="U17" s="304"/>
      <c r="V17" s="304"/>
      <c r="W17" s="304"/>
      <c r="X17" s="304"/>
      <c r="Y17" s="304"/>
      <c r="Z17" s="304"/>
      <c r="AA17" s="304"/>
      <c r="AB17" s="304">
        <v>5477.0299999999988</v>
      </c>
      <c r="AC17" s="304"/>
      <c r="AD17" s="304">
        <v>218.77</v>
      </c>
      <c r="AE17" s="304">
        <v>1503.44</v>
      </c>
      <c r="AF17" s="304">
        <v>544.63999999999987</v>
      </c>
      <c r="AG17" s="304"/>
      <c r="AH17" s="304"/>
      <c r="AI17" s="304"/>
      <c r="AJ17" s="304"/>
      <c r="AK17" s="304"/>
      <c r="AL17" s="304">
        <v>60162.11</v>
      </c>
      <c r="AM17" s="304">
        <v>28.42</v>
      </c>
      <c r="AN17" s="304">
        <v>3001.26</v>
      </c>
      <c r="AO17" s="304">
        <v>16803.34</v>
      </c>
      <c r="AP17" s="304">
        <v>5737.06</v>
      </c>
      <c r="AQ17" s="304">
        <v>18918.650000000001</v>
      </c>
      <c r="AR17" s="304"/>
      <c r="AS17" s="304">
        <v>367.08</v>
      </c>
      <c r="AT17" s="304">
        <v>5091.369999999999</v>
      </c>
      <c r="AU17" s="304">
        <v>2142.2600000000002</v>
      </c>
      <c r="AV17" s="304"/>
      <c r="AW17" s="304"/>
      <c r="AX17" s="304"/>
      <c r="AY17" s="304"/>
      <c r="AZ17" s="304">
        <v>27201.809999999998</v>
      </c>
      <c r="BA17" s="304">
        <v>145.51</v>
      </c>
      <c r="BB17" s="304">
        <v>466.64</v>
      </c>
      <c r="BC17" s="304"/>
      <c r="BD17" s="304">
        <v>7342.7500000000018</v>
      </c>
      <c r="BE17" s="304">
        <v>3259.8100000000004</v>
      </c>
      <c r="BF17" s="304">
        <v>847.7700000000001</v>
      </c>
      <c r="BG17" s="304"/>
      <c r="BH17" s="304">
        <v>21.19</v>
      </c>
      <c r="BI17" s="304">
        <v>229.32999999999998</v>
      </c>
      <c r="BJ17" s="304">
        <v>66.77000000000001</v>
      </c>
      <c r="BK17" s="304"/>
      <c r="BL17" s="304"/>
      <c r="BM17" s="304"/>
      <c r="BN17" s="304"/>
      <c r="BO17" s="304"/>
      <c r="BP17" s="304">
        <v>79.610000000000014</v>
      </c>
      <c r="BQ17" s="304"/>
      <c r="BR17" s="304"/>
      <c r="BS17" s="304">
        <v>21.009999999999991</v>
      </c>
      <c r="BT17" s="304">
        <v>4.8800000000000097</v>
      </c>
      <c r="BU17" s="304"/>
      <c r="BV17" s="304"/>
      <c r="BW17" s="304"/>
      <c r="BX17" s="304"/>
      <c r="BY17" s="304"/>
      <c r="BZ17" s="304"/>
      <c r="CA17" s="304">
        <v>70</v>
      </c>
      <c r="CB17" s="304"/>
      <c r="CC17" s="304"/>
      <c r="CD17" s="304"/>
      <c r="CE17" s="304"/>
      <c r="CF17" s="304">
        <v>1705</v>
      </c>
      <c r="CG17" s="304"/>
      <c r="CH17" s="304"/>
      <c r="CI17" s="304"/>
      <c r="CJ17" s="304"/>
      <c r="CK17" s="304">
        <v>2371.17</v>
      </c>
      <c r="CL17" s="304">
        <v>-100</v>
      </c>
      <c r="CM17" s="304"/>
      <c r="CN17" s="304"/>
      <c r="CO17" s="304"/>
      <c r="CP17" s="304"/>
      <c r="CQ17" s="304"/>
      <c r="CR17" s="304"/>
      <c r="CS17" s="304"/>
      <c r="CT17" s="304">
        <v>17534.77</v>
      </c>
      <c r="CU17" s="304"/>
      <c r="CV17" s="304"/>
      <c r="CW17" s="304"/>
      <c r="CX17" s="304">
        <v>160</v>
      </c>
      <c r="CY17" s="304"/>
      <c r="CZ17" s="304">
        <v>2295.4</v>
      </c>
      <c r="DA17" s="304">
        <v>751.81</v>
      </c>
      <c r="DB17" s="304"/>
      <c r="DC17" s="304">
        <v>13458.949999999995</v>
      </c>
      <c r="DD17" s="304"/>
      <c r="DE17" s="304"/>
      <c r="DF17" s="304"/>
      <c r="DG17" s="304"/>
      <c r="DH17" s="304"/>
      <c r="DI17" s="304"/>
      <c r="DJ17" s="304"/>
      <c r="DK17" s="304"/>
      <c r="DL17" s="304"/>
      <c r="DM17" s="304"/>
      <c r="DN17" s="304">
        <v>1870</v>
      </c>
      <c r="DO17" s="304"/>
      <c r="DP17" s="304"/>
      <c r="DQ17" s="304"/>
      <c r="DR17" s="304"/>
      <c r="DS17" s="304"/>
      <c r="DT17" s="304">
        <v>0</v>
      </c>
      <c r="DU17" s="304"/>
      <c r="DV17" s="304">
        <v>7466.55</v>
      </c>
      <c r="DW17" s="304">
        <v>185.52999999999997</v>
      </c>
      <c r="DX17" s="304"/>
      <c r="DY17" s="304">
        <v>41.2</v>
      </c>
      <c r="DZ17" s="304">
        <v>2584.9899999999998</v>
      </c>
      <c r="EA17" s="304">
        <v>540</v>
      </c>
      <c r="EB17" s="304">
        <v>8980</v>
      </c>
      <c r="EC17" s="304"/>
      <c r="ED17" s="304">
        <v>3.15</v>
      </c>
      <c r="EE17" s="304">
        <v>876.49</v>
      </c>
      <c r="EF17" s="426"/>
      <c r="EG17" s="304">
        <v>4550</v>
      </c>
      <c r="EH17" s="304"/>
      <c r="EI17" s="426"/>
      <c r="EJ17" s="304">
        <v>535.5</v>
      </c>
      <c r="EK17" s="304">
        <v>3854.5</v>
      </c>
      <c r="EL17" s="304"/>
      <c r="EM17" s="304">
        <v>162.38</v>
      </c>
      <c r="EN17" s="304"/>
      <c r="EO17" s="304"/>
      <c r="EP17" s="304"/>
      <c r="EQ17" s="304"/>
      <c r="ER17" s="304"/>
      <c r="ES17" s="304"/>
      <c r="ET17" s="304"/>
      <c r="EU17" s="304">
        <v>4509.2299999999996</v>
      </c>
      <c r="EV17" s="304">
        <v>1769.67</v>
      </c>
      <c r="EW17" s="304">
        <v>534.5</v>
      </c>
      <c r="EX17" s="304">
        <v>178.94</v>
      </c>
      <c r="EY17" s="304">
        <v>5942.82</v>
      </c>
      <c r="EZ17" s="304"/>
      <c r="FA17" s="304">
        <v>39.6</v>
      </c>
      <c r="FB17" s="304"/>
      <c r="FC17" s="304">
        <v>-445768.46</v>
      </c>
      <c r="FD17" s="304"/>
      <c r="FE17" s="304"/>
      <c r="FF17" s="304"/>
      <c r="FG17" s="304">
        <v>-4895</v>
      </c>
      <c r="FH17" s="304"/>
      <c r="FI17" s="304">
        <v>-285.64</v>
      </c>
      <c r="FJ17" s="304"/>
      <c r="FK17" s="304"/>
      <c r="FL17" s="304">
        <v>-23716.469999999994</v>
      </c>
      <c r="FM17" s="304"/>
      <c r="FN17" s="304">
        <v>-3588</v>
      </c>
      <c r="FO17" s="304">
        <v>-15135</v>
      </c>
      <c r="FP17" s="304"/>
      <c r="FQ17" s="304">
        <v>-156708.32999999999</v>
      </c>
      <c r="FR17" s="304"/>
      <c r="FS17" s="304"/>
      <c r="FT17" s="304"/>
      <c r="FU17" s="304">
        <v>3462.03</v>
      </c>
      <c r="FV17" s="304">
        <v>-27032</v>
      </c>
      <c r="FW17" s="304">
        <v>1091.27</v>
      </c>
      <c r="FX17" s="304">
        <v>161.65</v>
      </c>
      <c r="FY17" s="304"/>
      <c r="FZ17" s="304">
        <v>-3266.64</v>
      </c>
      <c r="GA17" s="304">
        <v>-3489</v>
      </c>
      <c r="GB17" s="304">
        <v>-6803</v>
      </c>
      <c r="GC17" s="304">
        <v>71.25</v>
      </c>
      <c r="GD17" s="304"/>
      <c r="GE17" s="304"/>
      <c r="GF17" s="304">
        <v>2354.6800000000003</v>
      </c>
      <c r="GG17" s="304"/>
      <c r="GH17" s="304">
        <v>5620.08</v>
      </c>
      <c r="GI17" s="304">
        <v>1374</v>
      </c>
      <c r="GJ17" s="304">
        <v>5579.4100000000026</v>
      </c>
      <c r="GK17" s="304">
        <v>261</v>
      </c>
      <c r="GL17" s="304">
        <v>4740.7800000000007</v>
      </c>
      <c r="GM17" s="304">
        <v>1320.6599999999999</v>
      </c>
      <c r="GN17" s="304">
        <v>790</v>
      </c>
      <c r="GO17" s="304">
        <v>895</v>
      </c>
      <c r="GP17" s="304">
        <v>757.66</v>
      </c>
      <c r="GQ17" s="304">
        <v>869.43999999999994</v>
      </c>
      <c r="GR17" s="304"/>
      <c r="GS17" s="304"/>
      <c r="GT17" s="304"/>
      <c r="GU17" s="304"/>
      <c r="GV17" s="304"/>
      <c r="GW17" s="304"/>
      <c r="GX17" s="304"/>
      <c r="GY17" s="304"/>
      <c r="GZ17" s="304"/>
      <c r="HA17" s="304">
        <v>-12</v>
      </c>
      <c r="HB17" s="304">
        <v>-2001.0600000000002</v>
      </c>
      <c r="HC17" s="304"/>
      <c r="HD17" s="304"/>
      <c r="HE17" s="304">
        <v>-1635.92</v>
      </c>
      <c r="HF17" s="304"/>
      <c r="HG17" s="304">
        <v>0.36999999999999922</v>
      </c>
      <c r="HH17" s="304"/>
      <c r="HI17" s="304"/>
      <c r="HJ17" s="304">
        <v>0</v>
      </c>
      <c r="HK17" s="304"/>
      <c r="HL17" s="304"/>
      <c r="HM17" s="304">
        <v>-571.91</v>
      </c>
      <c r="HN17" s="304">
        <v>-3244.86</v>
      </c>
      <c r="HP17">
        <v>-8152.52</v>
      </c>
    </row>
    <row r="18" spans="1:224">
      <c r="A18" s="116">
        <v>107842</v>
      </c>
      <c r="B18" s="304"/>
      <c r="C18" s="304"/>
      <c r="D18" s="304"/>
      <c r="E18" s="304"/>
      <c r="F18" s="304"/>
      <c r="G18" s="304">
        <v>275568.19</v>
      </c>
      <c r="H18" s="304"/>
      <c r="I18" s="304">
        <v>322</v>
      </c>
      <c r="J18" s="304">
        <v>79032.84</v>
      </c>
      <c r="K18" s="304">
        <v>36015.949999999997</v>
      </c>
      <c r="L18" s="304">
        <v>1333.71</v>
      </c>
      <c r="M18" s="304"/>
      <c r="N18" s="304">
        <v>382.51000000000005</v>
      </c>
      <c r="O18" s="304">
        <v>162.89999999999998</v>
      </c>
      <c r="P18" s="304"/>
      <c r="Q18" s="304"/>
      <c r="R18" s="304"/>
      <c r="S18" s="304"/>
      <c r="T18" s="304"/>
      <c r="U18" s="304"/>
      <c r="V18" s="304"/>
      <c r="W18" s="304"/>
      <c r="X18" s="304"/>
      <c r="Y18" s="304"/>
      <c r="Z18" s="304"/>
      <c r="AA18" s="304"/>
      <c r="AB18" s="304">
        <v>10416.720000000001</v>
      </c>
      <c r="AC18" s="304">
        <v>184.01</v>
      </c>
      <c r="AD18" s="304">
        <v>38.56</v>
      </c>
      <c r="AE18" s="304">
        <v>1467.1499999999999</v>
      </c>
      <c r="AF18" s="304">
        <v>748.15</v>
      </c>
      <c r="AG18" s="304"/>
      <c r="AH18" s="304"/>
      <c r="AI18" s="304"/>
      <c r="AJ18" s="304"/>
      <c r="AK18" s="304"/>
      <c r="AL18" s="304">
        <v>98376.570000000022</v>
      </c>
      <c r="AM18" s="304">
        <v>597.21999999999991</v>
      </c>
      <c r="AN18" s="304">
        <v>607.65</v>
      </c>
      <c r="AO18" s="304">
        <v>26288.830000000009</v>
      </c>
      <c r="AP18" s="304">
        <v>9986.64</v>
      </c>
      <c r="AQ18" s="304"/>
      <c r="AR18" s="304"/>
      <c r="AS18" s="304"/>
      <c r="AT18" s="304"/>
      <c r="AU18" s="304"/>
      <c r="AV18" s="304"/>
      <c r="AW18" s="304"/>
      <c r="AX18" s="304"/>
      <c r="AY18" s="304"/>
      <c r="AZ18" s="304">
        <v>27918.120000000003</v>
      </c>
      <c r="BA18" s="304"/>
      <c r="BB18" s="304">
        <v>35.700000000000003</v>
      </c>
      <c r="BC18" s="304"/>
      <c r="BD18" s="304">
        <v>7379.6799999999994</v>
      </c>
      <c r="BE18" s="304">
        <v>3442.4599999999996</v>
      </c>
      <c r="BF18" s="304"/>
      <c r="BG18" s="304"/>
      <c r="BH18" s="304"/>
      <c r="BI18" s="304"/>
      <c r="BJ18" s="304"/>
      <c r="BK18" s="304"/>
      <c r="BL18" s="304"/>
      <c r="BM18" s="304"/>
      <c r="BN18" s="304"/>
      <c r="BO18" s="304"/>
      <c r="BP18" s="304">
        <v>12667.320000000002</v>
      </c>
      <c r="BQ18" s="304"/>
      <c r="BR18" s="304"/>
      <c r="BS18" s="304">
        <v>3344.1599999999994</v>
      </c>
      <c r="BT18" s="304">
        <v>1149.4799999999998</v>
      </c>
      <c r="BU18" s="304"/>
      <c r="BV18" s="304"/>
      <c r="BW18" s="304"/>
      <c r="BX18" s="304"/>
      <c r="BY18" s="304"/>
      <c r="BZ18" s="304"/>
      <c r="CA18" s="304"/>
      <c r="CB18" s="304"/>
      <c r="CC18" s="304"/>
      <c r="CD18" s="304"/>
      <c r="CE18" s="304"/>
      <c r="CF18" s="304">
        <v>583.62</v>
      </c>
      <c r="CG18" s="304">
        <v>1599.82</v>
      </c>
      <c r="CH18" s="304"/>
      <c r="CI18" s="304"/>
      <c r="CJ18" s="304"/>
      <c r="CK18" s="304">
        <v>3204.26</v>
      </c>
      <c r="CL18" s="304">
        <v>6083.7200000000012</v>
      </c>
      <c r="CM18" s="304">
        <v>10160.950000000001</v>
      </c>
      <c r="CN18" s="304"/>
      <c r="CO18" s="304"/>
      <c r="CP18" s="304"/>
      <c r="CQ18" s="304"/>
      <c r="CR18" s="304">
        <v>3323.46</v>
      </c>
      <c r="CS18" s="304"/>
      <c r="CT18" s="304">
        <v>4686.0599999999995</v>
      </c>
      <c r="CU18" s="304">
        <v>1922.9499999999998</v>
      </c>
      <c r="CV18" s="304"/>
      <c r="CW18" s="304"/>
      <c r="CX18" s="304"/>
      <c r="CY18" s="304">
        <v>4200</v>
      </c>
      <c r="CZ18" s="304">
        <v>12599.75</v>
      </c>
      <c r="DA18" s="304">
        <v>2342.16</v>
      </c>
      <c r="DB18" s="304">
        <v>254</v>
      </c>
      <c r="DC18" s="304">
        <v>2002.7199999999998</v>
      </c>
      <c r="DD18" s="304">
        <v>354.64</v>
      </c>
      <c r="DE18" s="304"/>
      <c r="DF18" s="304"/>
      <c r="DG18" s="304"/>
      <c r="DH18" s="304"/>
      <c r="DI18" s="304"/>
      <c r="DJ18" s="304"/>
      <c r="DK18" s="304"/>
      <c r="DL18" s="304">
        <v>19.63</v>
      </c>
      <c r="DM18" s="304"/>
      <c r="DN18" s="304"/>
      <c r="DO18" s="304"/>
      <c r="DP18" s="304"/>
      <c r="DQ18" s="304"/>
      <c r="DR18" s="304"/>
      <c r="DS18" s="304"/>
      <c r="DT18" s="304">
        <v>176</v>
      </c>
      <c r="DU18" s="304">
        <v>2129</v>
      </c>
      <c r="DV18" s="304">
        <v>12674.959999999997</v>
      </c>
      <c r="DW18" s="304">
        <v>74.12</v>
      </c>
      <c r="DX18" s="304"/>
      <c r="DY18" s="304">
        <v>1700.45</v>
      </c>
      <c r="DZ18" s="304"/>
      <c r="EA18" s="304">
        <v>824.81999999999994</v>
      </c>
      <c r="EB18" s="304">
        <v>13337.1</v>
      </c>
      <c r="EC18" s="304"/>
      <c r="ED18" s="304">
        <v>8</v>
      </c>
      <c r="EE18" s="304">
        <v>295.61</v>
      </c>
      <c r="EF18" s="426"/>
      <c r="EG18" s="304">
        <v>2306.06</v>
      </c>
      <c r="EH18" s="304"/>
      <c r="EI18" s="426"/>
      <c r="EJ18" s="304"/>
      <c r="EK18" s="304">
        <v>4362.45</v>
      </c>
      <c r="EL18" s="304"/>
      <c r="EM18" s="304">
        <v>125.5</v>
      </c>
      <c r="EN18" s="304">
        <v>3842</v>
      </c>
      <c r="EO18" s="304"/>
      <c r="EP18" s="304">
        <v>55</v>
      </c>
      <c r="EQ18" s="304"/>
      <c r="ER18" s="304"/>
      <c r="ES18" s="304"/>
      <c r="ET18" s="304"/>
      <c r="EU18" s="304">
        <v>5284.22</v>
      </c>
      <c r="EV18" s="304">
        <v>3405.78</v>
      </c>
      <c r="EW18" s="304"/>
      <c r="EX18" s="304">
        <v>271.27999999999997</v>
      </c>
      <c r="EY18" s="304">
        <v>11083.62</v>
      </c>
      <c r="EZ18" s="304"/>
      <c r="FA18" s="304"/>
      <c r="FB18" s="304"/>
      <c r="FC18" s="304">
        <v>-632263.39</v>
      </c>
      <c r="FD18" s="304"/>
      <c r="FE18" s="304"/>
      <c r="FF18" s="304"/>
      <c r="FG18" s="304">
        <v>-19295</v>
      </c>
      <c r="FH18" s="304"/>
      <c r="FI18" s="304"/>
      <c r="FJ18" s="304"/>
      <c r="FK18" s="304"/>
      <c r="FL18" s="304"/>
      <c r="FM18" s="304">
        <v>-5215</v>
      </c>
      <c r="FN18" s="304">
        <v>-15956</v>
      </c>
      <c r="FO18" s="304">
        <v>-15523</v>
      </c>
      <c r="FP18" s="304"/>
      <c r="FQ18" s="304">
        <v>-140680.51999999999</v>
      </c>
      <c r="FR18" s="304"/>
      <c r="FS18" s="304">
        <v>-12494.13</v>
      </c>
      <c r="FT18" s="304"/>
      <c r="FU18" s="304"/>
      <c r="FV18" s="304">
        <v>-30883</v>
      </c>
      <c r="FW18" s="304">
        <v>2100.1799999999998</v>
      </c>
      <c r="FX18" s="304">
        <v>311.10000000000002</v>
      </c>
      <c r="FY18" s="304"/>
      <c r="FZ18" s="304">
        <v>-1266.67</v>
      </c>
      <c r="GA18" s="304">
        <v>-5595</v>
      </c>
      <c r="GB18" s="304">
        <v>-11254</v>
      </c>
      <c r="GC18" s="304">
        <v>46</v>
      </c>
      <c r="GD18" s="304"/>
      <c r="GE18" s="304">
        <v>1317.32</v>
      </c>
      <c r="GF18" s="304"/>
      <c r="GG18" s="304"/>
      <c r="GH18" s="304">
        <v>22792.989999999998</v>
      </c>
      <c r="GI18" s="304">
        <v>1247.4000000000001</v>
      </c>
      <c r="GJ18" s="304">
        <v>7473.6300000000019</v>
      </c>
      <c r="GK18" s="304">
        <v>261</v>
      </c>
      <c r="GL18" s="304">
        <v>3710.6</v>
      </c>
      <c r="GM18" s="304">
        <v>1720.8600000000001</v>
      </c>
      <c r="GN18" s="304">
        <v>2703</v>
      </c>
      <c r="GO18" s="304">
        <v>925</v>
      </c>
      <c r="GP18" s="304">
        <v>866.44</v>
      </c>
      <c r="GQ18" s="304">
        <v>875.59999999999968</v>
      </c>
      <c r="GR18" s="304"/>
      <c r="GS18" s="304"/>
      <c r="GT18" s="304"/>
      <c r="GU18" s="304"/>
      <c r="GV18" s="304"/>
      <c r="GW18" s="304"/>
      <c r="GX18" s="304"/>
      <c r="GY18" s="304"/>
      <c r="GZ18" s="304"/>
      <c r="HA18" s="304">
        <v>-1590</v>
      </c>
      <c r="HB18" s="304">
        <v>-8165.5200000000013</v>
      </c>
      <c r="HC18" s="304"/>
      <c r="HD18" s="304"/>
      <c r="HE18" s="304">
        <v>-974.58999999999992</v>
      </c>
      <c r="HF18" s="304"/>
      <c r="HG18" s="304">
        <v>0.54</v>
      </c>
      <c r="HH18" s="304"/>
      <c r="HI18" s="304"/>
      <c r="HJ18" s="304"/>
      <c r="HK18" s="304"/>
      <c r="HL18" s="304"/>
      <c r="HM18" s="304">
        <v>-820</v>
      </c>
      <c r="HN18" s="304"/>
      <c r="HP18">
        <v>-6837.25</v>
      </c>
    </row>
    <row r="19" spans="1:224">
      <c r="A19" s="116">
        <v>107845</v>
      </c>
      <c r="B19" s="304">
        <v>79.31</v>
      </c>
      <c r="C19" s="304"/>
      <c r="D19" s="304"/>
      <c r="E19" s="304"/>
      <c r="F19" s="304"/>
      <c r="G19" s="304">
        <v>165401.19</v>
      </c>
      <c r="H19" s="304"/>
      <c r="I19" s="304">
        <v>2645.94</v>
      </c>
      <c r="J19" s="304">
        <v>32471.359999999993</v>
      </c>
      <c r="K19" s="304">
        <v>21889.72</v>
      </c>
      <c r="L19" s="304">
        <v>5792.8499999999995</v>
      </c>
      <c r="M19" s="304"/>
      <c r="N19" s="304">
        <v>689.90000000000009</v>
      </c>
      <c r="O19" s="304">
        <v>454.69000000000005</v>
      </c>
      <c r="P19" s="304"/>
      <c r="Q19" s="304"/>
      <c r="R19" s="304"/>
      <c r="S19" s="304"/>
      <c r="T19" s="304"/>
      <c r="U19" s="304"/>
      <c r="V19" s="304"/>
      <c r="W19" s="304">
        <v>2737.62</v>
      </c>
      <c r="X19" s="304"/>
      <c r="Y19" s="304"/>
      <c r="Z19" s="304">
        <v>722.68999999999994</v>
      </c>
      <c r="AA19" s="304"/>
      <c r="AB19" s="304">
        <v>10150.32</v>
      </c>
      <c r="AC19" s="304">
        <v>30.88</v>
      </c>
      <c r="AD19" s="304">
        <v>253.04</v>
      </c>
      <c r="AE19" s="304">
        <v>2754.5599999999995</v>
      </c>
      <c r="AF19" s="304">
        <v>519.71999999999991</v>
      </c>
      <c r="AG19" s="304"/>
      <c r="AH19" s="304"/>
      <c r="AI19" s="304"/>
      <c r="AJ19" s="304"/>
      <c r="AK19" s="304"/>
      <c r="AL19" s="304">
        <v>66799.889999999985</v>
      </c>
      <c r="AM19" s="304"/>
      <c r="AN19" s="304">
        <v>507.36</v>
      </c>
      <c r="AO19" s="304">
        <v>19437.84</v>
      </c>
      <c r="AP19" s="304">
        <v>7150.47</v>
      </c>
      <c r="AQ19" s="304"/>
      <c r="AR19" s="304"/>
      <c r="AS19" s="304"/>
      <c r="AT19" s="304"/>
      <c r="AU19" s="304"/>
      <c r="AV19" s="304"/>
      <c r="AW19" s="304"/>
      <c r="AX19" s="304"/>
      <c r="AY19" s="304"/>
      <c r="AZ19" s="304">
        <v>14211.800000000001</v>
      </c>
      <c r="BA19" s="304"/>
      <c r="BB19" s="304"/>
      <c r="BC19" s="304">
        <v>11178.809999999998</v>
      </c>
      <c r="BD19" s="304">
        <v>3681.94</v>
      </c>
      <c r="BE19" s="304">
        <v>1591.61</v>
      </c>
      <c r="BF19" s="304"/>
      <c r="BG19" s="304"/>
      <c r="BH19" s="304"/>
      <c r="BI19" s="304"/>
      <c r="BJ19" s="304"/>
      <c r="BK19" s="304"/>
      <c r="BL19" s="304"/>
      <c r="BM19" s="304"/>
      <c r="BN19" s="304"/>
      <c r="BO19" s="304"/>
      <c r="BP19" s="304">
        <v>5789.7900000000018</v>
      </c>
      <c r="BQ19" s="304">
        <v>92.89</v>
      </c>
      <c r="BR19" s="304">
        <v>41.77</v>
      </c>
      <c r="BS19" s="304">
        <v>1485.1999999999998</v>
      </c>
      <c r="BT19" s="304">
        <v>353.88</v>
      </c>
      <c r="BU19" s="304"/>
      <c r="BV19" s="304"/>
      <c r="BW19" s="304"/>
      <c r="BX19" s="304"/>
      <c r="BY19" s="304"/>
      <c r="BZ19" s="304"/>
      <c r="CA19" s="304"/>
      <c r="CB19" s="304"/>
      <c r="CC19" s="304"/>
      <c r="CD19" s="304"/>
      <c r="CE19" s="304"/>
      <c r="CF19" s="304">
        <v>1685</v>
      </c>
      <c r="CG19" s="304">
        <v>4711.1499999999996</v>
      </c>
      <c r="CH19" s="304"/>
      <c r="CI19" s="304"/>
      <c r="CJ19" s="304"/>
      <c r="CK19" s="304">
        <v>5410.9199999999992</v>
      </c>
      <c r="CL19" s="304">
        <v>106.25</v>
      </c>
      <c r="CM19" s="304"/>
      <c r="CN19" s="304"/>
      <c r="CO19" s="304"/>
      <c r="CP19" s="304"/>
      <c r="CQ19" s="304"/>
      <c r="CR19" s="304"/>
      <c r="CS19" s="304">
        <v>1168.2299999999998</v>
      </c>
      <c r="CT19" s="304">
        <v>2476.4</v>
      </c>
      <c r="CU19" s="304">
        <v>4304.4399999999996</v>
      </c>
      <c r="CV19" s="304"/>
      <c r="CW19" s="304"/>
      <c r="CX19" s="304">
        <v>210</v>
      </c>
      <c r="CY19" s="304">
        <v>750</v>
      </c>
      <c r="CZ19" s="304">
        <v>5114.75</v>
      </c>
      <c r="DA19" s="304">
        <v>836.25</v>
      </c>
      <c r="DB19" s="304">
        <v>45.68</v>
      </c>
      <c r="DC19" s="304">
        <v>570.4799999999999</v>
      </c>
      <c r="DD19" s="304">
        <v>1590.76</v>
      </c>
      <c r="DE19" s="304"/>
      <c r="DF19" s="304"/>
      <c r="DG19" s="304"/>
      <c r="DH19" s="304"/>
      <c r="DI19" s="304"/>
      <c r="DJ19" s="304"/>
      <c r="DK19" s="304"/>
      <c r="DL19" s="304">
        <v>289.31</v>
      </c>
      <c r="DM19" s="304"/>
      <c r="DN19" s="304"/>
      <c r="DO19" s="304"/>
      <c r="DP19" s="304"/>
      <c r="DQ19" s="304"/>
      <c r="DR19" s="304"/>
      <c r="DS19" s="304"/>
      <c r="DT19" s="304">
        <v>150.72999999999999</v>
      </c>
      <c r="DU19" s="304">
        <v>1378</v>
      </c>
      <c r="DV19" s="304">
        <v>13694.750000000002</v>
      </c>
      <c r="DW19" s="304">
        <v>23.96</v>
      </c>
      <c r="DX19" s="304"/>
      <c r="DY19" s="304">
        <v>2681.4199999999996</v>
      </c>
      <c r="DZ19" s="304">
        <v>1433.33</v>
      </c>
      <c r="EA19" s="304">
        <v>4172.54</v>
      </c>
      <c r="EB19" s="304">
        <v>23690.300000000003</v>
      </c>
      <c r="EC19" s="304"/>
      <c r="ED19" s="304"/>
      <c r="EE19" s="304">
        <v>581</v>
      </c>
      <c r="EF19" s="304"/>
      <c r="EG19" s="304">
        <v>2317</v>
      </c>
      <c r="EH19" s="304"/>
      <c r="EI19" s="304">
        <v>0</v>
      </c>
      <c r="EJ19" s="304">
        <v>1435.29</v>
      </c>
      <c r="EK19" s="304">
        <v>720</v>
      </c>
      <c r="EL19" s="304"/>
      <c r="EM19" s="304"/>
      <c r="EN19" s="304"/>
      <c r="EO19" s="304"/>
      <c r="EP19" s="304"/>
      <c r="EQ19" s="304"/>
      <c r="ER19" s="304">
        <v>1587</v>
      </c>
      <c r="ES19" s="304"/>
      <c r="ET19" s="304"/>
      <c r="EU19" s="304">
        <v>277.11</v>
      </c>
      <c r="EV19" s="304">
        <v>1602.72</v>
      </c>
      <c r="EW19" s="304">
        <v>174.5</v>
      </c>
      <c r="EX19" s="304">
        <v>55.72</v>
      </c>
      <c r="EY19" s="304">
        <v>8159.5</v>
      </c>
      <c r="EZ19" s="304"/>
      <c r="FA19" s="304"/>
      <c r="FB19" s="304"/>
      <c r="FC19" s="304">
        <v>-428920.92</v>
      </c>
      <c r="FD19" s="304"/>
      <c r="FE19" s="304"/>
      <c r="FF19" s="304"/>
      <c r="FG19" s="304">
        <v>-28785</v>
      </c>
      <c r="FH19" s="304"/>
      <c r="FI19" s="304"/>
      <c r="FJ19" s="304"/>
      <c r="FK19" s="304"/>
      <c r="FL19" s="304"/>
      <c r="FM19" s="304">
        <v>-4517.5</v>
      </c>
      <c r="FN19" s="304">
        <v>-5709</v>
      </c>
      <c r="FO19" s="304">
        <v>-15053</v>
      </c>
      <c r="FP19" s="304"/>
      <c r="FQ19" s="304">
        <v>-127966.05</v>
      </c>
      <c r="FR19" s="304"/>
      <c r="FS19" s="304">
        <v>-13060.49</v>
      </c>
      <c r="FT19" s="304"/>
      <c r="FU19" s="304"/>
      <c r="FV19" s="304">
        <v>-4833</v>
      </c>
      <c r="FW19" s="304">
        <v>988.32</v>
      </c>
      <c r="FX19" s="304">
        <v>146.4</v>
      </c>
      <c r="FY19" s="304"/>
      <c r="FZ19" s="304">
        <v>-19526</v>
      </c>
      <c r="GA19" s="304">
        <v>-3866</v>
      </c>
      <c r="GB19" s="304">
        <v>-7619</v>
      </c>
      <c r="GC19" s="304">
        <v>1291.75</v>
      </c>
      <c r="GD19" s="304"/>
      <c r="GE19" s="304"/>
      <c r="GF19" s="304"/>
      <c r="GG19" s="304">
        <v>507</v>
      </c>
      <c r="GH19" s="304">
        <v>15843.300000000001</v>
      </c>
      <c r="GI19" s="304">
        <v>910</v>
      </c>
      <c r="GJ19" s="304">
        <v>4475.1000000000004</v>
      </c>
      <c r="GK19" s="304">
        <v>0</v>
      </c>
      <c r="GL19" s="304">
        <v>5556.1799999999994</v>
      </c>
      <c r="GM19" s="304">
        <v>1100.55</v>
      </c>
      <c r="GN19" s="304">
        <v>3615</v>
      </c>
      <c r="GO19" s="304">
        <v>560</v>
      </c>
      <c r="GP19" s="304">
        <v>750.88</v>
      </c>
      <c r="GQ19" s="304">
        <v>756.43</v>
      </c>
      <c r="GR19" s="304">
        <v>86.24</v>
      </c>
      <c r="GS19" s="304"/>
      <c r="GT19" s="304"/>
      <c r="GU19" s="304"/>
      <c r="GV19" s="304"/>
      <c r="GW19" s="304"/>
      <c r="GX19" s="304"/>
      <c r="GY19" s="304"/>
      <c r="GZ19" s="304"/>
      <c r="HA19" s="304">
        <v>-2337.87</v>
      </c>
      <c r="HB19" s="304">
        <v>-2745.7300000000005</v>
      </c>
      <c r="HC19" s="304"/>
      <c r="HD19" s="304"/>
      <c r="HE19" s="304">
        <v>-384.36</v>
      </c>
      <c r="HF19" s="304"/>
      <c r="HG19" s="304"/>
      <c r="HH19" s="304"/>
      <c r="HI19" s="304"/>
      <c r="HJ19" s="304">
        <v>-522.83000000000015</v>
      </c>
      <c r="HK19" s="304"/>
      <c r="HL19" s="304"/>
      <c r="HM19" s="304">
        <v>-625</v>
      </c>
      <c r="HN19" s="304"/>
      <c r="HP19">
        <v>-8062.37</v>
      </c>
    </row>
    <row r="20" spans="1:224">
      <c r="A20" s="116">
        <v>107851</v>
      </c>
      <c r="B20" s="304"/>
      <c r="C20" s="304"/>
      <c r="D20" s="304"/>
      <c r="E20" s="304"/>
      <c r="F20" s="304"/>
      <c r="G20" s="304">
        <v>89170.930000000008</v>
      </c>
      <c r="H20" s="304">
        <v>2489.2600000000002</v>
      </c>
      <c r="I20" s="304">
        <v>23433.9</v>
      </c>
      <c r="J20" s="304">
        <v>9413.6299999999974</v>
      </c>
      <c r="K20" s="304">
        <v>3424.6000000000008</v>
      </c>
      <c r="L20" s="304">
        <v>1697.96</v>
      </c>
      <c r="M20" s="304"/>
      <c r="N20" s="304">
        <v>486.98</v>
      </c>
      <c r="O20" s="304">
        <v>100.57</v>
      </c>
      <c r="P20" s="304"/>
      <c r="Q20" s="304"/>
      <c r="R20" s="304"/>
      <c r="S20" s="304"/>
      <c r="T20" s="304"/>
      <c r="U20" s="304"/>
      <c r="V20" s="304"/>
      <c r="W20" s="304"/>
      <c r="X20" s="304"/>
      <c r="Y20" s="304"/>
      <c r="Z20" s="304"/>
      <c r="AA20" s="304"/>
      <c r="AB20" s="304">
        <v>-121.25999999999999</v>
      </c>
      <c r="AC20" s="304">
        <v>65.910000000000011</v>
      </c>
      <c r="AD20" s="304">
        <v>215.28</v>
      </c>
      <c r="AE20" s="304">
        <v>1007.8399999999999</v>
      </c>
      <c r="AF20" s="304">
        <v>337.48</v>
      </c>
      <c r="AG20" s="304"/>
      <c r="AH20" s="304"/>
      <c r="AI20" s="304"/>
      <c r="AJ20" s="304"/>
      <c r="AK20" s="304"/>
      <c r="AL20" s="304">
        <v>25911.649999999998</v>
      </c>
      <c r="AM20" s="304">
        <v>274.85000000000002</v>
      </c>
      <c r="AN20" s="304">
        <v>2362.8000000000002</v>
      </c>
      <c r="AO20" s="304">
        <v>11747.85</v>
      </c>
      <c r="AP20" s="304">
        <v>4606.829999999999</v>
      </c>
      <c r="AQ20" s="304">
        <v>42246.85</v>
      </c>
      <c r="AR20" s="304">
        <v>2265.1999999999998</v>
      </c>
      <c r="AS20" s="304">
        <v>960.29000000000008</v>
      </c>
      <c r="AT20" s="304">
        <v>8191.87</v>
      </c>
      <c r="AU20" s="304">
        <v>3102.72</v>
      </c>
      <c r="AV20" s="304"/>
      <c r="AW20" s="304"/>
      <c r="AX20" s="304"/>
      <c r="AY20" s="304"/>
      <c r="AZ20" s="304">
        <v>19173.900000000001</v>
      </c>
      <c r="BA20" s="304">
        <v>80.73</v>
      </c>
      <c r="BB20" s="304"/>
      <c r="BC20" s="304"/>
      <c r="BD20" s="304">
        <v>5849.6499999999987</v>
      </c>
      <c r="BE20" s="304">
        <v>1885.1000000000004</v>
      </c>
      <c r="BF20" s="304"/>
      <c r="BG20" s="304"/>
      <c r="BH20" s="304"/>
      <c r="BI20" s="304"/>
      <c r="BJ20" s="304"/>
      <c r="BK20" s="304"/>
      <c r="BL20" s="304"/>
      <c r="BM20" s="304"/>
      <c r="BN20" s="304"/>
      <c r="BO20" s="304"/>
      <c r="BP20" s="304">
        <v>6494.9200000000019</v>
      </c>
      <c r="BQ20" s="304"/>
      <c r="BR20" s="304">
        <v>38.56</v>
      </c>
      <c r="BS20" s="304">
        <v>1724.79</v>
      </c>
      <c r="BT20" s="304">
        <v>229.38000000000002</v>
      </c>
      <c r="BU20" s="304"/>
      <c r="BV20" s="304"/>
      <c r="BW20" s="304"/>
      <c r="BX20" s="304"/>
      <c r="BY20" s="304"/>
      <c r="BZ20" s="304"/>
      <c r="CA20" s="304"/>
      <c r="CB20" s="304"/>
      <c r="CC20" s="304"/>
      <c r="CD20" s="304"/>
      <c r="CE20" s="304"/>
      <c r="CF20" s="304">
        <v>673.6</v>
      </c>
      <c r="CG20" s="304">
        <v>785.42</v>
      </c>
      <c r="CH20" s="304"/>
      <c r="CI20" s="304"/>
      <c r="CJ20" s="304"/>
      <c r="CK20" s="304">
        <v>2022.43</v>
      </c>
      <c r="CL20" s="304">
        <v>948.16</v>
      </c>
      <c r="CM20" s="304"/>
      <c r="CN20" s="304"/>
      <c r="CO20" s="304"/>
      <c r="CP20" s="304"/>
      <c r="CQ20" s="304"/>
      <c r="CR20" s="304"/>
      <c r="CS20" s="304">
        <v>403</v>
      </c>
      <c r="CT20" s="304">
        <v>8051.44</v>
      </c>
      <c r="CU20" s="304"/>
      <c r="CV20" s="304"/>
      <c r="CW20" s="304"/>
      <c r="CX20" s="304"/>
      <c r="CY20" s="304">
        <v>304</v>
      </c>
      <c r="CZ20" s="304">
        <v>778.44</v>
      </c>
      <c r="DA20" s="304">
        <v>189.20000000000002</v>
      </c>
      <c r="DB20" s="304"/>
      <c r="DC20" s="304">
        <v>625.06999999999994</v>
      </c>
      <c r="DD20" s="304">
        <v>692.96</v>
      </c>
      <c r="DE20" s="304"/>
      <c r="DF20" s="304"/>
      <c r="DG20" s="304"/>
      <c r="DH20" s="304"/>
      <c r="DI20" s="304"/>
      <c r="DJ20" s="304">
        <v>0</v>
      </c>
      <c r="DK20" s="304"/>
      <c r="DL20" s="304">
        <v>446.63000000000005</v>
      </c>
      <c r="DM20" s="304"/>
      <c r="DN20" s="304">
        <v>44.44</v>
      </c>
      <c r="DO20" s="304"/>
      <c r="DP20" s="304"/>
      <c r="DQ20" s="304"/>
      <c r="DR20" s="304"/>
      <c r="DS20" s="304"/>
      <c r="DT20" s="304"/>
      <c r="DU20" s="304"/>
      <c r="DV20" s="304">
        <v>2910.2500000000005</v>
      </c>
      <c r="DW20" s="304"/>
      <c r="DX20" s="304"/>
      <c r="DY20" s="304">
        <v>1067.43</v>
      </c>
      <c r="DZ20" s="304"/>
      <c r="EA20" s="304">
        <v>19411.84</v>
      </c>
      <c r="EB20" s="304">
        <v>10368.220000000001</v>
      </c>
      <c r="EC20" s="304"/>
      <c r="ED20" s="304">
        <v>6.5</v>
      </c>
      <c r="EE20" s="304">
        <v>936.34</v>
      </c>
      <c r="EF20" s="426"/>
      <c r="EG20" s="304">
        <v>3621.35</v>
      </c>
      <c r="EH20" s="304"/>
      <c r="EI20" s="426"/>
      <c r="EJ20" s="304">
        <v>298.32</v>
      </c>
      <c r="EK20" s="304"/>
      <c r="EL20" s="304">
        <v>499</v>
      </c>
      <c r="EM20" s="304">
        <v>252</v>
      </c>
      <c r="EN20" s="304">
        <v>467</v>
      </c>
      <c r="EO20" s="304">
        <v>6.04</v>
      </c>
      <c r="EP20" s="304"/>
      <c r="EQ20" s="304"/>
      <c r="ER20" s="304">
        <v>180</v>
      </c>
      <c r="ES20" s="304"/>
      <c r="ET20" s="304"/>
      <c r="EU20" s="304"/>
      <c r="EV20" s="304">
        <v>400.68</v>
      </c>
      <c r="EW20" s="304">
        <v>1776.1</v>
      </c>
      <c r="EX20" s="304">
        <v>90.45</v>
      </c>
      <c r="EY20" s="304">
        <v>6477.8400000000011</v>
      </c>
      <c r="EZ20" s="304"/>
      <c r="FA20" s="304">
        <v>121</v>
      </c>
      <c r="FB20" s="304"/>
      <c r="FC20" s="304">
        <v>-262368.03999999998</v>
      </c>
      <c r="FD20" s="304"/>
      <c r="FE20" s="304"/>
      <c r="FF20" s="304">
        <v>4842</v>
      </c>
      <c r="FG20" s="304">
        <v>-7575</v>
      </c>
      <c r="FH20" s="304"/>
      <c r="FI20" s="304">
        <v>-3256.93</v>
      </c>
      <c r="FJ20" s="304"/>
      <c r="FK20" s="304"/>
      <c r="FL20" s="304">
        <v>-32889.46</v>
      </c>
      <c r="FM20" s="304"/>
      <c r="FN20" s="304">
        <v>185</v>
      </c>
      <c r="FO20" s="304">
        <v>-12292</v>
      </c>
      <c r="FP20" s="304"/>
      <c r="FQ20" s="304">
        <v>-77612.81</v>
      </c>
      <c r="FR20" s="304"/>
      <c r="FS20" s="304"/>
      <c r="FT20" s="304"/>
      <c r="FU20" s="304">
        <v>2821.42</v>
      </c>
      <c r="FV20" s="304">
        <v>-33491</v>
      </c>
      <c r="FW20" s="304">
        <v>247.08</v>
      </c>
      <c r="FX20" s="304">
        <v>36.6</v>
      </c>
      <c r="FY20" s="304"/>
      <c r="FZ20" s="304">
        <v>-4670.21</v>
      </c>
      <c r="GA20" s="304">
        <v>-2032</v>
      </c>
      <c r="GB20" s="304">
        <v>-3735</v>
      </c>
      <c r="GC20" s="304">
        <v>729.75</v>
      </c>
      <c r="GD20" s="304">
        <v>1526.26</v>
      </c>
      <c r="GE20" s="304">
        <v>1086.28</v>
      </c>
      <c r="GF20" s="304"/>
      <c r="GG20" s="304"/>
      <c r="GH20" s="304">
        <v>2618.3200000000006</v>
      </c>
      <c r="GI20" s="304">
        <v>550.25</v>
      </c>
      <c r="GJ20" s="304">
        <v>3842.2099999999996</v>
      </c>
      <c r="GK20" s="304"/>
      <c r="GL20" s="304">
        <v>6381.33</v>
      </c>
      <c r="GM20" s="304">
        <v>1354.01</v>
      </c>
      <c r="GN20" s="304">
        <v>790</v>
      </c>
      <c r="GO20" s="304">
        <v>560</v>
      </c>
      <c r="GP20" s="304">
        <v>667.72</v>
      </c>
      <c r="GQ20" s="304"/>
      <c r="GR20" s="304"/>
      <c r="GS20" s="304"/>
      <c r="GT20" s="304"/>
      <c r="GU20" s="304"/>
      <c r="GV20" s="304"/>
      <c r="GW20" s="304"/>
      <c r="GX20" s="304"/>
      <c r="GY20" s="304"/>
      <c r="GZ20" s="304"/>
      <c r="HA20" s="304"/>
      <c r="HB20" s="304">
        <v>-479.91999999999996</v>
      </c>
      <c r="HC20" s="304"/>
      <c r="HD20" s="304"/>
      <c r="HE20" s="304"/>
      <c r="HF20" s="304">
        <v>-300</v>
      </c>
      <c r="HG20" s="304">
        <v>176.25</v>
      </c>
      <c r="HH20" s="304"/>
      <c r="HI20" s="304"/>
      <c r="HJ20" s="304">
        <v>-261.89000000000004</v>
      </c>
      <c r="HK20" s="304"/>
      <c r="HL20" s="304"/>
      <c r="HM20" s="304">
        <v>2622</v>
      </c>
      <c r="HN20" s="304">
        <v>-17385.489999999998</v>
      </c>
      <c r="HO20">
        <v>-4842</v>
      </c>
      <c r="HP20">
        <v>-3786.1</v>
      </c>
    </row>
    <row r="21" spans="1:224">
      <c r="A21" s="116">
        <v>107852</v>
      </c>
      <c r="B21" s="304"/>
      <c r="C21" s="304"/>
      <c r="D21" s="304"/>
      <c r="E21" s="304"/>
      <c r="F21" s="304"/>
      <c r="G21" s="304">
        <v>295994.53000000003</v>
      </c>
      <c r="H21" s="304">
        <v>9762.9500000000007</v>
      </c>
      <c r="I21" s="304">
        <v>12000.14</v>
      </c>
      <c r="J21" s="304">
        <v>89923.089999999982</v>
      </c>
      <c r="K21" s="304">
        <v>41694.259999999995</v>
      </c>
      <c r="L21" s="304">
        <v>5129.2599999999993</v>
      </c>
      <c r="M21" s="304"/>
      <c r="N21" s="304">
        <v>1471.0800000000002</v>
      </c>
      <c r="O21" s="304">
        <v>633.99</v>
      </c>
      <c r="P21" s="304"/>
      <c r="Q21" s="304"/>
      <c r="R21" s="304"/>
      <c r="S21" s="304"/>
      <c r="T21" s="304"/>
      <c r="U21" s="304"/>
      <c r="V21" s="304"/>
      <c r="W21" s="304"/>
      <c r="X21" s="304"/>
      <c r="Y21" s="304"/>
      <c r="Z21" s="304"/>
      <c r="AA21" s="304"/>
      <c r="AB21" s="304">
        <v>13290.439999999999</v>
      </c>
      <c r="AC21" s="304">
        <v>103.36999999999999</v>
      </c>
      <c r="AD21" s="304">
        <v>170.3</v>
      </c>
      <c r="AE21" s="304">
        <v>3543.5</v>
      </c>
      <c r="AF21" s="304">
        <v>979.25000000000011</v>
      </c>
      <c r="AG21" s="304"/>
      <c r="AH21" s="304"/>
      <c r="AI21" s="304"/>
      <c r="AJ21" s="304"/>
      <c r="AK21" s="304"/>
      <c r="AL21" s="304">
        <v>94152.69</v>
      </c>
      <c r="AM21" s="304">
        <v>926.68000000000006</v>
      </c>
      <c r="AN21" s="304">
        <v>3211.3599999999997</v>
      </c>
      <c r="AO21" s="304">
        <v>25948.289999999997</v>
      </c>
      <c r="AP21" s="304">
        <v>10788.050000000001</v>
      </c>
      <c r="AQ21" s="304"/>
      <c r="AR21" s="304"/>
      <c r="AS21" s="304"/>
      <c r="AT21" s="304"/>
      <c r="AU21" s="304"/>
      <c r="AV21" s="304"/>
      <c r="AW21" s="304"/>
      <c r="AX21" s="304"/>
      <c r="AY21" s="304"/>
      <c r="AZ21" s="304">
        <v>44994.490000000005</v>
      </c>
      <c r="BA21" s="304">
        <v>1058.02</v>
      </c>
      <c r="BB21" s="304"/>
      <c r="BC21" s="304"/>
      <c r="BD21" s="304">
        <v>5054.7599999999993</v>
      </c>
      <c r="BE21" s="304">
        <v>2101.6800000000003</v>
      </c>
      <c r="BF21" s="304"/>
      <c r="BG21" s="304"/>
      <c r="BH21" s="304"/>
      <c r="BI21" s="304"/>
      <c r="BJ21" s="304"/>
      <c r="BK21" s="304"/>
      <c r="BL21" s="304"/>
      <c r="BM21" s="304"/>
      <c r="BN21" s="304"/>
      <c r="BO21" s="304"/>
      <c r="BP21" s="304">
        <v>16285</v>
      </c>
      <c r="BQ21" s="304"/>
      <c r="BR21" s="304"/>
      <c r="BS21" s="304"/>
      <c r="BT21" s="304"/>
      <c r="BU21" s="304"/>
      <c r="BV21" s="304"/>
      <c r="BW21" s="304"/>
      <c r="BX21" s="304"/>
      <c r="BY21" s="304"/>
      <c r="BZ21" s="304"/>
      <c r="CA21" s="304"/>
      <c r="CB21" s="304"/>
      <c r="CC21" s="304"/>
      <c r="CD21" s="304">
        <v>117</v>
      </c>
      <c r="CE21" s="304"/>
      <c r="CF21" s="304">
        <v>1451.5</v>
      </c>
      <c r="CG21" s="304">
        <v>780</v>
      </c>
      <c r="CH21" s="304"/>
      <c r="CI21" s="304"/>
      <c r="CJ21" s="304">
        <v>13166</v>
      </c>
      <c r="CK21" s="304">
        <v>7210.2699999999968</v>
      </c>
      <c r="CL21" s="304"/>
      <c r="CM21" s="304">
        <v>2328.4</v>
      </c>
      <c r="CN21" s="304"/>
      <c r="CO21" s="304"/>
      <c r="CP21" s="304"/>
      <c r="CQ21" s="304"/>
      <c r="CR21" s="304"/>
      <c r="CS21" s="304">
        <v>2455.46</v>
      </c>
      <c r="CT21" s="304">
        <v>17772.899999999998</v>
      </c>
      <c r="CU21" s="304"/>
      <c r="CV21" s="304">
        <v>2317.38</v>
      </c>
      <c r="CW21" s="304">
        <v>9500</v>
      </c>
      <c r="CX21" s="304"/>
      <c r="CY21" s="304"/>
      <c r="CZ21" s="304">
        <v>16467</v>
      </c>
      <c r="DA21" s="304">
        <v>3256.2000000000003</v>
      </c>
      <c r="DB21" s="304">
        <v>738.96</v>
      </c>
      <c r="DC21" s="304">
        <v>1374.98</v>
      </c>
      <c r="DD21" s="304">
        <v>995.06</v>
      </c>
      <c r="DE21" s="304"/>
      <c r="DF21" s="304"/>
      <c r="DG21" s="304"/>
      <c r="DH21" s="304"/>
      <c r="DI21" s="304"/>
      <c r="DJ21" s="304"/>
      <c r="DK21" s="304"/>
      <c r="DL21" s="304">
        <v>215.54000000000002</v>
      </c>
      <c r="DM21" s="304"/>
      <c r="DN21" s="304"/>
      <c r="DO21" s="304"/>
      <c r="DP21" s="304"/>
      <c r="DQ21" s="304"/>
      <c r="DR21" s="304"/>
      <c r="DS21" s="304"/>
      <c r="DT21" s="304"/>
      <c r="DU21" s="304">
        <v>2259</v>
      </c>
      <c r="DV21" s="304">
        <v>11336.859999999997</v>
      </c>
      <c r="DW21" s="304">
        <v>224.61000000000004</v>
      </c>
      <c r="DX21" s="304"/>
      <c r="DY21" s="304">
        <v>146.69</v>
      </c>
      <c r="DZ21" s="304">
        <v>5770.5700000000006</v>
      </c>
      <c r="EA21" s="304">
        <v>2035.5</v>
      </c>
      <c r="EB21" s="304">
        <v>35657.399999999994</v>
      </c>
      <c r="EC21" s="304"/>
      <c r="ED21" s="304"/>
      <c r="EE21" s="304">
        <v>935.2800000000002</v>
      </c>
      <c r="EF21" s="426"/>
      <c r="EG21" s="304">
        <v>2834</v>
      </c>
      <c r="EH21" s="304"/>
      <c r="EI21" s="426"/>
      <c r="EJ21" s="304">
        <v>2718.85</v>
      </c>
      <c r="EK21" s="304">
        <v>8087.39</v>
      </c>
      <c r="EL21" s="304"/>
      <c r="EM21" s="304">
        <v>145.66</v>
      </c>
      <c r="EN21" s="304"/>
      <c r="EO21" s="304"/>
      <c r="EP21" s="304"/>
      <c r="EQ21" s="304"/>
      <c r="ER21" s="304"/>
      <c r="ES21" s="304"/>
      <c r="ET21" s="304"/>
      <c r="EU21" s="304"/>
      <c r="EV21" s="304">
        <v>4507.6499999999996</v>
      </c>
      <c r="EW21" s="304">
        <v>249.5</v>
      </c>
      <c r="EX21" s="304"/>
      <c r="EY21" s="304">
        <v>16793.84</v>
      </c>
      <c r="EZ21" s="304"/>
      <c r="FA21" s="304"/>
      <c r="FB21" s="304"/>
      <c r="FC21" s="304">
        <v>-786690.24</v>
      </c>
      <c r="FD21" s="304"/>
      <c r="FE21" s="304"/>
      <c r="FF21" s="304"/>
      <c r="FG21" s="304">
        <v>-34570</v>
      </c>
      <c r="FH21" s="304"/>
      <c r="FI21" s="304">
        <v>-876</v>
      </c>
      <c r="FJ21" s="304"/>
      <c r="FK21" s="304"/>
      <c r="FL21" s="304"/>
      <c r="FM21" s="304">
        <v>-5417.5</v>
      </c>
      <c r="FN21" s="304">
        <v>-28989</v>
      </c>
      <c r="FO21" s="304">
        <v>-15651</v>
      </c>
      <c r="FP21" s="304"/>
      <c r="FQ21" s="304">
        <v>-51755.19</v>
      </c>
      <c r="FR21" s="304"/>
      <c r="FS21" s="304">
        <v>-1490.91</v>
      </c>
      <c r="FT21" s="304"/>
      <c r="FU21" s="304"/>
      <c r="FV21" s="304">
        <v>-56500</v>
      </c>
      <c r="FW21" s="304">
        <v>2779.65</v>
      </c>
      <c r="FX21" s="304">
        <v>411.75</v>
      </c>
      <c r="FY21" s="304"/>
      <c r="FZ21" s="304">
        <v>-8265.74</v>
      </c>
      <c r="GA21" s="304">
        <v>-6859</v>
      </c>
      <c r="GB21" s="304">
        <v>-13920</v>
      </c>
      <c r="GC21" s="304">
        <v>1010</v>
      </c>
      <c r="GD21" s="304"/>
      <c r="GE21" s="304">
        <v>1375.08</v>
      </c>
      <c r="GF21" s="304">
        <v>4488.5200000000004</v>
      </c>
      <c r="GG21" s="304">
        <v>25736.719999999998</v>
      </c>
      <c r="GH21" s="304">
        <v>36683.72</v>
      </c>
      <c r="GI21" s="304">
        <v>450</v>
      </c>
      <c r="GJ21" s="304">
        <v>6193.3300000000008</v>
      </c>
      <c r="GK21" s="304">
        <v>261</v>
      </c>
      <c r="GL21" s="304">
        <v>3193.8199999999997</v>
      </c>
      <c r="GM21" s="304">
        <v>1934.3</v>
      </c>
      <c r="GN21" s="304">
        <v>1417.5</v>
      </c>
      <c r="GO21" s="304">
        <v>560</v>
      </c>
      <c r="GP21" s="304">
        <v>951.85</v>
      </c>
      <c r="GQ21" s="304">
        <v>1394.79</v>
      </c>
      <c r="GR21" s="304"/>
      <c r="GS21" s="304"/>
      <c r="GT21" s="304"/>
      <c r="GU21" s="304"/>
      <c r="GV21" s="304"/>
      <c r="GW21" s="304"/>
      <c r="GX21" s="304">
        <v>-390</v>
      </c>
      <c r="GY21" s="304"/>
      <c r="GZ21" s="304"/>
      <c r="HA21" s="304">
        <v>-3618.48</v>
      </c>
      <c r="HB21" s="304">
        <v>-7202.9900000000007</v>
      </c>
      <c r="HC21" s="304"/>
      <c r="HD21" s="304"/>
      <c r="HE21" s="304"/>
      <c r="HF21" s="304"/>
      <c r="HG21" s="304">
        <v>81.99</v>
      </c>
      <c r="HH21" s="304"/>
      <c r="HI21" s="304">
        <v>-5585.06</v>
      </c>
      <c r="HJ21" s="304">
        <v>-2263.8299999999995</v>
      </c>
      <c r="HK21" s="304"/>
      <c r="HL21" s="304"/>
      <c r="HM21" s="304">
        <v>-650</v>
      </c>
      <c r="HN21" s="304"/>
      <c r="HP21">
        <v>-5208.38</v>
      </c>
    </row>
    <row r="22" spans="1:224">
      <c r="A22" s="116">
        <v>107853</v>
      </c>
      <c r="B22" s="304">
        <v>0</v>
      </c>
      <c r="C22" s="304"/>
      <c r="D22" s="304"/>
      <c r="E22" s="304"/>
      <c r="F22" s="304"/>
      <c r="G22" s="304">
        <v>292735.26999999996</v>
      </c>
      <c r="H22" s="304">
        <v>456.18</v>
      </c>
      <c r="I22" s="304">
        <v>5755.8000000000011</v>
      </c>
      <c r="J22" s="304">
        <v>84591.489999999991</v>
      </c>
      <c r="K22" s="304">
        <v>37953.32</v>
      </c>
      <c r="L22" s="304">
        <v>3890.0699999999997</v>
      </c>
      <c r="M22" s="304"/>
      <c r="N22" s="304">
        <v>1115.6599999999999</v>
      </c>
      <c r="O22" s="304">
        <v>213.85000000000002</v>
      </c>
      <c r="P22" s="304"/>
      <c r="Q22" s="304">
        <v>0</v>
      </c>
      <c r="R22" s="304"/>
      <c r="S22" s="304"/>
      <c r="T22" s="304"/>
      <c r="U22" s="304"/>
      <c r="V22" s="304"/>
      <c r="W22" s="304"/>
      <c r="X22" s="304"/>
      <c r="Y22" s="304"/>
      <c r="Z22" s="304"/>
      <c r="AA22" s="304"/>
      <c r="AB22" s="304">
        <v>14282.040000000003</v>
      </c>
      <c r="AC22" s="304">
        <v>87.66</v>
      </c>
      <c r="AD22" s="304">
        <v>319.74</v>
      </c>
      <c r="AE22" s="304">
        <v>2008.3500000000006</v>
      </c>
      <c r="AF22" s="304">
        <v>529.41999999999996</v>
      </c>
      <c r="AG22" s="304"/>
      <c r="AH22" s="304"/>
      <c r="AI22" s="304"/>
      <c r="AJ22" s="304"/>
      <c r="AK22" s="304"/>
      <c r="AL22" s="304">
        <v>100453.51999999999</v>
      </c>
      <c r="AM22" s="304">
        <v>436.57</v>
      </c>
      <c r="AN22" s="304">
        <v>3020.3500000000004</v>
      </c>
      <c r="AO22" s="304">
        <v>27417.499999999996</v>
      </c>
      <c r="AP22" s="304">
        <v>11103.81</v>
      </c>
      <c r="AQ22" s="304"/>
      <c r="AR22" s="304"/>
      <c r="AS22" s="304"/>
      <c r="AT22" s="304"/>
      <c r="AU22" s="304"/>
      <c r="AV22" s="304"/>
      <c r="AW22" s="304"/>
      <c r="AX22" s="304"/>
      <c r="AY22" s="304"/>
      <c r="AZ22" s="304">
        <v>34653.85</v>
      </c>
      <c r="BA22" s="304">
        <v>171.3</v>
      </c>
      <c r="BB22" s="304">
        <v>1670.81</v>
      </c>
      <c r="BC22" s="304"/>
      <c r="BD22" s="304">
        <v>9625.1099999999988</v>
      </c>
      <c r="BE22" s="304">
        <v>3770.2999999999993</v>
      </c>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v>4907.2300000000005</v>
      </c>
      <c r="CG22" s="304">
        <v>1520.04</v>
      </c>
      <c r="CH22" s="304"/>
      <c r="CI22" s="304"/>
      <c r="CJ22" s="304"/>
      <c r="CK22" s="304">
        <v>1859.4099999999999</v>
      </c>
      <c r="CL22" s="304">
        <v>3727.6799999999989</v>
      </c>
      <c r="CM22" s="304"/>
      <c r="CN22" s="304"/>
      <c r="CO22" s="304"/>
      <c r="CP22" s="304"/>
      <c r="CQ22" s="304"/>
      <c r="CR22" s="304"/>
      <c r="CS22" s="304">
        <v>2661.6899999999996</v>
      </c>
      <c r="CT22" s="304">
        <v>4587.7600000000011</v>
      </c>
      <c r="CU22" s="304">
        <v>3321.8500000000004</v>
      </c>
      <c r="CV22" s="304"/>
      <c r="CW22" s="304"/>
      <c r="CX22" s="304"/>
      <c r="CY22" s="304"/>
      <c r="CZ22" s="304">
        <v>2619.75</v>
      </c>
      <c r="DA22" s="304">
        <v>2468.0699999999997</v>
      </c>
      <c r="DB22" s="304">
        <v>65</v>
      </c>
      <c r="DC22" s="304">
        <v>13031.079999999998</v>
      </c>
      <c r="DD22" s="304">
        <v>574.88</v>
      </c>
      <c r="DE22" s="304"/>
      <c r="DF22" s="304"/>
      <c r="DG22" s="304"/>
      <c r="DH22" s="304"/>
      <c r="DI22" s="304"/>
      <c r="DJ22" s="304"/>
      <c r="DK22" s="304"/>
      <c r="DL22" s="304"/>
      <c r="DM22" s="304"/>
      <c r="DN22" s="304">
        <v>113.14</v>
      </c>
      <c r="DO22" s="304"/>
      <c r="DP22" s="304"/>
      <c r="DQ22" s="304"/>
      <c r="DR22" s="304"/>
      <c r="DS22" s="304"/>
      <c r="DT22" s="304"/>
      <c r="DU22" s="304"/>
      <c r="DV22" s="304">
        <v>6242.5999999999995</v>
      </c>
      <c r="DW22" s="304">
        <v>198.44</v>
      </c>
      <c r="DX22" s="304"/>
      <c r="DY22" s="304">
        <v>528.49999999999989</v>
      </c>
      <c r="DZ22" s="304">
        <v>2223.3900000000003</v>
      </c>
      <c r="EA22" s="304">
        <v>523.72</v>
      </c>
      <c r="EB22" s="304">
        <v>18018</v>
      </c>
      <c r="EC22" s="304">
        <v>0</v>
      </c>
      <c r="ED22" s="304"/>
      <c r="EE22" s="304">
        <v>1462.5500000000002</v>
      </c>
      <c r="EF22" s="426"/>
      <c r="EG22" s="304">
        <v>1627.56</v>
      </c>
      <c r="EH22" s="304"/>
      <c r="EI22" s="426"/>
      <c r="EJ22" s="304">
        <v>4848.46</v>
      </c>
      <c r="EK22" s="304">
        <v>730.6400000000001</v>
      </c>
      <c r="EL22" s="304">
        <v>133.32</v>
      </c>
      <c r="EM22" s="304">
        <v>196.65</v>
      </c>
      <c r="EN22" s="304">
        <v>3934.75</v>
      </c>
      <c r="EO22" s="304"/>
      <c r="EP22" s="304"/>
      <c r="EQ22" s="304"/>
      <c r="ER22" s="304"/>
      <c r="ES22" s="304"/>
      <c r="ET22" s="304"/>
      <c r="EU22" s="304">
        <v>5574.69</v>
      </c>
      <c r="EV22" s="304">
        <v>4541.04</v>
      </c>
      <c r="EW22" s="304">
        <v>2796.5699999999997</v>
      </c>
      <c r="EX22" s="304">
        <v>21.67</v>
      </c>
      <c r="EY22" s="304">
        <v>14376.5</v>
      </c>
      <c r="EZ22" s="304"/>
      <c r="FA22" s="304"/>
      <c r="FB22" s="304"/>
      <c r="FC22" s="304">
        <v>-728115.11</v>
      </c>
      <c r="FD22" s="304"/>
      <c r="FE22" s="304"/>
      <c r="FF22" s="304"/>
      <c r="FG22" s="304">
        <v>-13585</v>
      </c>
      <c r="FH22" s="304"/>
      <c r="FI22" s="304">
        <v>-856.93</v>
      </c>
      <c r="FJ22" s="304"/>
      <c r="FK22" s="304"/>
      <c r="FL22" s="304"/>
      <c r="FM22" s="304"/>
      <c r="FN22" s="304">
        <v>-24267</v>
      </c>
      <c r="FO22" s="304">
        <v>-15729</v>
      </c>
      <c r="FP22" s="304"/>
      <c r="FQ22" s="304">
        <v>-76061.649999999994</v>
      </c>
      <c r="FR22" s="304"/>
      <c r="FS22" s="304"/>
      <c r="FT22" s="304"/>
      <c r="FU22" s="304"/>
      <c r="FV22" s="304">
        <v>-7047</v>
      </c>
      <c r="FW22" s="304">
        <v>2800.24</v>
      </c>
      <c r="FX22" s="304">
        <v>414.8</v>
      </c>
      <c r="FY22" s="304"/>
      <c r="FZ22" s="304">
        <v>-13130.98</v>
      </c>
      <c r="GA22" s="304">
        <v>-6720</v>
      </c>
      <c r="GB22" s="304">
        <v>-13622</v>
      </c>
      <c r="GC22" s="304">
        <v>906.75</v>
      </c>
      <c r="GD22" s="304"/>
      <c r="GE22" s="304">
        <v>1396.36</v>
      </c>
      <c r="GF22" s="304">
        <v>562</v>
      </c>
      <c r="GG22" s="304"/>
      <c r="GH22" s="304">
        <v>29241.9</v>
      </c>
      <c r="GI22" s="304">
        <v>1560.1</v>
      </c>
      <c r="GJ22" s="304">
        <v>7353.3100000000059</v>
      </c>
      <c r="GK22" s="304">
        <v>261</v>
      </c>
      <c r="GL22" s="304">
        <v>3456.16</v>
      </c>
      <c r="GM22" s="304">
        <v>1974.32</v>
      </c>
      <c r="GN22" s="304">
        <v>1428</v>
      </c>
      <c r="GO22" s="304">
        <v>560</v>
      </c>
      <c r="GP22" s="304">
        <v>954.16</v>
      </c>
      <c r="GQ22" s="304">
        <v>702.66000000000008</v>
      </c>
      <c r="GR22" s="304"/>
      <c r="GS22" s="304">
        <v>890.88</v>
      </c>
      <c r="GT22" s="304"/>
      <c r="GU22" s="304"/>
      <c r="GV22" s="304"/>
      <c r="GW22" s="304"/>
      <c r="GX22" s="304"/>
      <c r="GY22" s="304"/>
      <c r="GZ22" s="304"/>
      <c r="HA22" s="304">
        <v>-6772.1599999999989</v>
      </c>
      <c r="HB22" s="304">
        <v>-7162.9099999999989</v>
      </c>
      <c r="HC22" s="304"/>
      <c r="HD22" s="304"/>
      <c r="HE22" s="304">
        <v>-2167.67</v>
      </c>
      <c r="HF22" s="304">
        <v>-252</v>
      </c>
      <c r="HG22" s="304">
        <v>9.8999999999999773</v>
      </c>
      <c r="HH22" s="304"/>
      <c r="HI22" s="304">
        <v>-2024.07</v>
      </c>
      <c r="HJ22" s="304">
        <v>0</v>
      </c>
      <c r="HK22" s="304"/>
      <c r="HL22" s="304"/>
      <c r="HM22" s="304"/>
      <c r="HN22" s="304"/>
      <c r="HP22">
        <v>-3684.98</v>
      </c>
    </row>
    <row r="23" spans="1:224">
      <c r="A23" s="116">
        <v>107862</v>
      </c>
      <c r="B23" s="304"/>
      <c r="C23" s="304"/>
      <c r="D23" s="304"/>
      <c r="E23" s="304"/>
      <c r="F23" s="304"/>
      <c r="G23" s="304">
        <v>313494.65000000002</v>
      </c>
      <c r="H23" s="304">
        <v>733.65</v>
      </c>
      <c r="I23" s="304">
        <v>11365.990000000002</v>
      </c>
      <c r="J23" s="304">
        <v>134381.13999999998</v>
      </c>
      <c r="K23" s="304">
        <v>62866.119999999988</v>
      </c>
      <c r="L23" s="304">
        <v>1066.6500000000001</v>
      </c>
      <c r="M23" s="304"/>
      <c r="N23" s="304">
        <v>305.90999999999997</v>
      </c>
      <c r="O23" s="304">
        <v>129.94999999999999</v>
      </c>
      <c r="P23" s="304"/>
      <c r="Q23" s="304"/>
      <c r="R23" s="304"/>
      <c r="S23" s="304"/>
      <c r="T23" s="304"/>
      <c r="U23" s="304"/>
      <c r="V23" s="304"/>
      <c r="W23" s="304"/>
      <c r="X23" s="304"/>
      <c r="Y23" s="304"/>
      <c r="Z23" s="304"/>
      <c r="AA23" s="304"/>
      <c r="AB23" s="304">
        <v>19150.78</v>
      </c>
      <c r="AC23" s="304">
        <v>470.49000000000007</v>
      </c>
      <c r="AD23" s="304">
        <v>2233.1099999999997</v>
      </c>
      <c r="AE23" s="304">
        <v>5570.5899999999992</v>
      </c>
      <c r="AF23" s="304">
        <v>1594.9</v>
      </c>
      <c r="AG23" s="304"/>
      <c r="AH23" s="304"/>
      <c r="AI23" s="304"/>
      <c r="AJ23" s="304"/>
      <c r="AK23" s="304"/>
      <c r="AL23" s="304">
        <v>142062.13999999998</v>
      </c>
      <c r="AM23" s="304">
        <v>4804.38</v>
      </c>
      <c r="AN23" s="304">
        <v>11787.52</v>
      </c>
      <c r="AO23" s="304">
        <v>43429.760000000002</v>
      </c>
      <c r="AP23" s="304">
        <v>17330.14</v>
      </c>
      <c r="AQ23" s="304"/>
      <c r="AR23" s="304"/>
      <c r="AS23" s="304"/>
      <c r="AT23" s="304"/>
      <c r="AU23" s="304"/>
      <c r="AV23" s="304"/>
      <c r="AW23" s="304"/>
      <c r="AX23" s="304"/>
      <c r="AY23" s="304"/>
      <c r="AZ23" s="304">
        <v>36749.26</v>
      </c>
      <c r="BA23" s="304">
        <v>124.51</v>
      </c>
      <c r="BB23" s="304">
        <v>762.16</v>
      </c>
      <c r="BC23" s="304"/>
      <c r="BD23" s="304">
        <v>12200.84</v>
      </c>
      <c r="BE23" s="304">
        <v>5129.4799999999996</v>
      </c>
      <c r="BF23" s="304"/>
      <c r="BG23" s="304"/>
      <c r="BH23" s="304"/>
      <c r="BI23" s="304"/>
      <c r="BJ23" s="304"/>
      <c r="BK23" s="304"/>
      <c r="BL23" s="304"/>
      <c r="BM23" s="304"/>
      <c r="BN23" s="304"/>
      <c r="BO23" s="304"/>
      <c r="BP23" s="304">
        <v>7498.1299999999983</v>
      </c>
      <c r="BQ23" s="304"/>
      <c r="BR23" s="304">
        <v>76.5</v>
      </c>
      <c r="BS23" s="304">
        <v>1999.6200000000006</v>
      </c>
      <c r="BT23" s="304">
        <v>385.59</v>
      </c>
      <c r="BU23" s="304">
        <v>21544.71</v>
      </c>
      <c r="BV23" s="304"/>
      <c r="BW23" s="304">
        <v>2093.65</v>
      </c>
      <c r="BX23" s="304">
        <v>6240.46</v>
      </c>
      <c r="BY23" s="304">
        <v>2795.13</v>
      </c>
      <c r="BZ23" s="304"/>
      <c r="CA23" s="304"/>
      <c r="CB23" s="304"/>
      <c r="CC23" s="304"/>
      <c r="CD23" s="304"/>
      <c r="CE23" s="304"/>
      <c r="CF23" s="304">
        <v>2848.75</v>
      </c>
      <c r="CG23" s="304">
        <v>6310.45</v>
      </c>
      <c r="CH23" s="304"/>
      <c r="CI23" s="304"/>
      <c r="CJ23" s="304"/>
      <c r="CK23" s="304">
        <v>18537.689999999999</v>
      </c>
      <c r="CL23" s="304"/>
      <c r="CM23" s="304">
        <v>-1455.42</v>
      </c>
      <c r="CN23" s="304"/>
      <c r="CO23" s="304"/>
      <c r="CP23" s="304"/>
      <c r="CQ23" s="304"/>
      <c r="CR23" s="304"/>
      <c r="CS23" s="304"/>
      <c r="CT23" s="304">
        <v>9961.32</v>
      </c>
      <c r="CU23" s="304"/>
      <c r="CV23" s="304">
        <v>6809.8399999999992</v>
      </c>
      <c r="CW23" s="304"/>
      <c r="CX23" s="304"/>
      <c r="CY23" s="304"/>
      <c r="CZ23" s="304">
        <v>22829.25</v>
      </c>
      <c r="DA23" s="304">
        <v>3048.26</v>
      </c>
      <c r="DB23" s="304"/>
      <c r="DC23" s="304">
        <v>2321.83</v>
      </c>
      <c r="DD23" s="304"/>
      <c r="DE23" s="304"/>
      <c r="DF23" s="304"/>
      <c r="DG23" s="304"/>
      <c r="DH23" s="304"/>
      <c r="DI23" s="304"/>
      <c r="DJ23" s="304">
        <v>4885</v>
      </c>
      <c r="DK23" s="304"/>
      <c r="DL23" s="304"/>
      <c r="DM23" s="304"/>
      <c r="DN23" s="304">
        <v>911</v>
      </c>
      <c r="DO23" s="304"/>
      <c r="DP23" s="304"/>
      <c r="DQ23" s="304"/>
      <c r="DR23" s="304">
        <v>4774</v>
      </c>
      <c r="DS23" s="304"/>
      <c r="DT23" s="304">
        <v>299.67</v>
      </c>
      <c r="DU23" s="304">
        <v>3707</v>
      </c>
      <c r="DV23" s="304">
        <v>20208.28000000001</v>
      </c>
      <c r="DW23" s="304">
        <v>87.889999999999986</v>
      </c>
      <c r="DX23" s="304"/>
      <c r="DY23" s="304">
        <v>4567.03</v>
      </c>
      <c r="DZ23" s="304"/>
      <c r="EA23" s="304">
        <v>656</v>
      </c>
      <c r="EB23" s="304">
        <v>22796.54</v>
      </c>
      <c r="EC23" s="304"/>
      <c r="ED23" s="304">
        <v>411.61</v>
      </c>
      <c r="EE23" s="304">
        <v>877.86000000000013</v>
      </c>
      <c r="EF23" s="426"/>
      <c r="EG23" s="304">
        <v>7279.3</v>
      </c>
      <c r="EH23" s="304"/>
      <c r="EI23" s="426"/>
      <c r="EJ23" s="304">
        <v>2317.42</v>
      </c>
      <c r="EK23" s="304">
        <v>7841.8600000000006</v>
      </c>
      <c r="EL23" s="304"/>
      <c r="EM23" s="304">
        <v>1436</v>
      </c>
      <c r="EN23" s="304">
        <v>944.99</v>
      </c>
      <c r="EO23" s="304"/>
      <c r="EP23" s="304"/>
      <c r="EQ23" s="304"/>
      <c r="ER23" s="304">
        <v>46.76</v>
      </c>
      <c r="ES23" s="304"/>
      <c r="ET23" s="304"/>
      <c r="EU23" s="304"/>
      <c r="EV23" s="304">
        <v>5576.13</v>
      </c>
      <c r="EW23" s="304">
        <v>1880.42</v>
      </c>
      <c r="EX23" s="304">
        <v>-1385.2899999999997</v>
      </c>
      <c r="EY23" s="304">
        <v>21289.129999999997</v>
      </c>
      <c r="EZ23" s="304"/>
      <c r="FA23" s="304"/>
      <c r="FB23" s="304">
        <v>46.31</v>
      </c>
      <c r="FC23" s="304">
        <v>-948132.8</v>
      </c>
      <c r="FD23" s="304"/>
      <c r="FE23" s="304"/>
      <c r="FF23" s="304"/>
      <c r="FG23" s="304">
        <v>-38890</v>
      </c>
      <c r="FH23" s="304"/>
      <c r="FI23" s="304">
        <v>-2685.64</v>
      </c>
      <c r="FJ23" s="304"/>
      <c r="FK23" s="304">
        <v>-500</v>
      </c>
      <c r="FL23" s="304"/>
      <c r="FM23" s="304">
        <v>-5845</v>
      </c>
      <c r="FN23" s="304">
        <v>-37458</v>
      </c>
      <c r="FO23" s="304">
        <v>-15981</v>
      </c>
      <c r="FP23" s="304"/>
      <c r="FQ23" s="304">
        <v>-144983.1</v>
      </c>
      <c r="FR23" s="304"/>
      <c r="FS23" s="304">
        <v>1521.61</v>
      </c>
      <c r="FT23" s="304"/>
      <c r="FU23" s="304"/>
      <c r="FV23" s="304">
        <v>-32378</v>
      </c>
      <c r="FW23" s="304">
        <v>3438.53</v>
      </c>
      <c r="FX23" s="304">
        <v>509.35</v>
      </c>
      <c r="FY23" s="304"/>
      <c r="FZ23" s="304">
        <v>-10904</v>
      </c>
      <c r="GA23" s="304">
        <v>-8439</v>
      </c>
      <c r="GB23" s="304">
        <v>-17263</v>
      </c>
      <c r="GC23" s="304">
        <v>1297.75</v>
      </c>
      <c r="GD23" s="304"/>
      <c r="GE23" s="304">
        <v>1487.56</v>
      </c>
      <c r="GF23" s="304">
        <v>2440.3200000000002</v>
      </c>
      <c r="GG23" s="304">
        <v>25213.42</v>
      </c>
      <c r="GH23" s="304">
        <v>51440.58</v>
      </c>
      <c r="GI23" s="304">
        <v>1094</v>
      </c>
      <c r="GJ23" s="304">
        <v>5834.3300000000008</v>
      </c>
      <c r="GK23" s="304"/>
      <c r="GL23" s="304">
        <v>2848.7</v>
      </c>
      <c r="GM23" s="304">
        <v>2741.37</v>
      </c>
      <c r="GN23" s="304">
        <v>1753.5</v>
      </c>
      <c r="GO23" s="304">
        <v>560</v>
      </c>
      <c r="GP23" s="304">
        <v>1010.74</v>
      </c>
      <c r="GQ23" s="304">
        <v>1467.0699999999997</v>
      </c>
      <c r="GR23" s="304"/>
      <c r="GS23" s="304"/>
      <c r="GT23" s="304"/>
      <c r="GU23" s="304"/>
      <c r="GV23" s="304"/>
      <c r="GW23" s="304"/>
      <c r="GX23" s="304"/>
      <c r="GY23" s="304"/>
      <c r="GZ23" s="304"/>
      <c r="HA23" s="304">
        <v>-2732.32</v>
      </c>
      <c r="HB23" s="304">
        <v>-18107.219999999994</v>
      </c>
      <c r="HC23" s="304"/>
      <c r="HD23" s="304"/>
      <c r="HE23" s="304">
        <v>-3987.7600000000016</v>
      </c>
      <c r="HF23" s="304"/>
      <c r="HG23" s="304">
        <v>-6109.0000000000036</v>
      </c>
      <c r="HH23" s="304">
        <v>-4021.41</v>
      </c>
      <c r="HI23" s="304"/>
      <c r="HJ23" s="304"/>
      <c r="HK23" s="304"/>
      <c r="HL23" s="304"/>
      <c r="HM23" s="304">
        <v>-5036.5</v>
      </c>
      <c r="HN23" s="304"/>
      <c r="HP23">
        <v>-7259.26</v>
      </c>
    </row>
    <row r="24" spans="1:224">
      <c r="A24" s="116">
        <v>107881</v>
      </c>
      <c r="B24" s="304"/>
      <c r="C24" s="304"/>
      <c r="D24" s="304"/>
      <c r="E24" s="304"/>
      <c r="F24" s="304"/>
      <c r="G24" s="304">
        <v>437974.32999999996</v>
      </c>
      <c r="H24" s="304">
        <v>3668.1800000000012</v>
      </c>
      <c r="I24" s="304"/>
      <c r="J24" s="304">
        <v>112130.33000000002</v>
      </c>
      <c r="K24" s="304">
        <v>50003.02</v>
      </c>
      <c r="L24" s="304">
        <v>9358.74</v>
      </c>
      <c r="M24" s="304"/>
      <c r="N24" s="304">
        <v>2684.09</v>
      </c>
      <c r="O24" s="304">
        <v>1150.08</v>
      </c>
      <c r="P24" s="304"/>
      <c r="Q24" s="304"/>
      <c r="R24" s="304"/>
      <c r="S24" s="304"/>
      <c r="T24" s="304"/>
      <c r="U24" s="304"/>
      <c r="V24" s="304"/>
      <c r="W24" s="304">
        <v>18268.230000000003</v>
      </c>
      <c r="X24" s="304">
        <v>1717.7</v>
      </c>
      <c r="Y24" s="304">
        <v>300.02</v>
      </c>
      <c r="Z24" s="304">
        <v>5181.3500000000004</v>
      </c>
      <c r="AA24" s="304">
        <v>2179.25</v>
      </c>
      <c r="AB24" s="304">
        <v>21767.160000000003</v>
      </c>
      <c r="AC24" s="304">
        <v>1223.9900000000002</v>
      </c>
      <c r="AD24" s="304">
        <v>96.39</v>
      </c>
      <c r="AE24" s="304">
        <v>6358.3</v>
      </c>
      <c r="AF24" s="304">
        <v>1468.2500000000002</v>
      </c>
      <c r="AG24" s="304"/>
      <c r="AH24" s="304"/>
      <c r="AI24" s="304"/>
      <c r="AJ24" s="304"/>
      <c r="AK24" s="304"/>
      <c r="AL24" s="304">
        <v>185395.84</v>
      </c>
      <c r="AM24" s="304">
        <v>6983.41</v>
      </c>
      <c r="AN24" s="304">
        <v>7500.43</v>
      </c>
      <c r="AO24" s="304">
        <v>51513.369999999995</v>
      </c>
      <c r="AP24" s="304">
        <v>19977.229999999996</v>
      </c>
      <c r="AQ24" s="304">
        <v>108030.40999999999</v>
      </c>
      <c r="AR24" s="304">
        <v>5133.99</v>
      </c>
      <c r="AS24" s="304">
        <v>1662.5</v>
      </c>
      <c r="AT24" s="304">
        <v>29898.79</v>
      </c>
      <c r="AU24" s="304">
        <v>12253.96</v>
      </c>
      <c r="AV24" s="304"/>
      <c r="AW24" s="304"/>
      <c r="AX24" s="304"/>
      <c r="AY24" s="304"/>
      <c r="AZ24" s="304">
        <v>45948.520000000004</v>
      </c>
      <c r="BA24" s="304">
        <v>2837.15</v>
      </c>
      <c r="BB24" s="304">
        <v>58.74</v>
      </c>
      <c r="BC24" s="304"/>
      <c r="BD24" s="304">
        <v>12894.76</v>
      </c>
      <c r="BE24" s="304">
        <v>6067.6100000000006</v>
      </c>
      <c r="BF24" s="304"/>
      <c r="BG24" s="304"/>
      <c r="BH24" s="304"/>
      <c r="BI24" s="304"/>
      <c r="BJ24" s="304"/>
      <c r="BK24" s="304"/>
      <c r="BL24" s="304"/>
      <c r="BM24" s="304"/>
      <c r="BN24" s="304"/>
      <c r="BO24" s="304"/>
      <c r="BP24" s="304">
        <v>27348.1</v>
      </c>
      <c r="BQ24" s="304">
        <v>277.83</v>
      </c>
      <c r="BR24" s="304">
        <v>198</v>
      </c>
      <c r="BS24" s="304">
        <v>7345.37</v>
      </c>
      <c r="BT24" s="304">
        <v>2712.19</v>
      </c>
      <c r="BU24" s="304"/>
      <c r="BV24" s="304"/>
      <c r="BW24" s="304"/>
      <c r="BX24" s="304"/>
      <c r="BY24" s="304"/>
      <c r="BZ24" s="304"/>
      <c r="CA24" s="304"/>
      <c r="CB24" s="304"/>
      <c r="CC24" s="304"/>
      <c r="CD24" s="304"/>
      <c r="CE24" s="304"/>
      <c r="CF24" s="304">
        <v>2923</v>
      </c>
      <c r="CG24" s="304"/>
      <c r="CH24" s="304"/>
      <c r="CI24" s="304"/>
      <c r="CJ24" s="304">
        <v>32993.760000000002</v>
      </c>
      <c r="CK24" s="304">
        <v>10783.9</v>
      </c>
      <c r="CL24" s="304"/>
      <c r="CM24" s="304"/>
      <c r="CN24" s="304"/>
      <c r="CO24" s="304"/>
      <c r="CP24" s="304">
        <v>2470</v>
      </c>
      <c r="CQ24" s="304">
        <v>350</v>
      </c>
      <c r="CR24" s="304">
        <v>3176</v>
      </c>
      <c r="CS24" s="304"/>
      <c r="CT24" s="304">
        <v>6905.3200000000006</v>
      </c>
      <c r="CU24" s="304">
        <v>5267.5</v>
      </c>
      <c r="CV24" s="304"/>
      <c r="CW24" s="304"/>
      <c r="CX24" s="304"/>
      <c r="CY24" s="304"/>
      <c r="CZ24" s="304">
        <v>20708.5</v>
      </c>
      <c r="DA24" s="304">
        <v>2691.77</v>
      </c>
      <c r="DB24" s="304"/>
      <c r="DC24" s="304">
        <v>2013.74</v>
      </c>
      <c r="DD24" s="304">
        <v>80.23</v>
      </c>
      <c r="DE24" s="304"/>
      <c r="DF24" s="304"/>
      <c r="DG24" s="304"/>
      <c r="DH24" s="304"/>
      <c r="DI24" s="304"/>
      <c r="DJ24" s="304"/>
      <c r="DK24" s="304"/>
      <c r="DL24" s="304"/>
      <c r="DM24" s="304"/>
      <c r="DN24" s="304"/>
      <c r="DO24" s="304"/>
      <c r="DP24" s="304"/>
      <c r="DQ24" s="304"/>
      <c r="DR24" s="304">
        <v>2200</v>
      </c>
      <c r="DS24" s="304"/>
      <c r="DT24" s="304"/>
      <c r="DU24" s="304">
        <v>4150</v>
      </c>
      <c r="DV24" s="304">
        <v>34818.360000000008</v>
      </c>
      <c r="DW24" s="304">
        <v>94.24</v>
      </c>
      <c r="DX24" s="304"/>
      <c r="DY24" s="304">
        <v>1802.23</v>
      </c>
      <c r="DZ24" s="304"/>
      <c r="EA24" s="304">
        <v>522.5</v>
      </c>
      <c r="EB24" s="304">
        <v>14046.5</v>
      </c>
      <c r="EC24" s="304"/>
      <c r="ED24" s="304"/>
      <c r="EE24" s="304">
        <v>709.3900000000001</v>
      </c>
      <c r="EF24" s="426"/>
      <c r="EG24" s="304">
        <v>2353</v>
      </c>
      <c r="EH24" s="304"/>
      <c r="EI24" s="426"/>
      <c r="EJ24" s="304">
        <v>11966.58</v>
      </c>
      <c r="EK24" s="304">
        <v>499</v>
      </c>
      <c r="EL24" s="304"/>
      <c r="EM24" s="304">
        <v>1391.63</v>
      </c>
      <c r="EN24" s="304">
        <v>3172</v>
      </c>
      <c r="EO24" s="304"/>
      <c r="EP24" s="304"/>
      <c r="EQ24" s="304"/>
      <c r="ER24" s="304"/>
      <c r="ES24" s="304"/>
      <c r="ET24" s="304"/>
      <c r="EU24" s="304"/>
      <c r="EV24" s="304">
        <v>6043.59</v>
      </c>
      <c r="EW24" s="304">
        <v>1239</v>
      </c>
      <c r="EX24" s="304">
        <v>503.18000000000012</v>
      </c>
      <c r="EY24" s="304">
        <v>6295.5</v>
      </c>
      <c r="EZ24" s="304"/>
      <c r="FA24" s="304">
        <v>74214.709999999977</v>
      </c>
      <c r="FB24" s="304"/>
      <c r="FC24" s="304">
        <v>-980657.74</v>
      </c>
      <c r="FD24" s="304"/>
      <c r="FE24" s="304">
        <v>-37500</v>
      </c>
      <c r="FF24" s="304">
        <v>-9500</v>
      </c>
      <c r="FG24" s="304">
        <v>-25655</v>
      </c>
      <c r="FH24" s="304"/>
      <c r="FI24" s="304">
        <v>-42696</v>
      </c>
      <c r="FJ24" s="304"/>
      <c r="FK24" s="304"/>
      <c r="FL24" s="304">
        <v>-186689.17000000004</v>
      </c>
      <c r="FM24" s="304">
        <v>-5985.63</v>
      </c>
      <c r="FN24" s="304">
        <v>-81520</v>
      </c>
      <c r="FO24" s="304">
        <v>-15736</v>
      </c>
      <c r="FP24" s="304">
        <v>-6352</v>
      </c>
      <c r="FQ24" s="304">
        <v>-2909.32</v>
      </c>
      <c r="FR24" s="304">
        <v>93664.420000000013</v>
      </c>
      <c r="FS24" s="304">
        <v>-14102.76</v>
      </c>
      <c r="FT24" s="304"/>
      <c r="FU24" s="304">
        <v>-69122.94</v>
      </c>
      <c r="FV24" s="304">
        <v>-90112</v>
      </c>
      <c r="FW24" s="304">
        <v>3726.79</v>
      </c>
      <c r="FX24" s="304">
        <v>552.04999999999995</v>
      </c>
      <c r="FY24" s="304"/>
      <c r="FZ24" s="304"/>
      <c r="GA24" s="304">
        <v>-8608</v>
      </c>
      <c r="GB24" s="304">
        <v>-17607</v>
      </c>
      <c r="GC24" s="304">
        <v>1649</v>
      </c>
      <c r="GD24" s="304"/>
      <c r="GE24" s="304">
        <v>1517.96</v>
      </c>
      <c r="GF24" s="304">
        <v>150.89000000000001</v>
      </c>
      <c r="GG24" s="304"/>
      <c r="GH24" s="304">
        <v>90764.349999999991</v>
      </c>
      <c r="GI24" s="304">
        <v>112.5</v>
      </c>
      <c r="GJ24" s="304">
        <v>7409.2100000000046</v>
      </c>
      <c r="GK24" s="304">
        <v>261</v>
      </c>
      <c r="GL24" s="304">
        <v>4801.46</v>
      </c>
      <c r="GM24" s="304">
        <v>3895.2799999999997</v>
      </c>
      <c r="GN24" s="304">
        <v>1900.5</v>
      </c>
      <c r="GO24" s="304">
        <v>560</v>
      </c>
      <c r="GP24" s="304">
        <v>1058.1099999999999</v>
      </c>
      <c r="GQ24" s="304">
        <v>1105.2400000000002</v>
      </c>
      <c r="GR24" s="304"/>
      <c r="GS24" s="304"/>
      <c r="GT24" s="304"/>
      <c r="GU24" s="304"/>
      <c r="GV24" s="304"/>
      <c r="GW24" s="304"/>
      <c r="GX24" s="304"/>
      <c r="GY24" s="304"/>
      <c r="GZ24" s="304"/>
      <c r="HA24" s="304">
        <v>-10833</v>
      </c>
      <c r="HB24" s="304">
        <v>-8119.7799999999988</v>
      </c>
      <c r="HC24" s="304"/>
      <c r="HD24" s="304"/>
      <c r="HE24" s="304"/>
      <c r="HF24" s="304"/>
      <c r="HG24" s="304"/>
      <c r="HH24" s="304">
        <v>-1807</v>
      </c>
      <c r="HI24" s="304">
        <v>-480</v>
      </c>
      <c r="HJ24" s="304">
        <v>-31678</v>
      </c>
      <c r="HK24" s="304"/>
      <c r="HL24" s="304"/>
      <c r="HM24" s="304">
        <v>-880</v>
      </c>
      <c r="HN24" s="304">
        <v>-15000</v>
      </c>
      <c r="HP24">
        <v>-349.31</v>
      </c>
    </row>
    <row r="25" spans="1:224" s="142" customFormat="1">
      <c r="A25" s="425">
        <v>107886</v>
      </c>
      <c r="B25" s="426"/>
      <c r="C25" s="426"/>
      <c r="D25" s="426"/>
      <c r="E25" s="426"/>
      <c r="F25" s="426"/>
      <c r="G25" s="426">
        <v>644794.01</v>
      </c>
      <c r="H25" s="426">
        <v>21172.609999999997</v>
      </c>
      <c r="I25" s="426">
        <v>186261.38999999998</v>
      </c>
      <c r="J25" s="426">
        <v>206064.21999999997</v>
      </c>
      <c r="K25" s="426">
        <v>96394.37</v>
      </c>
      <c r="L25" s="426">
        <v>2545.5000000000005</v>
      </c>
      <c r="M25" s="426"/>
      <c r="N25" s="426">
        <v>730.06</v>
      </c>
      <c r="O25" s="426">
        <v>272.14</v>
      </c>
      <c r="P25" s="426"/>
      <c r="Q25" s="426"/>
      <c r="R25" s="426"/>
      <c r="S25" s="426"/>
      <c r="T25" s="426"/>
      <c r="U25" s="426"/>
      <c r="V25" s="426"/>
      <c r="W25" s="426"/>
      <c r="X25" s="426"/>
      <c r="Y25" s="426"/>
      <c r="Z25" s="426"/>
      <c r="AA25" s="426"/>
      <c r="AB25" s="426">
        <v>29461.739999999998</v>
      </c>
      <c r="AC25" s="426">
        <v>1174.7400000000002</v>
      </c>
      <c r="AD25" s="426">
        <v>115.07000000000001</v>
      </c>
      <c r="AE25" s="426">
        <v>5974.4799999999987</v>
      </c>
      <c r="AF25" s="426">
        <v>1258.3900000000001</v>
      </c>
      <c r="AG25" s="426"/>
      <c r="AH25" s="426"/>
      <c r="AI25" s="426"/>
      <c r="AJ25" s="426"/>
      <c r="AK25" s="426"/>
      <c r="AL25" s="426">
        <v>220746.26</v>
      </c>
      <c r="AM25" s="426">
        <v>7561.94</v>
      </c>
      <c r="AN25" s="426">
        <v>467.71</v>
      </c>
      <c r="AO25" s="426">
        <v>60432.349999999991</v>
      </c>
      <c r="AP25" s="426">
        <v>24080.95</v>
      </c>
      <c r="AQ25" s="426"/>
      <c r="AR25" s="426"/>
      <c r="AS25" s="426"/>
      <c r="AT25" s="426"/>
      <c r="AU25" s="426"/>
      <c r="AV25" s="426"/>
      <c r="AW25" s="426"/>
      <c r="AX25" s="426"/>
      <c r="AY25" s="426"/>
      <c r="AZ25" s="426">
        <v>67362.87999999999</v>
      </c>
      <c r="BA25" s="426">
        <v>2193.33</v>
      </c>
      <c r="BB25" s="426">
        <v>589.31999999999994</v>
      </c>
      <c r="BC25" s="426"/>
      <c r="BD25" s="426">
        <v>27034.33</v>
      </c>
      <c r="BE25" s="426">
        <v>12254.96</v>
      </c>
      <c r="BF25" s="426"/>
      <c r="BG25" s="426"/>
      <c r="BH25" s="426"/>
      <c r="BI25" s="426"/>
      <c r="BJ25" s="426"/>
      <c r="BK25" s="426"/>
      <c r="BL25" s="426"/>
      <c r="BM25" s="426"/>
      <c r="BN25" s="426"/>
      <c r="BO25" s="426"/>
      <c r="BP25" s="426">
        <v>59384.219999999987</v>
      </c>
      <c r="BQ25" s="426">
        <v>705.8</v>
      </c>
      <c r="BR25" s="426">
        <v>1187.1300000000001</v>
      </c>
      <c r="BS25" s="426">
        <v>20451.72</v>
      </c>
      <c r="BT25" s="426">
        <v>8520.8799999999992</v>
      </c>
      <c r="BU25" s="426"/>
      <c r="BV25" s="426"/>
      <c r="BW25" s="426"/>
      <c r="BX25" s="426"/>
      <c r="BY25" s="426"/>
      <c r="BZ25" s="426"/>
      <c r="CA25" s="426"/>
      <c r="CB25" s="426"/>
      <c r="CC25" s="426"/>
      <c r="CD25" s="426"/>
      <c r="CE25" s="426"/>
      <c r="CF25" s="426">
        <v>5912.05</v>
      </c>
      <c r="CG25" s="426"/>
      <c r="CH25" s="426"/>
      <c r="CI25" s="426"/>
      <c r="CJ25" s="426"/>
      <c r="CK25" s="426">
        <v>39126.099999999991</v>
      </c>
      <c r="CL25" s="426">
        <v>5637.5</v>
      </c>
      <c r="CM25" s="426">
        <v>-1733.8000000000002</v>
      </c>
      <c r="CN25" s="426"/>
      <c r="CO25" s="426"/>
      <c r="CP25" s="426"/>
      <c r="CQ25" s="426"/>
      <c r="CR25" s="426"/>
      <c r="CS25" s="426"/>
      <c r="CT25" s="426">
        <v>23436.149999999998</v>
      </c>
      <c r="CU25" s="426">
        <v>11486.69</v>
      </c>
      <c r="CV25" s="426"/>
      <c r="CW25" s="426"/>
      <c r="CX25" s="426"/>
      <c r="CY25" s="426"/>
      <c r="CZ25" s="426">
        <v>7152.6</v>
      </c>
      <c r="DA25" s="426">
        <v>8943.3600000000024</v>
      </c>
      <c r="DB25" s="426"/>
      <c r="DC25" s="426">
        <v>5310.4100000000008</v>
      </c>
      <c r="DD25" s="426"/>
      <c r="DE25" s="426"/>
      <c r="DF25" s="426"/>
      <c r="DG25" s="426"/>
      <c r="DH25" s="426"/>
      <c r="DI25" s="426"/>
      <c r="DJ25" s="426">
        <v>9.8000000000000007</v>
      </c>
      <c r="DK25" s="426"/>
      <c r="DL25" s="426">
        <v>81.39</v>
      </c>
      <c r="DM25" s="426"/>
      <c r="DN25" s="426">
        <v>2977.91</v>
      </c>
      <c r="DO25" s="426"/>
      <c r="DP25" s="426"/>
      <c r="DQ25" s="426"/>
      <c r="DR25" s="426">
        <v>5000</v>
      </c>
      <c r="DS25" s="426">
        <v>950</v>
      </c>
      <c r="DT25" s="426"/>
      <c r="DU25" s="426"/>
      <c r="DV25" s="426">
        <v>26751.019999999997</v>
      </c>
      <c r="DW25" s="426">
        <v>1460.04</v>
      </c>
      <c r="DX25" s="426"/>
      <c r="DY25" s="426">
        <v>783.81999999999994</v>
      </c>
      <c r="DZ25" s="426">
        <v>9478.0999999999985</v>
      </c>
      <c r="EA25" s="426">
        <v>85036.950000000012</v>
      </c>
      <c r="EB25" s="426"/>
      <c r="EC25" s="426"/>
      <c r="ED25" s="426">
        <v>72</v>
      </c>
      <c r="EE25" s="304">
        <v>1531.6299999999999</v>
      </c>
      <c r="EF25" s="426">
        <v>3238.42</v>
      </c>
      <c r="EG25" s="304">
        <v>582.91</v>
      </c>
      <c r="EH25" s="304"/>
      <c r="EI25" s="426">
        <v>6481.65</v>
      </c>
      <c r="EJ25" s="426">
        <v>6187.7</v>
      </c>
      <c r="EK25" s="426">
        <v>7594</v>
      </c>
      <c r="EL25" s="426"/>
      <c r="EM25" s="426">
        <v>16843.989999999998</v>
      </c>
      <c r="EN25" s="426"/>
      <c r="EO25" s="426"/>
      <c r="EP25" s="426"/>
      <c r="EQ25" s="426"/>
      <c r="ER25" s="426"/>
      <c r="ES25" s="426"/>
      <c r="ET25" s="426"/>
      <c r="EU25" s="426"/>
      <c r="EV25" s="426">
        <v>9382.59</v>
      </c>
      <c r="EW25" s="426">
        <v>817.5</v>
      </c>
      <c r="EX25" s="426">
        <v>1309.1500000000001</v>
      </c>
      <c r="EY25" s="426">
        <v>23120.33</v>
      </c>
      <c r="EZ25" s="426"/>
      <c r="FA25" s="426"/>
      <c r="FB25" s="426"/>
      <c r="FC25" s="426">
        <v>-1689947.81</v>
      </c>
      <c r="FD25" s="426"/>
      <c r="FE25" s="426"/>
      <c r="FF25" s="426">
        <v>-51600</v>
      </c>
      <c r="FG25" s="426">
        <v>-160575</v>
      </c>
      <c r="FH25" s="426">
        <v>74.47</v>
      </c>
      <c r="FI25" s="426"/>
      <c r="FJ25" s="426"/>
      <c r="FK25" s="426"/>
      <c r="FL25" s="426"/>
      <c r="FM25" s="426">
        <v>-7161.25</v>
      </c>
      <c r="FN25" s="426">
        <v>-25641</v>
      </c>
      <c r="FO25" s="426">
        <v>-16881</v>
      </c>
      <c r="FP25" s="426"/>
      <c r="FQ25" s="426">
        <v>-313818.96000000002</v>
      </c>
      <c r="FR25" s="426"/>
      <c r="FS25" s="426">
        <v>-6816.57</v>
      </c>
      <c r="FT25" s="426"/>
      <c r="FU25" s="426"/>
      <c r="FV25" s="426">
        <v>-166077</v>
      </c>
      <c r="FW25" s="426">
        <v>5785.79</v>
      </c>
      <c r="FX25" s="426">
        <v>857.05</v>
      </c>
      <c r="FY25" s="426"/>
      <c r="FZ25" s="426"/>
      <c r="GA25" s="426">
        <v>-15467</v>
      </c>
      <c r="GB25" s="426">
        <v>-32177</v>
      </c>
      <c r="GC25" s="426">
        <v>220</v>
      </c>
      <c r="GD25" s="426"/>
      <c r="GE25" s="426">
        <v>3421.72</v>
      </c>
      <c r="GF25" s="426">
        <v>682.83</v>
      </c>
      <c r="GG25" s="426">
        <v>507</v>
      </c>
      <c r="GH25" s="426">
        <v>73826.44</v>
      </c>
      <c r="GI25" s="426">
        <v>36</v>
      </c>
      <c r="GJ25" s="426">
        <v>6142.6200000000044</v>
      </c>
      <c r="GK25" s="426">
        <v>-289</v>
      </c>
      <c r="GL25" s="426">
        <v>2969.46</v>
      </c>
      <c r="GM25" s="426">
        <v>3988.66</v>
      </c>
      <c r="GN25" s="426">
        <v>2950.5</v>
      </c>
      <c r="GO25" s="426">
        <v>560</v>
      </c>
      <c r="GP25" s="426">
        <v>1289.1099999999999</v>
      </c>
      <c r="GQ25" s="426">
        <v>4244.79</v>
      </c>
      <c r="GR25" s="426"/>
      <c r="GS25" s="426"/>
      <c r="GT25" s="426"/>
      <c r="GU25" s="426"/>
      <c r="GV25" s="426"/>
      <c r="GW25" s="426"/>
      <c r="GX25" s="426"/>
      <c r="GY25" s="426"/>
      <c r="GZ25" s="426"/>
      <c r="HA25" s="426">
        <v>-6778.91</v>
      </c>
      <c r="HB25" s="426">
        <v>-6542</v>
      </c>
      <c r="HC25" s="426"/>
      <c r="HD25" s="426"/>
      <c r="HE25" s="426">
        <v>-1783.99</v>
      </c>
      <c r="HF25" s="426"/>
      <c r="HG25" s="426">
        <v>-6147.24</v>
      </c>
      <c r="HH25" s="426"/>
      <c r="HI25" s="426"/>
      <c r="HJ25" s="426"/>
      <c r="HK25" s="426"/>
      <c r="HL25" s="426"/>
      <c r="HM25" s="426">
        <v>-4112.87</v>
      </c>
      <c r="HN25" s="426"/>
      <c r="HP25" s="142">
        <v>-14760.23</v>
      </c>
    </row>
    <row r="26" spans="1:224">
      <c r="A26" s="116">
        <v>107887</v>
      </c>
      <c r="B26" s="304"/>
      <c r="C26" s="304"/>
      <c r="D26" s="304"/>
      <c r="E26" s="304"/>
      <c r="F26" s="304"/>
      <c r="G26" s="304">
        <v>591489.28999999992</v>
      </c>
      <c r="H26" s="304">
        <v>18478.960000000003</v>
      </c>
      <c r="I26" s="304">
        <v>7640.46</v>
      </c>
      <c r="J26" s="304">
        <v>175673.03000000003</v>
      </c>
      <c r="K26" s="304">
        <v>80482.98000000001</v>
      </c>
      <c r="L26" s="304">
        <v>146.19999999999999</v>
      </c>
      <c r="M26" s="304"/>
      <c r="N26" s="304">
        <v>41.93</v>
      </c>
      <c r="O26" s="304">
        <v>18.66</v>
      </c>
      <c r="P26" s="304"/>
      <c r="Q26" s="304"/>
      <c r="R26" s="304"/>
      <c r="S26" s="304"/>
      <c r="T26" s="304"/>
      <c r="U26" s="304"/>
      <c r="V26" s="304"/>
      <c r="W26" s="304">
        <v>22508.670000000006</v>
      </c>
      <c r="X26" s="304"/>
      <c r="Y26" s="304"/>
      <c r="Z26" s="304">
        <v>3743.29</v>
      </c>
      <c r="AA26" s="304">
        <v>2726.8299999999995</v>
      </c>
      <c r="AB26" s="304">
        <v>5729.6400000000021</v>
      </c>
      <c r="AC26" s="304"/>
      <c r="AD26" s="304"/>
      <c r="AE26" s="304">
        <v>1512.5999999999997</v>
      </c>
      <c r="AF26" s="304">
        <v>729.9799999999999</v>
      </c>
      <c r="AG26" s="304"/>
      <c r="AH26" s="304"/>
      <c r="AI26" s="304"/>
      <c r="AJ26" s="304"/>
      <c r="AK26" s="304"/>
      <c r="AL26" s="304">
        <v>175825.03</v>
      </c>
      <c r="AM26" s="304">
        <v>4900.1000000000004</v>
      </c>
      <c r="AN26" s="304"/>
      <c r="AO26" s="304">
        <v>49257.159999999996</v>
      </c>
      <c r="AP26" s="304">
        <v>18766.229999999996</v>
      </c>
      <c r="AQ26" s="304">
        <v>43487.070000000014</v>
      </c>
      <c r="AR26" s="304">
        <v>2745.6299999999997</v>
      </c>
      <c r="AS26" s="304">
        <v>34.54</v>
      </c>
      <c r="AT26" s="304">
        <v>12214.359999999999</v>
      </c>
      <c r="AU26" s="304">
        <v>4136.66</v>
      </c>
      <c r="AV26" s="304"/>
      <c r="AW26" s="304"/>
      <c r="AX26" s="304"/>
      <c r="AY26" s="304"/>
      <c r="AZ26" s="304">
        <v>80391.199999999997</v>
      </c>
      <c r="BA26" s="304">
        <v>234.07</v>
      </c>
      <c r="BB26" s="304"/>
      <c r="BC26" s="304"/>
      <c r="BD26" s="304">
        <v>17453.560000000001</v>
      </c>
      <c r="BE26" s="304">
        <v>8406.15</v>
      </c>
      <c r="BF26" s="304"/>
      <c r="BG26" s="304"/>
      <c r="BH26" s="304"/>
      <c r="BI26" s="304"/>
      <c r="BJ26" s="304"/>
      <c r="BK26" s="304">
        <v>6577.38</v>
      </c>
      <c r="BL26" s="304"/>
      <c r="BM26" s="304">
        <v>266.58999999999997</v>
      </c>
      <c r="BN26" s="304">
        <v>1806.7599999999998</v>
      </c>
      <c r="BO26" s="304">
        <v>667.88</v>
      </c>
      <c r="BP26" s="304">
        <v>34413.03</v>
      </c>
      <c r="BQ26" s="304">
        <v>18</v>
      </c>
      <c r="BR26" s="304"/>
      <c r="BS26" s="304">
        <v>9089.6299999999992</v>
      </c>
      <c r="BT26" s="304">
        <v>3154.7000000000003</v>
      </c>
      <c r="BU26" s="304"/>
      <c r="BV26" s="304"/>
      <c r="BW26" s="304"/>
      <c r="BX26" s="304"/>
      <c r="BY26" s="304"/>
      <c r="BZ26" s="304"/>
      <c r="CA26" s="304"/>
      <c r="CB26" s="304"/>
      <c r="CC26" s="304"/>
      <c r="CD26" s="304">
        <v>48</v>
      </c>
      <c r="CE26" s="304"/>
      <c r="CF26" s="304">
        <v>10296.27</v>
      </c>
      <c r="CG26" s="304"/>
      <c r="CH26" s="304"/>
      <c r="CI26" s="304"/>
      <c r="CJ26" s="304">
        <v>27706.14</v>
      </c>
      <c r="CK26" s="304">
        <v>22796.850000000002</v>
      </c>
      <c r="CL26" s="304"/>
      <c r="CM26" s="304">
        <v>-1000</v>
      </c>
      <c r="CN26" s="304"/>
      <c r="CO26" s="304"/>
      <c r="CP26" s="304"/>
      <c r="CQ26" s="304"/>
      <c r="CR26" s="304">
        <v>69810</v>
      </c>
      <c r="CS26" s="304"/>
      <c r="CT26" s="304">
        <v>9706.4499999999989</v>
      </c>
      <c r="CU26" s="304">
        <v>5881.89</v>
      </c>
      <c r="CV26" s="304"/>
      <c r="CW26" s="304"/>
      <c r="CX26" s="304"/>
      <c r="CY26" s="304"/>
      <c r="CZ26" s="304">
        <v>15593.75</v>
      </c>
      <c r="DA26" s="304">
        <v>1975.75</v>
      </c>
      <c r="DB26" s="304">
        <v>133.32999999999998</v>
      </c>
      <c r="DC26" s="304">
        <v>5061.7499999999991</v>
      </c>
      <c r="DD26" s="304">
        <v>315.38000000000005</v>
      </c>
      <c r="DE26" s="304"/>
      <c r="DF26" s="304"/>
      <c r="DG26" s="304"/>
      <c r="DH26" s="304"/>
      <c r="DI26" s="304"/>
      <c r="DJ26" s="304">
        <v>2130</v>
      </c>
      <c r="DK26" s="304"/>
      <c r="DL26" s="304">
        <v>186.55</v>
      </c>
      <c r="DM26" s="304"/>
      <c r="DN26" s="304">
        <v>1684</v>
      </c>
      <c r="DO26" s="304">
        <v>384.44000000000005</v>
      </c>
      <c r="DP26" s="304"/>
      <c r="DQ26" s="304">
        <v>0</v>
      </c>
      <c r="DR26" s="304"/>
      <c r="DS26" s="304">
        <v>0</v>
      </c>
      <c r="DT26" s="304"/>
      <c r="DU26" s="304">
        <v>4970</v>
      </c>
      <c r="DV26" s="304">
        <v>49079.470000000008</v>
      </c>
      <c r="DW26" s="304">
        <v>73.52</v>
      </c>
      <c r="DX26" s="304"/>
      <c r="DY26" s="304">
        <v>1006.1699999999998</v>
      </c>
      <c r="DZ26" s="304">
        <v>2984.75</v>
      </c>
      <c r="EA26" s="304">
        <v>10427.950000000001</v>
      </c>
      <c r="EB26" s="304">
        <v>18784.5</v>
      </c>
      <c r="EC26" s="304"/>
      <c r="ED26" s="304">
        <v>168.07999999999998</v>
      </c>
      <c r="EE26" s="304">
        <v>2552.2300000000005</v>
      </c>
      <c r="EF26" s="426"/>
      <c r="EG26" s="304">
        <v>1426.0900000000001</v>
      </c>
      <c r="EH26" s="304"/>
      <c r="EI26" s="426"/>
      <c r="EJ26" s="304">
        <v>5370.12</v>
      </c>
      <c r="EK26" s="304">
        <v>455.58</v>
      </c>
      <c r="EL26" s="304">
        <v>14684.04</v>
      </c>
      <c r="EM26" s="304">
        <v>967.66</v>
      </c>
      <c r="EN26" s="304"/>
      <c r="EO26" s="304"/>
      <c r="EP26" s="304"/>
      <c r="EQ26" s="304"/>
      <c r="ER26" s="304"/>
      <c r="ES26" s="304"/>
      <c r="ET26" s="304"/>
      <c r="EU26" s="304"/>
      <c r="EV26" s="304">
        <v>6978.51</v>
      </c>
      <c r="EW26" s="304">
        <v>4993.8500000000004</v>
      </c>
      <c r="EX26" s="304">
        <v>35341.969999999987</v>
      </c>
      <c r="EY26" s="304">
        <v>9703.7199999999993</v>
      </c>
      <c r="EZ26" s="304">
        <v>6479.5</v>
      </c>
      <c r="FA26" s="304">
        <v>3998.3399999999992</v>
      </c>
      <c r="FB26" s="304">
        <v>37.089999999999996</v>
      </c>
      <c r="FC26" s="304">
        <v>-1207705.8600000001</v>
      </c>
      <c r="FD26" s="304"/>
      <c r="FE26" s="304">
        <v>-2400</v>
      </c>
      <c r="FF26" s="304">
        <v>-52689.04</v>
      </c>
      <c r="FG26" s="304">
        <v>-63630</v>
      </c>
      <c r="FH26" s="304"/>
      <c r="FI26" s="304">
        <v>-25078.6</v>
      </c>
      <c r="FJ26" s="304"/>
      <c r="FK26" s="304"/>
      <c r="FL26" s="304">
        <v>-101344.42</v>
      </c>
      <c r="FM26" s="304">
        <v>-6328.75</v>
      </c>
      <c r="FN26" s="304">
        <v>-34422</v>
      </c>
      <c r="FO26" s="304">
        <v>-16284</v>
      </c>
      <c r="FP26" s="304"/>
      <c r="FQ26" s="304">
        <v>-110200.82</v>
      </c>
      <c r="FR26" s="304"/>
      <c r="FS26" s="304">
        <v>-15497.19</v>
      </c>
      <c r="FT26" s="304"/>
      <c r="FU26" s="304">
        <v>-66377.899999999994</v>
      </c>
      <c r="FV26" s="304">
        <v>-216140</v>
      </c>
      <c r="FW26" s="304">
        <v>4303.3099999999995</v>
      </c>
      <c r="FX26" s="304">
        <v>637.45000000000005</v>
      </c>
      <c r="FY26" s="304"/>
      <c r="FZ26" s="304">
        <v>-19733.46</v>
      </c>
      <c r="GA26" s="304">
        <v>-10672</v>
      </c>
      <c r="GB26" s="304">
        <v>-21995</v>
      </c>
      <c r="GC26" s="304">
        <v>1152</v>
      </c>
      <c r="GD26" s="304"/>
      <c r="GE26" s="304">
        <v>3239.32</v>
      </c>
      <c r="GF26" s="304">
        <v>2042.5500000000004</v>
      </c>
      <c r="GG26" s="304">
        <v>507</v>
      </c>
      <c r="GH26" s="304">
        <v>33053.54</v>
      </c>
      <c r="GI26" s="304"/>
      <c r="GJ26" s="304">
        <v>9128.0200000000041</v>
      </c>
      <c r="GK26" s="304">
        <v>261</v>
      </c>
      <c r="GL26" s="304">
        <v>4274.9799999999996</v>
      </c>
      <c r="GM26" s="304">
        <v>3188.2599999999998</v>
      </c>
      <c r="GN26" s="304">
        <v>2194.5</v>
      </c>
      <c r="GO26" s="304">
        <v>560</v>
      </c>
      <c r="GP26" s="304">
        <v>1103.98</v>
      </c>
      <c r="GQ26" s="304">
        <v>1934.6099999999997</v>
      </c>
      <c r="GR26" s="304">
        <v>140</v>
      </c>
      <c r="GS26" s="304"/>
      <c r="GT26" s="304"/>
      <c r="GU26" s="304"/>
      <c r="GV26" s="304"/>
      <c r="GW26" s="304"/>
      <c r="GX26" s="304">
        <v>-350</v>
      </c>
      <c r="GY26" s="304"/>
      <c r="GZ26" s="304"/>
      <c r="HA26" s="304">
        <v>-20802.060000000005</v>
      </c>
      <c r="HB26" s="304">
        <v>-7453.88</v>
      </c>
      <c r="HC26" s="304"/>
      <c r="HD26" s="304"/>
      <c r="HE26" s="304">
        <v>-770.16</v>
      </c>
      <c r="HF26" s="304"/>
      <c r="HG26" s="304">
        <v>-10539.66</v>
      </c>
      <c r="HH26" s="304">
        <v>-3655</v>
      </c>
      <c r="HI26" s="304">
        <v>-1080.4000000000001</v>
      </c>
      <c r="HJ26" s="304">
        <v>-33623.869999999995</v>
      </c>
      <c r="HK26" s="304"/>
      <c r="HL26" s="304"/>
      <c r="HM26" s="304">
        <v>-5420.3899999999994</v>
      </c>
      <c r="HN26" s="304">
        <v>-6227.9900000000007</v>
      </c>
      <c r="HP26">
        <v>-10124.14</v>
      </c>
    </row>
    <row r="27" spans="1:224">
      <c r="A27" s="116">
        <v>107888</v>
      </c>
      <c r="B27" s="304"/>
      <c r="C27" s="304"/>
      <c r="D27" s="304"/>
      <c r="E27" s="304"/>
      <c r="F27" s="304"/>
      <c r="G27" s="304">
        <v>493120.91000000009</v>
      </c>
      <c r="H27" s="304">
        <v>39755.599999999999</v>
      </c>
      <c r="I27" s="304">
        <v>95589.52</v>
      </c>
      <c r="J27" s="304">
        <v>152460.32</v>
      </c>
      <c r="K27" s="304">
        <v>72381.11</v>
      </c>
      <c r="L27" s="304">
        <v>16655.629999999997</v>
      </c>
      <c r="M27" s="304"/>
      <c r="N27" s="304">
        <v>4644.3999999999996</v>
      </c>
      <c r="O27" s="304">
        <v>2132.0500000000002</v>
      </c>
      <c r="P27" s="304"/>
      <c r="Q27" s="304"/>
      <c r="R27" s="304"/>
      <c r="S27" s="304"/>
      <c r="T27" s="304"/>
      <c r="U27" s="304"/>
      <c r="V27" s="304"/>
      <c r="W27" s="304"/>
      <c r="X27" s="304"/>
      <c r="Y27" s="304"/>
      <c r="Z27" s="304"/>
      <c r="AA27" s="304"/>
      <c r="AB27" s="304">
        <v>7165.3700000000008</v>
      </c>
      <c r="AC27" s="304">
        <v>1319.28</v>
      </c>
      <c r="AD27" s="304">
        <v>192.79</v>
      </c>
      <c r="AE27" s="304">
        <v>815.9899999999999</v>
      </c>
      <c r="AF27" s="304">
        <v>924.79999999999973</v>
      </c>
      <c r="AG27" s="304"/>
      <c r="AH27" s="304"/>
      <c r="AI27" s="304"/>
      <c r="AJ27" s="304"/>
      <c r="AK27" s="304"/>
      <c r="AL27" s="304">
        <v>230491.86</v>
      </c>
      <c r="AM27" s="304">
        <v>6249.02</v>
      </c>
      <c r="AN27" s="304">
        <v>17670.949999999997</v>
      </c>
      <c r="AO27" s="304">
        <v>58912.78</v>
      </c>
      <c r="AP27" s="304">
        <v>28700.029999999995</v>
      </c>
      <c r="AQ27" s="304"/>
      <c r="AR27" s="304"/>
      <c r="AS27" s="304"/>
      <c r="AT27" s="304"/>
      <c r="AU27" s="304"/>
      <c r="AV27" s="304"/>
      <c r="AW27" s="304"/>
      <c r="AX27" s="304"/>
      <c r="AY27" s="304"/>
      <c r="AZ27" s="304">
        <v>45848.23000000001</v>
      </c>
      <c r="BA27" s="304">
        <v>164.5</v>
      </c>
      <c r="BB27" s="304">
        <v>6853.4600000000009</v>
      </c>
      <c r="BC27" s="304"/>
      <c r="BD27" s="304">
        <v>13956.49</v>
      </c>
      <c r="BE27" s="304">
        <v>6429.17</v>
      </c>
      <c r="BF27" s="304"/>
      <c r="BG27" s="304"/>
      <c r="BH27" s="304"/>
      <c r="BI27" s="304"/>
      <c r="BJ27" s="304"/>
      <c r="BK27" s="304">
        <v>37458.560000000012</v>
      </c>
      <c r="BL27" s="304">
        <v>397.32</v>
      </c>
      <c r="BM27" s="304">
        <v>269.89999999999998</v>
      </c>
      <c r="BN27" s="304">
        <v>10065.07</v>
      </c>
      <c r="BO27" s="304">
        <v>4427.66</v>
      </c>
      <c r="BP27" s="304">
        <v>35716.35</v>
      </c>
      <c r="BQ27" s="304">
        <v>8574.2000000000007</v>
      </c>
      <c r="BR27" s="304"/>
      <c r="BS27" s="304">
        <v>11372.970000000001</v>
      </c>
      <c r="BT27" s="304">
        <v>4482.01</v>
      </c>
      <c r="BU27" s="304"/>
      <c r="BV27" s="304"/>
      <c r="BW27" s="304"/>
      <c r="BX27" s="304"/>
      <c r="BY27" s="304"/>
      <c r="BZ27" s="304"/>
      <c r="CA27" s="304"/>
      <c r="CB27" s="304"/>
      <c r="CC27" s="304"/>
      <c r="CD27" s="304"/>
      <c r="CE27" s="304"/>
      <c r="CF27" s="304">
        <v>3020</v>
      </c>
      <c r="CG27" s="304"/>
      <c r="CH27" s="304"/>
      <c r="CI27" s="304"/>
      <c r="CJ27" s="304"/>
      <c r="CK27" s="304">
        <v>15347.330000000004</v>
      </c>
      <c r="CL27" s="304"/>
      <c r="CM27" s="304"/>
      <c r="CN27" s="304"/>
      <c r="CO27" s="304"/>
      <c r="CP27" s="304"/>
      <c r="CQ27" s="304"/>
      <c r="CR27" s="304"/>
      <c r="CS27" s="304"/>
      <c r="CT27" s="304">
        <v>24879.660000000003</v>
      </c>
      <c r="CU27" s="304">
        <v>15405.060000000001</v>
      </c>
      <c r="CV27" s="304"/>
      <c r="CW27" s="304"/>
      <c r="CX27" s="304">
        <v>708.78</v>
      </c>
      <c r="CY27" s="304"/>
      <c r="CZ27" s="304">
        <v>18503.5</v>
      </c>
      <c r="DA27" s="304">
        <v>6824.0000000000018</v>
      </c>
      <c r="DB27" s="304"/>
      <c r="DC27" s="304">
        <v>5284.1500000000005</v>
      </c>
      <c r="DD27" s="304">
        <v>1469.77</v>
      </c>
      <c r="DE27" s="304"/>
      <c r="DF27" s="304"/>
      <c r="DG27" s="304"/>
      <c r="DH27" s="304"/>
      <c r="DI27" s="304">
        <v>-225</v>
      </c>
      <c r="DJ27" s="304"/>
      <c r="DK27" s="304"/>
      <c r="DL27" s="304">
        <v>59.94</v>
      </c>
      <c r="DM27" s="304"/>
      <c r="DN27" s="304"/>
      <c r="DO27" s="304"/>
      <c r="DP27" s="304"/>
      <c r="DQ27" s="304"/>
      <c r="DR27" s="304"/>
      <c r="DS27" s="304"/>
      <c r="DT27" s="304"/>
      <c r="DU27" s="304">
        <v>4771</v>
      </c>
      <c r="DV27" s="304">
        <v>34145.040000000023</v>
      </c>
      <c r="DW27" s="304">
        <v>925.37</v>
      </c>
      <c r="DX27" s="304"/>
      <c r="DY27" s="304">
        <v>1747.2000000000003</v>
      </c>
      <c r="DZ27" s="304">
        <v>7936.01</v>
      </c>
      <c r="EA27" s="304">
        <v>300</v>
      </c>
      <c r="EB27" s="304">
        <v>43050</v>
      </c>
      <c r="EC27" s="304"/>
      <c r="ED27" s="304">
        <v>257.34999999999997</v>
      </c>
      <c r="EE27" s="304">
        <v>1284.27</v>
      </c>
      <c r="EF27" s="426">
        <v>0</v>
      </c>
      <c r="EG27" s="304">
        <v>2579</v>
      </c>
      <c r="EH27" s="304"/>
      <c r="EI27" s="426"/>
      <c r="EJ27" s="304">
        <v>693.75</v>
      </c>
      <c r="EK27" s="304">
        <v>786.25</v>
      </c>
      <c r="EL27" s="304">
        <v>439</v>
      </c>
      <c r="EM27" s="304">
        <v>9592.6600000000017</v>
      </c>
      <c r="EN27" s="304">
        <v>3172</v>
      </c>
      <c r="EO27" s="304"/>
      <c r="EP27" s="304"/>
      <c r="EQ27" s="304"/>
      <c r="ER27" s="304"/>
      <c r="ES27" s="304"/>
      <c r="ET27" s="304"/>
      <c r="EU27" s="304"/>
      <c r="EV27" s="304">
        <v>6143.76</v>
      </c>
      <c r="EW27" s="304">
        <v>15035.22</v>
      </c>
      <c r="EX27" s="304">
        <v>34914.129999999983</v>
      </c>
      <c r="EY27" s="304">
        <v>19424.120000000003</v>
      </c>
      <c r="EZ27" s="304"/>
      <c r="FA27" s="304"/>
      <c r="FB27" s="304"/>
      <c r="FC27" s="304">
        <v>-1227437.3400000001</v>
      </c>
      <c r="FD27" s="304"/>
      <c r="FE27" s="304">
        <v>-1780</v>
      </c>
      <c r="FF27" s="304"/>
      <c r="FG27" s="304">
        <v>-142190</v>
      </c>
      <c r="FH27" s="304"/>
      <c r="FI27" s="304"/>
      <c r="FJ27" s="304"/>
      <c r="FK27" s="304"/>
      <c r="FL27" s="304"/>
      <c r="FM27" s="304">
        <v>-6036.25</v>
      </c>
      <c r="FN27" s="304">
        <v>-23252</v>
      </c>
      <c r="FO27" s="304">
        <v>-16122</v>
      </c>
      <c r="FP27" s="304"/>
      <c r="FQ27" s="304">
        <v>-167274.29</v>
      </c>
      <c r="FR27" s="304"/>
      <c r="FS27" s="304">
        <v>-6137.08</v>
      </c>
      <c r="FT27" s="304"/>
      <c r="FU27" s="304"/>
      <c r="FV27" s="304">
        <v>-170909</v>
      </c>
      <c r="FW27" s="304">
        <v>3788.56</v>
      </c>
      <c r="FX27" s="304">
        <v>561.20000000000005</v>
      </c>
      <c r="FY27" s="304"/>
      <c r="FZ27" s="304">
        <v>-3809.93</v>
      </c>
      <c r="GA27" s="304">
        <v>-11291</v>
      </c>
      <c r="GB27" s="304">
        <v>-23354</v>
      </c>
      <c r="GC27" s="304">
        <v>1035</v>
      </c>
      <c r="GD27" s="304"/>
      <c r="GE27" s="304">
        <v>3169.4</v>
      </c>
      <c r="GF27" s="304">
        <v>8159.9000000000015</v>
      </c>
      <c r="GG27" s="304"/>
      <c r="GH27" s="304"/>
      <c r="GI27" s="304"/>
      <c r="GJ27" s="304">
        <v>8455.19</v>
      </c>
      <c r="GK27" s="304">
        <v>261</v>
      </c>
      <c r="GL27" s="304">
        <v>3472.48</v>
      </c>
      <c r="GM27" s="304">
        <v>2848.09</v>
      </c>
      <c r="GN27" s="304">
        <v>1932</v>
      </c>
      <c r="GO27" s="304">
        <v>560</v>
      </c>
      <c r="GP27" s="304">
        <v>1065.04</v>
      </c>
      <c r="GQ27" s="304">
        <v>2985.6299999999992</v>
      </c>
      <c r="GR27" s="304"/>
      <c r="GS27" s="304"/>
      <c r="GT27" s="304"/>
      <c r="GU27" s="304"/>
      <c r="GV27" s="304"/>
      <c r="GW27" s="304"/>
      <c r="GX27" s="304"/>
      <c r="GY27" s="304"/>
      <c r="GZ27" s="304"/>
      <c r="HA27" s="304">
        <v>-100</v>
      </c>
      <c r="HB27" s="304">
        <v>-5357.9800000000005</v>
      </c>
      <c r="HC27" s="304"/>
      <c r="HD27" s="304"/>
      <c r="HE27" s="304"/>
      <c r="HF27" s="304"/>
      <c r="HG27" s="304">
        <v>-14185.560000000001</v>
      </c>
      <c r="HH27" s="304"/>
      <c r="HI27" s="304"/>
      <c r="HJ27" s="304">
        <v>-27.13</v>
      </c>
      <c r="HK27" s="304"/>
      <c r="HL27" s="304"/>
      <c r="HM27" s="304">
        <v>-12253.660000000002</v>
      </c>
      <c r="HN27" s="304"/>
      <c r="HP27">
        <v>-8373.48</v>
      </c>
    </row>
    <row r="28" spans="1:224" s="142" customFormat="1">
      <c r="A28" s="425">
        <v>107890</v>
      </c>
      <c r="B28" s="426">
        <v>1707.4199999999998</v>
      </c>
      <c r="C28" s="426">
        <v>47.25</v>
      </c>
      <c r="D28" s="426">
        <v>81.53</v>
      </c>
      <c r="E28" s="426">
        <v>484.71999999999991</v>
      </c>
      <c r="F28" s="426">
        <v>181.54</v>
      </c>
      <c r="G28" s="426">
        <v>487375.72</v>
      </c>
      <c r="H28" s="426">
        <v>7879.8000000000011</v>
      </c>
      <c r="I28" s="426">
        <v>9846.32</v>
      </c>
      <c r="J28" s="426">
        <v>142039.28000000003</v>
      </c>
      <c r="K28" s="426">
        <v>66191.98</v>
      </c>
      <c r="L28" s="426">
        <v>4562.0899999999992</v>
      </c>
      <c r="M28" s="426"/>
      <c r="N28" s="426">
        <v>1308.4199999999998</v>
      </c>
      <c r="O28" s="426">
        <v>333.43</v>
      </c>
      <c r="P28" s="426"/>
      <c r="Q28" s="426"/>
      <c r="R28" s="426"/>
      <c r="S28" s="426"/>
      <c r="T28" s="426"/>
      <c r="U28" s="426"/>
      <c r="V28" s="426"/>
      <c r="W28" s="426">
        <v>20186.359999999997</v>
      </c>
      <c r="X28" s="426">
        <v>54.19</v>
      </c>
      <c r="Y28" s="426">
        <v>1454.5500000000002</v>
      </c>
      <c r="Z28" s="426">
        <v>3153.49</v>
      </c>
      <c r="AA28" s="426">
        <v>2383.0899999999997</v>
      </c>
      <c r="AB28" s="426">
        <v>23843.72</v>
      </c>
      <c r="AC28" s="426">
        <v>712.83999999999992</v>
      </c>
      <c r="AD28" s="426">
        <v>177.76000000000002</v>
      </c>
      <c r="AE28" s="426">
        <v>4416.53</v>
      </c>
      <c r="AF28" s="426">
        <v>1856.6200000000003</v>
      </c>
      <c r="AG28" s="426"/>
      <c r="AH28" s="426"/>
      <c r="AI28" s="426"/>
      <c r="AJ28" s="426"/>
      <c r="AK28" s="426"/>
      <c r="AL28" s="426">
        <v>208230.49</v>
      </c>
      <c r="AM28" s="426">
        <v>2643.87</v>
      </c>
      <c r="AN28" s="426">
        <v>14.82</v>
      </c>
      <c r="AO28" s="426">
        <v>53729.55999999999</v>
      </c>
      <c r="AP28" s="426">
        <v>23625.840000000004</v>
      </c>
      <c r="AQ28" s="426"/>
      <c r="AR28" s="426"/>
      <c r="AS28" s="426"/>
      <c r="AT28" s="426"/>
      <c r="AU28" s="426"/>
      <c r="AV28" s="426"/>
      <c r="AW28" s="426"/>
      <c r="AX28" s="426"/>
      <c r="AY28" s="426"/>
      <c r="AZ28" s="426">
        <v>33811.950000000004</v>
      </c>
      <c r="BA28" s="426">
        <v>152.14000000000001</v>
      </c>
      <c r="BB28" s="426">
        <v>1935.3700000000003</v>
      </c>
      <c r="BC28" s="426"/>
      <c r="BD28" s="426">
        <v>12504.77</v>
      </c>
      <c r="BE28" s="426">
        <v>4352.24</v>
      </c>
      <c r="BF28" s="426">
        <v>10423.499999999998</v>
      </c>
      <c r="BG28" s="426">
        <v>1220.79</v>
      </c>
      <c r="BH28" s="426"/>
      <c r="BI28" s="426">
        <v>3074.05</v>
      </c>
      <c r="BJ28" s="426">
        <v>1194.93</v>
      </c>
      <c r="BK28" s="426"/>
      <c r="BL28" s="426"/>
      <c r="BM28" s="426"/>
      <c r="BN28" s="426"/>
      <c r="BO28" s="426"/>
      <c r="BP28" s="426">
        <v>15421.590000000004</v>
      </c>
      <c r="BQ28" s="426">
        <v>192.41</v>
      </c>
      <c r="BR28" s="426">
        <v>37.96</v>
      </c>
      <c r="BS28" s="426">
        <v>4132.08</v>
      </c>
      <c r="BT28" s="426">
        <v>846.57</v>
      </c>
      <c r="BU28" s="426"/>
      <c r="BV28" s="426"/>
      <c r="BW28" s="426"/>
      <c r="BX28" s="426"/>
      <c r="BY28" s="426"/>
      <c r="BZ28" s="426"/>
      <c r="CA28" s="426"/>
      <c r="CB28" s="426"/>
      <c r="CC28" s="426"/>
      <c r="CD28" s="426"/>
      <c r="CE28" s="426"/>
      <c r="CF28" s="426">
        <v>6685.3899999999994</v>
      </c>
      <c r="CG28" s="426"/>
      <c r="CH28" s="426"/>
      <c r="CI28" s="426"/>
      <c r="CJ28" s="426">
        <v>7290</v>
      </c>
      <c r="CK28" s="426">
        <v>14222.540000000003</v>
      </c>
      <c r="CL28" s="426"/>
      <c r="CM28" s="426"/>
      <c r="CN28" s="426"/>
      <c r="CO28" s="426"/>
      <c r="CP28" s="426"/>
      <c r="CQ28" s="426"/>
      <c r="CR28" s="426"/>
      <c r="CS28" s="426">
        <v>2122.5100000000002</v>
      </c>
      <c r="CT28" s="426">
        <v>7939.3499999999995</v>
      </c>
      <c r="CU28" s="426">
        <v>6510.05</v>
      </c>
      <c r="CV28" s="426"/>
      <c r="CW28" s="426"/>
      <c r="CX28" s="426"/>
      <c r="CY28" s="426"/>
      <c r="CZ28" s="426">
        <v>16467</v>
      </c>
      <c r="DA28" s="426">
        <v>3939.3900000000008</v>
      </c>
      <c r="DB28" s="426"/>
      <c r="DC28" s="426">
        <v>5323.7099999999991</v>
      </c>
      <c r="DD28" s="426"/>
      <c r="DE28" s="426"/>
      <c r="DF28" s="426"/>
      <c r="DG28" s="426"/>
      <c r="DH28" s="426"/>
      <c r="DI28" s="426"/>
      <c r="DJ28" s="426"/>
      <c r="DK28" s="426"/>
      <c r="DL28" s="426">
        <v>316.2</v>
      </c>
      <c r="DM28" s="426"/>
      <c r="DN28" s="426">
        <v>2600.5499999999997</v>
      </c>
      <c r="DO28" s="426"/>
      <c r="DP28" s="426"/>
      <c r="DQ28" s="426"/>
      <c r="DR28" s="426">
        <v>4987.4699999999993</v>
      </c>
      <c r="DS28" s="426"/>
      <c r="DT28" s="426">
        <v>39.97</v>
      </c>
      <c r="DU28" s="426">
        <v>4130</v>
      </c>
      <c r="DV28" s="426">
        <v>12412.76</v>
      </c>
      <c r="DW28" s="426">
        <v>62.519999999999996</v>
      </c>
      <c r="DX28" s="426"/>
      <c r="DY28" s="426">
        <v>4476.5200000000004</v>
      </c>
      <c r="DZ28" s="426"/>
      <c r="EA28" s="426">
        <v>18345.3</v>
      </c>
      <c r="EB28" s="426">
        <v>24651.440000000002</v>
      </c>
      <c r="EC28" s="426"/>
      <c r="ED28" s="426">
        <v>6.1899999999999995</v>
      </c>
      <c r="EE28" s="304">
        <v>2181.7300000000005</v>
      </c>
      <c r="EF28" s="426"/>
      <c r="EG28" s="304">
        <v>3898</v>
      </c>
      <c r="EH28" s="304">
        <v>640</v>
      </c>
      <c r="EI28" s="426">
        <v>9.48</v>
      </c>
      <c r="EJ28" s="426">
        <v>48.15</v>
      </c>
      <c r="EK28" s="426">
        <v>12966.66</v>
      </c>
      <c r="EL28" s="426">
        <v>78.31</v>
      </c>
      <c r="EM28" s="426"/>
      <c r="EN28" s="426"/>
      <c r="EO28" s="426"/>
      <c r="EP28" s="426"/>
      <c r="EQ28" s="426"/>
      <c r="ER28" s="426"/>
      <c r="ES28" s="426">
        <v>5508</v>
      </c>
      <c r="ET28" s="426"/>
      <c r="EU28" s="426"/>
      <c r="EV28" s="426"/>
      <c r="EW28" s="426"/>
      <c r="EX28" s="426">
        <v>2013.51</v>
      </c>
      <c r="EY28" s="426">
        <v>22143.07</v>
      </c>
      <c r="EZ28" s="426"/>
      <c r="FA28" s="426"/>
      <c r="FB28" s="426"/>
      <c r="FC28" s="426">
        <v>-1124269.1499999999</v>
      </c>
      <c r="FD28" s="426"/>
      <c r="FE28" s="426"/>
      <c r="FF28" s="426">
        <v>-580</v>
      </c>
      <c r="FG28" s="426">
        <v>-61315</v>
      </c>
      <c r="FH28" s="426"/>
      <c r="FI28" s="426"/>
      <c r="FJ28" s="426"/>
      <c r="FK28" s="426"/>
      <c r="FL28" s="426"/>
      <c r="FM28" s="426">
        <v>-6266.88</v>
      </c>
      <c r="FN28" s="426">
        <v>-31301</v>
      </c>
      <c r="FO28" s="426">
        <v>-16283</v>
      </c>
      <c r="FP28" s="426"/>
      <c r="FQ28" s="426"/>
      <c r="FR28" s="426">
        <v>207120.02</v>
      </c>
      <c r="FS28" s="426">
        <v>-869.73</v>
      </c>
      <c r="FT28" s="426"/>
      <c r="FU28" s="426"/>
      <c r="FV28" s="426">
        <v>-79760.5</v>
      </c>
      <c r="FW28" s="426">
        <v>4200.3599999999997</v>
      </c>
      <c r="FX28" s="426">
        <v>622.20000000000005</v>
      </c>
      <c r="FY28" s="426"/>
      <c r="FZ28" s="426">
        <v>-33681.599999999999</v>
      </c>
      <c r="GA28" s="426">
        <v>-10345</v>
      </c>
      <c r="GB28" s="426">
        <v>-21300</v>
      </c>
      <c r="GC28" s="426">
        <v>1278</v>
      </c>
      <c r="GD28" s="426"/>
      <c r="GE28" s="426">
        <v>1593.96</v>
      </c>
      <c r="GF28" s="426"/>
      <c r="GG28" s="426">
        <v>507</v>
      </c>
      <c r="GH28" s="426">
        <v>51977.83</v>
      </c>
      <c r="GI28" s="426">
        <v>194</v>
      </c>
      <c r="GJ28" s="426">
        <v>4577.0500000000011</v>
      </c>
      <c r="GK28" s="426">
        <v>261</v>
      </c>
      <c r="GL28" s="426">
        <v>3569.2799999999997</v>
      </c>
      <c r="GM28" s="426">
        <v>3194.9300000000003</v>
      </c>
      <c r="GN28" s="426">
        <v>7242</v>
      </c>
      <c r="GO28" s="426">
        <v>560</v>
      </c>
      <c r="GP28" s="426">
        <v>1092.8800000000001</v>
      </c>
      <c r="GQ28" s="426">
        <v>1826.5299999999997</v>
      </c>
      <c r="GR28" s="426"/>
      <c r="GS28" s="426"/>
      <c r="GT28" s="426"/>
      <c r="GU28" s="426"/>
      <c r="GV28" s="426">
        <v>0</v>
      </c>
      <c r="GW28" s="426"/>
      <c r="GX28" s="426"/>
      <c r="GY28" s="426"/>
      <c r="GZ28" s="426"/>
      <c r="HA28" s="426">
        <v>-193.32000000000005</v>
      </c>
      <c r="HB28" s="426">
        <v>-16683.679999999989</v>
      </c>
      <c r="HC28" s="426"/>
      <c r="HD28" s="426"/>
      <c r="HE28" s="426">
        <v>-2554.9299999999998</v>
      </c>
      <c r="HF28" s="426"/>
      <c r="HG28" s="426">
        <v>7.05</v>
      </c>
      <c r="HH28" s="426">
        <v>-480</v>
      </c>
      <c r="HI28" s="426">
        <v>-948</v>
      </c>
      <c r="HJ28" s="426">
        <v>-30155.619999999974</v>
      </c>
      <c r="HK28" s="426"/>
      <c r="HL28" s="426"/>
      <c r="HM28" s="426">
        <v>-943</v>
      </c>
      <c r="HN28" s="426"/>
    </row>
    <row r="29" spans="1:224">
      <c r="A29" s="116">
        <v>107891</v>
      </c>
      <c r="B29" s="304"/>
      <c r="C29" s="304"/>
      <c r="D29" s="304"/>
      <c r="E29" s="304"/>
      <c r="F29" s="304"/>
      <c r="G29" s="304">
        <v>494398.85</v>
      </c>
      <c r="H29" s="304">
        <v>4330.9900000000007</v>
      </c>
      <c r="I29" s="304">
        <v>4091</v>
      </c>
      <c r="J29" s="304">
        <v>129060.24</v>
      </c>
      <c r="K29" s="304">
        <v>65938.36</v>
      </c>
      <c r="L29" s="304">
        <v>8481.6999999999989</v>
      </c>
      <c r="M29" s="304">
        <v>75.180000000000007</v>
      </c>
      <c r="N29" s="304">
        <v>2379.4900000000002</v>
      </c>
      <c r="O29" s="304">
        <v>745.12</v>
      </c>
      <c r="P29" s="304"/>
      <c r="Q29" s="304"/>
      <c r="R29" s="304"/>
      <c r="S29" s="304"/>
      <c r="T29" s="304"/>
      <c r="U29" s="304"/>
      <c r="V29" s="304"/>
      <c r="W29" s="304"/>
      <c r="X29" s="304"/>
      <c r="Y29" s="304"/>
      <c r="Z29" s="304"/>
      <c r="AA29" s="304"/>
      <c r="AB29" s="304">
        <v>22092.93</v>
      </c>
      <c r="AC29" s="304">
        <v>432.42999999999995</v>
      </c>
      <c r="AD29" s="304">
        <v>52.23</v>
      </c>
      <c r="AE29" s="304">
        <v>5960.2</v>
      </c>
      <c r="AF29" s="304">
        <v>239.25</v>
      </c>
      <c r="AG29" s="304"/>
      <c r="AH29" s="304"/>
      <c r="AI29" s="304"/>
      <c r="AJ29" s="304"/>
      <c r="AK29" s="304"/>
      <c r="AL29" s="304">
        <v>175796.3</v>
      </c>
      <c r="AM29" s="304">
        <v>8714.59</v>
      </c>
      <c r="AN29" s="304">
        <v>1139.27</v>
      </c>
      <c r="AO29" s="304">
        <v>47745.32</v>
      </c>
      <c r="AP29" s="304">
        <v>18591.02</v>
      </c>
      <c r="AQ29" s="304"/>
      <c r="AR29" s="304"/>
      <c r="AS29" s="304"/>
      <c r="AT29" s="304"/>
      <c r="AU29" s="304"/>
      <c r="AV29" s="304"/>
      <c r="AW29" s="304"/>
      <c r="AX29" s="304"/>
      <c r="AY29" s="304"/>
      <c r="AZ29" s="304">
        <v>58934.06</v>
      </c>
      <c r="BA29" s="304">
        <v>1484.9999999999998</v>
      </c>
      <c r="BB29" s="304">
        <v>182.98</v>
      </c>
      <c r="BC29" s="304"/>
      <c r="BD29" s="304">
        <v>15998.749999999998</v>
      </c>
      <c r="BE29" s="304">
        <v>7103.1499999999987</v>
      </c>
      <c r="BF29" s="304"/>
      <c r="BG29" s="304"/>
      <c r="BH29" s="304"/>
      <c r="BI29" s="304"/>
      <c r="BJ29" s="304"/>
      <c r="BK29" s="304"/>
      <c r="BL29" s="304"/>
      <c r="BM29" s="304"/>
      <c r="BN29" s="304"/>
      <c r="BO29" s="304"/>
      <c r="BP29" s="304">
        <v>7168.36</v>
      </c>
      <c r="BQ29" s="304"/>
      <c r="BR29" s="304"/>
      <c r="BS29" s="304">
        <v>1116.8699999999997</v>
      </c>
      <c r="BT29" s="304">
        <v>287.67999999999995</v>
      </c>
      <c r="BU29" s="304"/>
      <c r="BV29" s="304"/>
      <c r="BW29" s="304"/>
      <c r="BX29" s="304"/>
      <c r="BY29" s="304"/>
      <c r="BZ29" s="304"/>
      <c r="CA29" s="304"/>
      <c r="CB29" s="304"/>
      <c r="CC29" s="304"/>
      <c r="CD29" s="304"/>
      <c r="CE29" s="304"/>
      <c r="CF29" s="304">
        <v>2530</v>
      </c>
      <c r="CG29" s="304"/>
      <c r="CH29" s="304"/>
      <c r="CI29" s="304"/>
      <c r="CJ29" s="304">
        <v>11149.369999999999</v>
      </c>
      <c r="CK29" s="304">
        <v>18294.740000000002</v>
      </c>
      <c r="CL29" s="304"/>
      <c r="CM29" s="304">
        <v>3855</v>
      </c>
      <c r="CN29" s="304"/>
      <c r="CO29" s="304"/>
      <c r="CP29" s="304">
        <v>5574</v>
      </c>
      <c r="CQ29" s="304"/>
      <c r="CR29" s="304"/>
      <c r="CS29" s="304">
        <v>2012.3</v>
      </c>
      <c r="CT29" s="304">
        <v>8120.9500000000007</v>
      </c>
      <c r="CU29" s="304">
        <v>7706.5300000000007</v>
      </c>
      <c r="CV29" s="304"/>
      <c r="CW29" s="304"/>
      <c r="CX29" s="304"/>
      <c r="CY29" s="304"/>
      <c r="CZ29" s="304">
        <v>24825.25</v>
      </c>
      <c r="DA29" s="304">
        <v>5254.079999999999</v>
      </c>
      <c r="DB29" s="304">
        <v>340</v>
      </c>
      <c r="DC29" s="304">
        <v>3558.9300000000003</v>
      </c>
      <c r="DD29" s="304">
        <v>1041.3</v>
      </c>
      <c r="DE29" s="304"/>
      <c r="DF29" s="304"/>
      <c r="DG29" s="304"/>
      <c r="DH29" s="304"/>
      <c r="DI29" s="304"/>
      <c r="DJ29" s="304"/>
      <c r="DK29" s="304"/>
      <c r="DL29" s="304">
        <v>6.6</v>
      </c>
      <c r="DM29" s="304"/>
      <c r="DN29" s="304">
        <v>232.28</v>
      </c>
      <c r="DO29" s="304"/>
      <c r="DP29" s="304"/>
      <c r="DQ29" s="304"/>
      <c r="DR29" s="304"/>
      <c r="DS29" s="304"/>
      <c r="DT29" s="304"/>
      <c r="DU29" s="304">
        <v>3901</v>
      </c>
      <c r="DV29" s="304">
        <v>33058.28</v>
      </c>
      <c r="DW29" s="304">
        <v>218.83999999999997</v>
      </c>
      <c r="DX29" s="304"/>
      <c r="DY29" s="304">
        <v>927.49999999999989</v>
      </c>
      <c r="DZ29" s="304">
        <v>6049.26</v>
      </c>
      <c r="EA29" s="304">
        <v>785</v>
      </c>
      <c r="EB29" s="304">
        <v>9717.91</v>
      </c>
      <c r="EC29" s="304"/>
      <c r="ED29" s="304">
        <v>13.92</v>
      </c>
      <c r="EE29" s="304">
        <v>2589.6799999999998</v>
      </c>
      <c r="EF29" s="426"/>
      <c r="EG29" s="304">
        <v>3387</v>
      </c>
      <c r="EH29" s="304"/>
      <c r="EI29" s="426"/>
      <c r="EJ29" s="304">
        <v>138.44999999999999</v>
      </c>
      <c r="EK29" s="304">
        <v>500</v>
      </c>
      <c r="EL29" s="304">
        <v>324</v>
      </c>
      <c r="EM29" s="304"/>
      <c r="EN29" s="304">
        <v>1836</v>
      </c>
      <c r="EO29" s="304"/>
      <c r="EP29" s="304"/>
      <c r="EQ29" s="304"/>
      <c r="ER29" s="304"/>
      <c r="ES29" s="304"/>
      <c r="ET29" s="304"/>
      <c r="EU29" s="304"/>
      <c r="EV29" s="304">
        <v>6243.93</v>
      </c>
      <c r="EW29" s="304">
        <v>1940.7</v>
      </c>
      <c r="EX29" s="304">
        <v>74.719999999999985</v>
      </c>
      <c r="EY29" s="304">
        <v>13282</v>
      </c>
      <c r="EZ29" s="304"/>
      <c r="FA29" s="304"/>
      <c r="FB29" s="304"/>
      <c r="FC29" s="304">
        <v>-1006315.6</v>
      </c>
      <c r="FD29" s="304"/>
      <c r="FE29" s="304"/>
      <c r="FF29" s="304">
        <v>-8800</v>
      </c>
      <c r="FG29" s="304">
        <v>-50892.98</v>
      </c>
      <c r="FH29" s="304"/>
      <c r="FI29" s="304">
        <v>-876</v>
      </c>
      <c r="FJ29" s="304">
        <v>-360</v>
      </c>
      <c r="FK29" s="304"/>
      <c r="FL29" s="304"/>
      <c r="FM29" s="304">
        <v>-6565</v>
      </c>
      <c r="FN29" s="304">
        <v>-31722</v>
      </c>
      <c r="FO29" s="304">
        <v>-16350</v>
      </c>
      <c r="FP29" s="304">
        <v>-17609.080000000002</v>
      </c>
      <c r="FQ29" s="304">
        <v>-43472.33</v>
      </c>
      <c r="FR29" s="304"/>
      <c r="FS29" s="304">
        <v>-2864.26</v>
      </c>
      <c r="FT29" s="304"/>
      <c r="FU29" s="304"/>
      <c r="FV29" s="304">
        <v>-106116</v>
      </c>
      <c r="FW29" s="304">
        <v>3850.33</v>
      </c>
      <c r="FX29" s="304">
        <v>570.35</v>
      </c>
      <c r="FY29" s="304"/>
      <c r="FZ29" s="304">
        <v>-13444.18</v>
      </c>
      <c r="GA29" s="304">
        <v>-9395</v>
      </c>
      <c r="GB29" s="304">
        <v>-19286</v>
      </c>
      <c r="GC29" s="304">
        <v>1563.25</v>
      </c>
      <c r="GD29" s="304"/>
      <c r="GE29" s="304">
        <v>1679.08</v>
      </c>
      <c r="GF29" s="304">
        <v>5826.1</v>
      </c>
      <c r="GG29" s="304">
        <v>20509.310000000001</v>
      </c>
      <c r="GH29" s="304">
        <v>48497.82</v>
      </c>
      <c r="GI29" s="304">
        <v>1062</v>
      </c>
      <c r="GJ29" s="304">
        <v>6446.1600000000026</v>
      </c>
      <c r="GK29" s="304">
        <v>261</v>
      </c>
      <c r="GL29" s="304">
        <v>3961.17</v>
      </c>
      <c r="GM29" s="304">
        <v>3401.7</v>
      </c>
      <c r="GN29" s="304">
        <v>4463.5</v>
      </c>
      <c r="GO29" s="304">
        <v>560</v>
      </c>
      <c r="GP29" s="304">
        <v>1055.1400000000001</v>
      </c>
      <c r="GQ29" s="304">
        <v>1748.45</v>
      </c>
      <c r="GR29" s="304"/>
      <c r="GS29" s="304"/>
      <c r="GT29" s="304"/>
      <c r="GU29" s="304">
        <v>-998.99</v>
      </c>
      <c r="GV29" s="304"/>
      <c r="GW29" s="304"/>
      <c r="GX29" s="304"/>
      <c r="GY29" s="304"/>
      <c r="GZ29" s="304"/>
      <c r="HA29" s="304">
        <v>-5510.08</v>
      </c>
      <c r="HB29" s="304">
        <v>-10244</v>
      </c>
      <c r="HC29" s="304"/>
      <c r="HD29" s="304"/>
      <c r="HE29" s="304">
        <v>-2360</v>
      </c>
      <c r="HF29" s="304"/>
      <c r="HG29" s="304">
        <v>271.77</v>
      </c>
      <c r="HH29" s="304"/>
      <c r="HI29" s="304">
        <v>-13007.44</v>
      </c>
      <c r="HJ29" s="304">
        <v>0</v>
      </c>
      <c r="HK29" s="304"/>
      <c r="HL29" s="304"/>
      <c r="HM29" s="304">
        <v>-4401.91</v>
      </c>
      <c r="HN29" s="304"/>
      <c r="HP29">
        <v>-2276.02</v>
      </c>
    </row>
    <row r="30" spans="1:224">
      <c r="A30" s="116">
        <v>107892</v>
      </c>
      <c r="B30" s="304"/>
      <c r="C30" s="304"/>
      <c r="D30" s="304"/>
      <c r="E30" s="304"/>
      <c r="F30" s="304"/>
      <c r="G30" s="304">
        <v>1174850.6399999999</v>
      </c>
      <c r="H30" s="304">
        <v>25654.429999999997</v>
      </c>
      <c r="I30" s="304">
        <v>45736.639999999999</v>
      </c>
      <c r="J30" s="304">
        <v>343333.56</v>
      </c>
      <c r="K30" s="304">
        <v>156497.57</v>
      </c>
      <c r="L30" s="304">
        <v>9229.5</v>
      </c>
      <c r="M30" s="304">
        <v>29.869999999999997</v>
      </c>
      <c r="N30" s="304">
        <v>2526.2200000000003</v>
      </c>
      <c r="O30" s="304">
        <v>967.04</v>
      </c>
      <c r="P30" s="304"/>
      <c r="Q30" s="304"/>
      <c r="R30" s="304"/>
      <c r="S30" s="304"/>
      <c r="T30" s="304"/>
      <c r="U30" s="304"/>
      <c r="V30" s="304"/>
      <c r="W30" s="304"/>
      <c r="X30" s="304"/>
      <c r="Y30" s="304"/>
      <c r="Z30" s="304"/>
      <c r="AA30" s="304"/>
      <c r="AB30" s="304">
        <v>35279.839999999997</v>
      </c>
      <c r="AC30" s="304">
        <v>367.92999999999995</v>
      </c>
      <c r="AD30" s="304">
        <v>6.53</v>
      </c>
      <c r="AE30" s="304">
        <v>9283.0500000000011</v>
      </c>
      <c r="AF30" s="304">
        <v>2768.9700000000003</v>
      </c>
      <c r="AG30" s="304">
        <v>1985.75</v>
      </c>
      <c r="AH30" s="304"/>
      <c r="AI30" s="304"/>
      <c r="AJ30" s="304"/>
      <c r="AK30" s="304">
        <v>94.669999999999987</v>
      </c>
      <c r="AL30" s="304">
        <v>311386.56999999995</v>
      </c>
      <c r="AM30" s="304">
        <v>5170.33</v>
      </c>
      <c r="AN30" s="304">
        <v>3558.75</v>
      </c>
      <c r="AO30" s="304">
        <v>83308.859999999986</v>
      </c>
      <c r="AP30" s="304">
        <v>34723.469999999994</v>
      </c>
      <c r="AQ30" s="304"/>
      <c r="AR30" s="304"/>
      <c r="AS30" s="304"/>
      <c r="AT30" s="304"/>
      <c r="AU30" s="304"/>
      <c r="AV30" s="304"/>
      <c r="AW30" s="304"/>
      <c r="AX30" s="304"/>
      <c r="AY30" s="304"/>
      <c r="AZ30" s="304">
        <v>128818.37</v>
      </c>
      <c r="BA30" s="304">
        <v>694.6</v>
      </c>
      <c r="BB30" s="304"/>
      <c r="BC30" s="304"/>
      <c r="BD30" s="304">
        <v>31727.010000000002</v>
      </c>
      <c r="BE30" s="304">
        <v>16229.73</v>
      </c>
      <c r="BF30" s="304"/>
      <c r="BG30" s="304"/>
      <c r="BH30" s="304"/>
      <c r="BI30" s="304"/>
      <c r="BJ30" s="304"/>
      <c r="BK30" s="304"/>
      <c r="BL30" s="304"/>
      <c r="BM30" s="304"/>
      <c r="BN30" s="304"/>
      <c r="BO30" s="304"/>
      <c r="BP30" s="304">
        <v>61517.880000000005</v>
      </c>
      <c r="BQ30" s="304">
        <v>610.19999999999993</v>
      </c>
      <c r="BR30" s="304"/>
      <c r="BS30" s="304">
        <v>16401.669999999998</v>
      </c>
      <c r="BT30" s="304">
        <v>7817.99</v>
      </c>
      <c r="BU30" s="304"/>
      <c r="BV30" s="304"/>
      <c r="BW30" s="304"/>
      <c r="BX30" s="304"/>
      <c r="BY30" s="304"/>
      <c r="BZ30" s="304">
        <v>129</v>
      </c>
      <c r="CA30" s="304"/>
      <c r="CB30" s="304"/>
      <c r="CC30" s="304"/>
      <c r="CD30" s="304">
        <v>78</v>
      </c>
      <c r="CE30" s="304"/>
      <c r="CF30" s="304">
        <v>7747.47</v>
      </c>
      <c r="CG30" s="304"/>
      <c r="CH30" s="304"/>
      <c r="CI30" s="304"/>
      <c r="CJ30" s="304">
        <v>106471.51000000001</v>
      </c>
      <c r="CK30" s="304">
        <v>21098.690000000002</v>
      </c>
      <c r="CL30" s="304">
        <v>7604.2599999999984</v>
      </c>
      <c r="CM30" s="304">
        <v>5826.9</v>
      </c>
      <c r="CN30" s="304"/>
      <c r="CO30" s="304">
        <v>0</v>
      </c>
      <c r="CP30" s="304">
        <v>16212.119999999999</v>
      </c>
      <c r="CQ30" s="304">
        <v>4568</v>
      </c>
      <c r="CR30" s="304">
        <v>162711.93000000002</v>
      </c>
      <c r="CS30" s="304">
        <v>13013.4</v>
      </c>
      <c r="CT30" s="304">
        <v>40636.14</v>
      </c>
      <c r="CU30" s="304">
        <v>17915.330000000002</v>
      </c>
      <c r="CV30" s="304"/>
      <c r="CW30" s="304"/>
      <c r="CX30" s="304"/>
      <c r="CY30" s="304"/>
      <c r="CZ30" s="304">
        <v>24950</v>
      </c>
      <c r="DA30" s="304">
        <v>8562.41</v>
      </c>
      <c r="DB30" s="304"/>
      <c r="DC30" s="304">
        <v>4003.5299999999993</v>
      </c>
      <c r="DD30" s="304">
        <v>516.76</v>
      </c>
      <c r="DE30" s="304"/>
      <c r="DF30" s="304">
        <v>0</v>
      </c>
      <c r="DG30" s="304">
        <v>4406.0999999999995</v>
      </c>
      <c r="DH30" s="304"/>
      <c r="DI30" s="304"/>
      <c r="DJ30" s="304">
        <v>4828.76</v>
      </c>
      <c r="DK30" s="304"/>
      <c r="DL30" s="304">
        <v>62.469999999999963</v>
      </c>
      <c r="DM30" s="304"/>
      <c r="DN30" s="304">
        <v>420.14</v>
      </c>
      <c r="DO30" s="304"/>
      <c r="DP30" s="304"/>
      <c r="DQ30" s="304"/>
      <c r="DR30" s="304"/>
      <c r="DS30" s="304"/>
      <c r="DT30" s="304">
        <v>5753.08</v>
      </c>
      <c r="DU30" s="304">
        <v>8840</v>
      </c>
      <c r="DV30" s="304">
        <v>27629.300000000014</v>
      </c>
      <c r="DW30" s="304">
        <v>623.93000000000006</v>
      </c>
      <c r="DX30" s="304">
        <v>144.17000000000002</v>
      </c>
      <c r="DY30" s="304">
        <v>3627.29</v>
      </c>
      <c r="DZ30" s="304">
        <v>11367.560000000001</v>
      </c>
      <c r="EA30" s="304"/>
      <c r="EB30" s="304">
        <v>8036.7299999999987</v>
      </c>
      <c r="EC30" s="304"/>
      <c r="ED30" s="304">
        <v>119.32000000000001</v>
      </c>
      <c r="EE30" s="304">
        <v>1698.9599999999996</v>
      </c>
      <c r="EF30" s="426">
        <v>0</v>
      </c>
      <c r="EG30" s="304">
        <v>4350</v>
      </c>
      <c r="EH30" s="304"/>
      <c r="EI30" s="426"/>
      <c r="EJ30" s="304">
        <v>3595.2799999999988</v>
      </c>
      <c r="EK30" s="304">
        <v>4423.9799999999996</v>
      </c>
      <c r="EL30" s="304"/>
      <c r="EM30" s="304"/>
      <c r="EN30" s="304">
        <v>6300</v>
      </c>
      <c r="EO30" s="304">
        <v>256.70999999999998</v>
      </c>
      <c r="EP30" s="304"/>
      <c r="EQ30" s="304"/>
      <c r="ER30" s="304">
        <v>1614.2600000000002</v>
      </c>
      <c r="ES30" s="304"/>
      <c r="ET30" s="304"/>
      <c r="EU30" s="304">
        <v>16617.2</v>
      </c>
      <c r="EV30" s="304">
        <v>17897.04</v>
      </c>
      <c r="EW30" s="304">
        <v>10492.08</v>
      </c>
      <c r="EX30" s="304">
        <v>112065.13000000003</v>
      </c>
      <c r="EY30" s="304">
        <v>61303.109999999993</v>
      </c>
      <c r="EZ30" s="304"/>
      <c r="FA30" s="304"/>
      <c r="FB30" s="304"/>
      <c r="FC30" s="304">
        <v>-2680830</v>
      </c>
      <c r="FD30" s="304"/>
      <c r="FE30" s="304"/>
      <c r="FF30" s="304">
        <v>-1000</v>
      </c>
      <c r="FG30" s="304">
        <v>-107915</v>
      </c>
      <c r="FH30" s="304"/>
      <c r="FI30" s="304">
        <v>-8799.01</v>
      </c>
      <c r="FJ30" s="304"/>
      <c r="FK30" s="304"/>
      <c r="FL30" s="304"/>
      <c r="FM30" s="304">
        <v>-10232.5</v>
      </c>
      <c r="FN30" s="304">
        <v>-76293</v>
      </c>
      <c r="FO30" s="304">
        <v>-18989</v>
      </c>
      <c r="FP30" s="304"/>
      <c r="FQ30" s="304">
        <v>-107627.26</v>
      </c>
      <c r="FR30" s="304"/>
      <c r="FS30" s="304">
        <v>0.13</v>
      </c>
      <c r="FT30" s="304">
        <v>-15882</v>
      </c>
      <c r="FU30" s="304"/>
      <c r="FV30" s="304">
        <v>-169661</v>
      </c>
      <c r="FW30" s="304">
        <v>11036.24</v>
      </c>
      <c r="FX30" s="304">
        <v>1634.8</v>
      </c>
      <c r="FY30" s="304"/>
      <c r="FZ30" s="304">
        <v>-96841</v>
      </c>
      <c r="GA30" s="304">
        <v>-23906</v>
      </c>
      <c r="GB30" s="304">
        <v>-49932</v>
      </c>
      <c r="GC30" s="304">
        <v>1433</v>
      </c>
      <c r="GD30" s="304"/>
      <c r="GE30" s="304">
        <v>2639.72</v>
      </c>
      <c r="GF30" s="304">
        <v>943.2</v>
      </c>
      <c r="GG30" s="304">
        <v>61917.510000000009</v>
      </c>
      <c r="GH30" s="304"/>
      <c r="GI30" s="304">
        <v>-671.5</v>
      </c>
      <c r="GJ30" s="304">
        <v>8605.1800000000039</v>
      </c>
      <c r="GK30" s="304">
        <v>261</v>
      </c>
      <c r="GL30" s="304">
        <v>1722.11</v>
      </c>
      <c r="GM30" s="304">
        <v>6123.0599999999995</v>
      </c>
      <c r="GN30" s="304">
        <v>3780</v>
      </c>
      <c r="GO30" s="304">
        <v>560</v>
      </c>
      <c r="GP30" s="304">
        <v>1829.92</v>
      </c>
      <c r="GQ30" s="304">
        <v>4505.8100000000004</v>
      </c>
      <c r="GR30" s="304"/>
      <c r="GS30" s="304">
        <v>34519.449999999997</v>
      </c>
      <c r="GT30" s="304">
        <v>-34519.449999999997</v>
      </c>
      <c r="GU30" s="304">
        <v>-1766</v>
      </c>
      <c r="GV30" s="304"/>
      <c r="GW30" s="304"/>
      <c r="GX30" s="304"/>
      <c r="GY30" s="304">
        <v>-7800</v>
      </c>
      <c r="GZ30" s="304"/>
      <c r="HA30" s="304">
        <v>-23073.710000000003</v>
      </c>
      <c r="HB30" s="304">
        <v>-58639.130000000026</v>
      </c>
      <c r="HC30" s="304">
        <v>-144106</v>
      </c>
      <c r="HD30" s="304"/>
      <c r="HE30" s="304"/>
      <c r="HF30" s="304"/>
      <c r="HG30" s="304">
        <v>5.1099999999999994</v>
      </c>
      <c r="HH30" s="304">
        <v>0</v>
      </c>
      <c r="HI30" s="304">
        <v>-28015.360000000004</v>
      </c>
      <c r="HJ30" s="304">
        <v>0</v>
      </c>
      <c r="HK30" s="304"/>
      <c r="HL30" s="304"/>
      <c r="HM30" s="304">
        <v>-6750.29</v>
      </c>
      <c r="HN30" s="304"/>
      <c r="HP30">
        <v>-10552.71</v>
      </c>
    </row>
    <row r="31" spans="1:224">
      <c r="A31" s="116">
        <v>107898</v>
      </c>
      <c r="B31" s="304"/>
      <c r="C31" s="304"/>
      <c r="D31" s="304"/>
      <c r="E31" s="304"/>
      <c r="F31" s="304"/>
      <c r="G31" s="304">
        <v>875952.54999999981</v>
      </c>
      <c r="H31" s="304">
        <v>23839.070000000003</v>
      </c>
      <c r="I31" s="304">
        <v>42119.170000000013</v>
      </c>
      <c r="J31" s="304">
        <v>260622.91</v>
      </c>
      <c r="K31" s="304">
        <v>121058.29</v>
      </c>
      <c r="L31" s="304">
        <v>49928.92</v>
      </c>
      <c r="M31" s="304"/>
      <c r="N31" s="304">
        <v>11964.980000000001</v>
      </c>
      <c r="O31" s="304">
        <v>4057.83</v>
      </c>
      <c r="P31" s="304">
        <v>0</v>
      </c>
      <c r="Q31" s="304"/>
      <c r="R31" s="304"/>
      <c r="S31" s="304"/>
      <c r="T31" s="304"/>
      <c r="U31" s="304"/>
      <c r="V31" s="304"/>
      <c r="W31" s="304">
        <v>68635.179999999993</v>
      </c>
      <c r="X31" s="304">
        <v>185.84000000000003</v>
      </c>
      <c r="Y31" s="304">
        <v>555.16000000000008</v>
      </c>
      <c r="Z31" s="304">
        <v>18305.850000000002</v>
      </c>
      <c r="AA31" s="304">
        <v>7056.8099999999995</v>
      </c>
      <c r="AB31" s="304">
        <v>40690.82</v>
      </c>
      <c r="AC31" s="304">
        <v>987.61</v>
      </c>
      <c r="AD31" s="304">
        <v>1472.2399999999998</v>
      </c>
      <c r="AE31" s="304">
        <v>11075.62</v>
      </c>
      <c r="AF31" s="304">
        <v>1660.9</v>
      </c>
      <c r="AG31" s="304">
        <v>11442.75</v>
      </c>
      <c r="AH31" s="304">
        <v>182.96</v>
      </c>
      <c r="AI31" s="304">
        <v>1196.71</v>
      </c>
      <c r="AJ31" s="304">
        <v>3385.0400000000004</v>
      </c>
      <c r="AK31" s="304">
        <v>1172.7599999999998</v>
      </c>
      <c r="AL31" s="304">
        <v>301730.98000000004</v>
      </c>
      <c r="AM31" s="304">
        <v>12324.200000000003</v>
      </c>
      <c r="AN31" s="304">
        <v>2436.54</v>
      </c>
      <c r="AO31" s="304">
        <v>81233.67</v>
      </c>
      <c r="AP31" s="304">
        <v>30608.15</v>
      </c>
      <c r="AQ31" s="304"/>
      <c r="AR31" s="304"/>
      <c r="AS31" s="304"/>
      <c r="AT31" s="304"/>
      <c r="AU31" s="304"/>
      <c r="AV31" s="304"/>
      <c r="AW31" s="304"/>
      <c r="AX31" s="304"/>
      <c r="AY31" s="304"/>
      <c r="AZ31" s="304">
        <v>102570.02</v>
      </c>
      <c r="BA31" s="304">
        <v>409.48</v>
      </c>
      <c r="BB31" s="304">
        <v>2541.09</v>
      </c>
      <c r="BC31" s="304"/>
      <c r="BD31" s="304">
        <v>27706.719999999994</v>
      </c>
      <c r="BE31" s="304">
        <v>12763.039999999999</v>
      </c>
      <c r="BF31" s="304"/>
      <c r="BG31" s="304"/>
      <c r="BH31" s="304"/>
      <c r="BI31" s="304"/>
      <c r="BJ31" s="304"/>
      <c r="BK31" s="304"/>
      <c r="BL31" s="304"/>
      <c r="BM31" s="304"/>
      <c r="BN31" s="304"/>
      <c r="BO31" s="304"/>
      <c r="BP31" s="304">
        <v>31367.530000000002</v>
      </c>
      <c r="BQ31" s="304">
        <v>169.55</v>
      </c>
      <c r="BR31" s="304"/>
      <c r="BS31" s="304">
        <v>8325.6999999999971</v>
      </c>
      <c r="BT31" s="304">
        <v>3979.9399999999991</v>
      </c>
      <c r="BU31" s="304"/>
      <c r="BV31" s="304"/>
      <c r="BW31" s="304"/>
      <c r="BX31" s="304"/>
      <c r="BY31" s="304"/>
      <c r="BZ31" s="304"/>
      <c r="CA31" s="304"/>
      <c r="CB31" s="304">
        <v>125</v>
      </c>
      <c r="CC31" s="304"/>
      <c r="CD31" s="304"/>
      <c r="CE31" s="304"/>
      <c r="CF31" s="304">
        <v>5470</v>
      </c>
      <c r="CG31" s="304">
        <v>16373.44</v>
      </c>
      <c r="CH31" s="304">
        <v>0</v>
      </c>
      <c r="CI31" s="304"/>
      <c r="CJ31" s="304">
        <v>25171.699999999997</v>
      </c>
      <c r="CK31" s="304">
        <v>35542.47</v>
      </c>
      <c r="CL31" s="304"/>
      <c r="CM31" s="304">
        <v>-2380</v>
      </c>
      <c r="CN31" s="304"/>
      <c r="CO31" s="304"/>
      <c r="CP31" s="304"/>
      <c r="CQ31" s="304"/>
      <c r="CR31" s="304">
        <v>13029.22</v>
      </c>
      <c r="CS31" s="304">
        <v>5110.6200000000008</v>
      </c>
      <c r="CT31" s="304">
        <v>21303.940000000002</v>
      </c>
      <c r="CU31" s="304">
        <v>15486.470000000001</v>
      </c>
      <c r="CV31" s="304"/>
      <c r="CW31" s="304"/>
      <c r="CX31" s="304"/>
      <c r="CY31" s="304"/>
      <c r="CZ31" s="304">
        <v>39585</v>
      </c>
      <c r="DA31" s="304">
        <v>10997.900000000001</v>
      </c>
      <c r="DB31" s="304"/>
      <c r="DC31" s="304">
        <v>48005.42</v>
      </c>
      <c r="DD31" s="304">
        <v>1321.02</v>
      </c>
      <c r="DE31" s="304"/>
      <c r="DF31" s="304"/>
      <c r="DG31" s="304"/>
      <c r="DH31" s="304"/>
      <c r="DI31" s="304"/>
      <c r="DJ31" s="304"/>
      <c r="DK31" s="304"/>
      <c r="DL31" s="304"/>
      <c r="DM31" s="304"/>
      <c r="DN31" s="304">
        <v>403.24</v>
      </c>
      <c r="DO31" s="304"/>
      <c r="DP31" s="304">
        <v>11227</v>
      </c>
      <c r="DQ31" s="304"/>
      <c r="DR31" s="304"/>
      <c r="DS31" s="304"/>
      <c r="DT31" s="304"/>
      <c r="DU31" s="304">
        <v>7670</v>
      </c>
      <c r="DV31" s="304">
        <v>24782.970000000008</v>
      </c>
      <c r="DW31" s="304">
        <v>471.68</v>
      </c>
      <c r="DX31" s="304"/>
      <c r="DY31" s="304">
        <v>4240.3100000000013</v>
      </c>
      <c r="DZ31" s="304">
        <v>4807.2999999999993</v>
      </c>
      <c r="EA31" s="304">
        <v>51.150000000000091</v>
      </c>
      <c r="EB31" s="304">
        <v>16379.25</v>
      </c>
      <c r="EC31" s="304"/>
      <c r="ED31" s="304"/>
      <c r="EE31" s="304">
        <v>2583.2999999999997</v>
      </c>
      <c r="EF31" s="426"/>
      <c r="EG31" s="304"/>
      <c r="EH31" s="304"/>
      <c r="EI31" s="426"/>
      <c r="EJ31" s="304">
        <v>4443.1000000000004</v>
      </c>
      <c r="EK31" s="304">
        <v>9960.869999999999</v>
      </c>
      <c r="EL31" s="304">
        <v>3949.99</v>
      </c>
      <c r="EM31" s="304">
        <v>563.19000000000005</v>
      </c>
      <c r="EN31" s="304">
        <v>5163.74</v>
      </c>
      <c r="EO31" s="304"/>
      <c r="EP31" s="304"/>
      <c r="EQ31" s="304"/>
      <c r="ER31" s="304"/>
      <c r="ES31" s="304"/>
      <c r="ET31" s="304"/>
      <c r="EU31" s="304"/>
      <c r="EV31" s="304">
        <v>13856.85</v>
      </c>
      <c r="EW31" s="304">
        <v>4693.99</v>
      </c>
      <c r="EX31" s="304">
        <v>1870.4700000000003</v>
      </c>
      <c r="EY31" s="304">
        <v>63197.14</v>
      </c>
      <c r="EZ31" s="304">
        <v>5556.29</v>
      </c>
      <c r="FA31" s="304"/>
      <c r="FB31" s="304"/>
      <c r="FC31" s="304">
        <v>-2095910</v>
      </c>
      <c r="FD31" s="304"/>
      <c r="FE31" s="304"/>
      <c r="FF31" s="304"/>
      <c r="FG31" s="304">
        <v>-52250</v>
      </c>
      <c r="FH31" s="304"/>
      <c r="FI31" s="304">
        <v>-856.93</v>
      </c>
      <c r="FJ31" s="304"/>
      <c r="FK31" s="304"/>
      <c r="FL31" s="304"/>
      <c r="FM31" s="304">
        <v>-8725</v>
      </c>
      <c r="FN31" s="304">
        <v>-81454</v>
      </c>
      <c r="FO31" s="304">
        <v>-17942</v>
      </c>
      <c r="FP31" s="304"/>
      <c r="FQ31" s="304"/>
      <c r="FR31" s="304">
        <v>339709.74</v>
      </c>
      <c r="FS31" s="304">
        <v>-13493.52</v>
      </c>
      <c r="FT31" s="304"/>
      <c r="FU31" s="304"/>
      <c r="FV31" s="304">
        <v>-151511</v>
      </c>
      <c r="FW31" s="304">
        <v>8544.85</v>
      </c>
      <c r="FX31" s="304">
        <v>1265.75</v>
      </c>
      <c r="FY31" s="304"/>
      <c r="FZ31" s="304">
        <v>-2791.12</v>
      </c>
      <c r="GA31" s="304">
        <v>-17815</v>
      </c>
      <c r="GB31" s="304">
        <v>-37036</v>
      </c>
      <c r="GC31" s="304">
        <v>1297</v>
      </c>
      <c r="GD31" s="304"/>
      <c r="GE31" s="304">
        <v>2259.7199999999998</v>
      </c>
      <c r="GF31" s="304"/>
      <c r="GG31" s="304"/>
      <c r="GH31" s="304">
        <v>98663.290000000008</v>
      </c>
      <c r="GI31" s="304">
        <v>2010.2</v>
      </c>
      <c r="GJ31" s="304">
        <v>11340.160000000002</v>
      </c>
      <c r="GK31" s="304">
        <v>261</v>
      </c>
      <c r="GL31" s="304">
        <v>3551.02</v>
      </c>
      <c r="GM31" s="304">
        <v>6396.53</v>
      </c>
      <c r="GN31" s="304">
        <v>3780</v>
      </c>
      <c r="GO31" s="304">
        <v>560</v>
      </c>
      <c r="GP31" s="304">
        <v>1561.3</v>
      </c>
      <c r="GQ31" s="304">
        <v>2580.31</v>
      </c>
      <c r="GR31" s="304"/>
      <c r="GS31" s="304"/>
      <c r="GT31" s="304"/>
      <c r="GU31" s="304"/>
      <c r="GV31" s="304"/>
      <c r="GW31" s="304"/>
      <c r="GX31" s="304"/>
      <c r="GY31" s="304">
        <v>-4000</v>
      </c>
      <c r="GZ31" s="304"/>
      <c r="HA31" s="304">
        <v>-1397.1100000000001</v>
      </c>
      <c r="HB31" s="304">
        <v>-60334.710000000014</v>
      </c>
      <c r="HC31" s="304"/>
      <c r="HD31" s="304"/>
      <c r="HE31" s="304">
        <v>-4680.2300000000005</v>
      </c>
      <c r="HF31" s="304">
        <v>-4000</v>
      </c>
      <c r="HG31" s="304">
        <v>-356.83</v>
      </c>
      <c r="HH31" s="304">
        <v>-8955.8700000000008</v>
      </c>
      <c r="HI31" s="304">
        <v>-3010</v>
      </c>
      <c r="HJ31" s="304">
        <v>-135180.39000000001</v>
      </c>
      <c r="HK31" s="304"/>
      <c r="HL31" s="304"/>
      <c r="HM31" s="304">
        <v>-60789.909999999996</v>
      </c>
      <c r="HN31" s="304">
        <v>-194.81</v>
      </c>
    </row>
    <row r="32" spans="1:224">
      <c r="A32" s="116"/>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426"/>
      <c r="EG32" s="304"/>
      <c r="EH32" s="304"/>
      <c r="EI32" s="426"/>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row>
    <row r="33" spans="1:222">
      <c r="A33" s="116"/>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426"/>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row>
    <row r="34" spans="1:222">
      <c r="A34" s="116"/>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426"/>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workbookViewId="0">
      <selection activeCell="P25" sqref="P25"/>
    </sheetView>
  </sheetViews>
  <sheetFormatPr defaultRowHeight="12.75"/>
  <cols>
    <col min="1" max="1" width="11.5703125" bestFit="1" customWidth="1"/>
    <col min="2" max="2" width="8" bestFit="1" customWidth="1"/>
  </cols>
  <sheetData>
    <row r="1" spans="1:280" s="46" customFormat="1">
      <c r="B1" s="46" t="str">
        <f>VLOOKUP(B2,'Sch Nums for Downloads'!$P$5:$Q$487,2,FALSE)</f>
        <v>E03</v>
      </c>
      <c r="C1" s="46" t="str">
        <f>VLOOKUP(C2,'Sch Nums for Downloads'!$P$5:$Q$487,2,FALSE)</f>
        <v>E01</v>
      </c>
      <c r="D1" s="46" t="str">
        <f>VLOOKUP(D2,'Sch Nums for Downloads'!$P$5:$Q$487,2,FALSE)</f>
        <v>E01</v>
      </c>
      <c r="E1" s="46" t="str">
        <f>VLOOKUP(E2,'Sch Nums for Downloads'!$P$5:$Q$487,2,FALSE)</f>
        <v>E26</v>
      </c>
      <c r="F1" s="46" t="str">
        <f>VLOOKUP(F2,'Sch Nums for Downloads'!$P$5:$Q$487,2,FALSE)</f>
        <v>E01</v>
      </c>
      <c r="G1" s="46" t="str">
        <f>VLOOKUP(G2,'Sch Nums for Downloads'!$P$5:$Q$487,2,FALSE)</f>
        <v>E01</v>
      </c>
      <c r="H1" s="46" t="str">
        <f>VLOOKUP(H2,'Sch Nums for Downloads'!$P$5:$Q$487,2,FALSE)</f>
        <v>E02</v>
      </c>
      <c r="I1" s="46" t="str">
        <f>VLOOKUP(I2,'Sch Nums for Downloads'!$P$5:$Q$487,2,FALSE)</f>
        <v>E02</v>
      </c>
      <c r="J1" s="46" t="str">
        <f>VLOOKUP(J2,'Sch Nums for Downloads'!$P$5:$Q$487,2,FALSE)</f>
        <v>E02</v>
      </c>
      <c r="K1" s="46" t="str">
        <f>VLOOKUP(K2,'Sch Nums for Downloads'!$P$5:$Q$487,2,FALSE)</f>
        <v>E02</v>
      </c>
      <c r="L1" s="46" t="str">
        <f>VLOOKUP(L2,'Sch Nums for Downloads'!$P$5:$Q$487,2,FALSE)</f>
        <v>E03</v>
      </c>
      <c r="M1" s="46" t="str">
        <f>VLOOKUP(M2,'Sch Nums for Downloads'!$P$5:$Q$487,2,FALSE)</f>
        <v>E03</v>
      </c>
      <c r="N1" s="46" t="str">
        <f>VLOOKUP(N2,'Sch Nums for Downloads'!$P$5:$Q$487,2,FALSE)</f>
        <v>E03</v>
      </c>
      <c r="O1" s="46" t="str">
        <f>VLOOKUP(O2,'Sch Nums for Downloads'!$P$5:$Q$487,2,FALSE)</f>
        <v>E03</v>
      </c>
      <c r="P1" s="46" t="str">
        <f>VLOOKUP(P2,'Sch Nums for Downloads'!$P$5:$Q$487,2,FALSE)</f>
        <v>E03</v>
      </c>
      <c r="Q1" s="46" t="str">
        <f>VLOOKUP(Q2,'Sch Nums for Downloads'!$P$5:$Q$487,2,FALSE)</f>
        <v>E07</v>
      </c>
      <c r="R1" s="46" t="str">
        <f>VLOOKUP(R2,'Sch Nums for Downloads'!$P$5:$Q$487,2,FALSE)</f>
        <v>E07</v>
      </c>
      <c r="S1" s="46" t="str">
        <f>VLOOKUP(S2,'Sch Nums for Downloads'!$P$5:$Q$487,2,FALSE)</f>
        <v>E07</v>
      </c>
      <c r="T1" s="46" t="str">
        <f>VLOOKUP(T2,'Sch Nums for Downloads'!$P$5:$Q$487,2,FALSE)</f>
        <v>E07</v>
      </c>
      <c r="U1" s="46" t="str">
        <f>VLOOKUP(U2,'Sch Nums for Downloads'!$P$5:$Q$487,2,FALSE)</f>
        <v>E07</v>
      </c>
      <c r="V1" s="46" t="str">
        <f>VLOOKUP(V2,'Sch Nums for Downloads'!$P$5:$Q$487,2,FALSE)</f>
        <v>E07</v>
      </c>
      <c r="W1" s="46" t="str">
        <f>VLOOKUP(W2,'Sch Nums for Downloads'!$P$5:$Q$487,2,FALSE)</f>
        <v>E07</v>
      </c>
      <c r="X1" s="46" t="str">
        <f>VLOOKUP(X2,'Sch Nums for Downloads'!$P$5:$Q$487,2,FALSE)</f>
        <v>E07</v>
      </c>
      <c r="Y1" s="46" t="str">
        <f>VLOOKUP(Y2,'Sch Nums for Downloads'!$P$5:$Q$487,2,FALSE)</f>
        <v>E07</v>
      </c>
      <c r="Z1" s="46" t="str">
        <f>VLOOKUP(Z2,'Sch Nums for Downloads'!$P$5:$Q$487,2,FALSE)</f>
        <v>E07</v>
      </c>
      <c r="AA1" s="46" t="str">
        <f>VLOOKUP(AA2,'Sch Nums for Downloads'!$P$5:$Q$487,2,FALSE)</f>
        <v>E03</v>
      </c>
      <c r="AB1" s="46" t="str">
        <f>VLOOKUP(AB2,'Sch Nums for Downloads'!$P$5:$Q$487,2,FALSE)</f>
        <v>E03</v>
      </c>
      <c r="AC1" s="46" t="str">
        <f>VLOOKUP(AC2,'Sch Nums for Downloads'!$P$5:$Q$487,2,FALSE)</f>
        <v>E03</v>
      </c>
      <c r="AD1" s="46" t="str">
        <f>VLOOKUP(AD2,'Sch Nums for Downloads'!$P$5:$Q$487,2,FALSE)</f>
        <v>E03</v>
      </c>
      <c r="AE1" s="46" t="str">
        <f>VLOOKUP(AE2,'Sch Nums for Downloads'!$P$5:$Q$487,2,FALSE)</f>
        <v>E03</v>
      </c>
      <c r="AF1" s="46" t="str">
        <f>VLOOKUP(AF2,'Sch Nums for Downloads'!$P$5:$Q$487,2,FALSE)</f>
        <v>E03</v>
      </c>
      <c r="AG1" s="46" t="str">
        <f>VLOOKUP(AG2,'Sch Nums for Downloads'!$P$5:$Q$487,2,FALSE)</f>
        <v>E03</v>
      </c>
      <c r="AH1" s="46" t="str">
        <f>VLOOKUP(AH2,'Sch Nums for Downloads'!$P$5:$Q$487,2,FALSE)</f>
        <v>E03</v>
      </c>
      <c r="AI1" s="46" t="str">
        <f>VLOOKUP(AI2,'Sch Nums for Downloads'!$P$5:$Q$487,2,FALSE)</f>
        <v>E03</v>
      </c>
      <c r="AJ1" s="46" t="str">
        <f>VLOOKUP(AJ2,'Sch Nums for Downloads'!$P$5:$Q$487,2,FALSE)</f>
        <v>E03</v>
      </c>
      <c r="AK1" s="46" t="str">
        <f>VLOOKUP(AK2,'Sch Nums for Downloads'!$P$5:$Q$487,2,FALSE)</f>
        <v>E31</v>
      </c>
      <c r="AL1" s="46" t="str">
        <f>VLOOKUP(AL2,'Sch Nums for Downloads'!$P$5:$Q$487,2,FALSE)</f>
        <v>E31</v>
      </c>
      <c r="AM1" s="46" t="str">
        <f>VLOOKUP(AM2,'Sch Nums for Downloads'!$P$5:$Q$487,2,FALSE)</f>
        <v>E31</v>
      </c>
      <c r="AN1" s="46" t="str">
        <f>VLOOKUP(AN2,'Sch Nums for Downloads'!$P$5:$Q$487,2,FALSE)</f>
        <v>E31</v>
      </c>
      <c r="AO1" s="46" t="str">
        <f>VLOOKUP(AO2,'Sch Nums for Downloads'!$P$5:$Q$487,2,FALSE)</f>
        <v>E31</v>
      </c>
      <c r="AP1" s="46" t="str">
        <f>VLOOKUP(AP2,'Sch Nums for Downloads'!$P$5:$Q$487,2,FALSE)</f>
        <v>E05</v>
      </c>
      <c r="AQ1" s="46" t="str">
        <f>VLOOKUP(AQ2,'Sch Nums for Downloads'!$P$5:$Q$487,2,FALSE)</f>
        <v>E05</v>
      </c>
      <c r="AR1" s="46" t="str">
        <f>VLOOKUP(AR2,'Sch Nums for Downloads'!$P$5:$Q$487,2,FALSE)</f>
        <v>E05</v>
      </c>
      <c r="AS1" s="46" t="str">
        <f>VLOOKUP(AS2,'Sch Nums for Downloads'!$P$5:$Q$487,2,FALSE)</f>
        <v>E05</v>
      </c>
      <c r="AT1" s="46" t="str">
        <f>VLOOKUP(AT2,'Sch Nums for Downloads'!$P$5:$Q$487,2,FALSE)</f>
        <v>E05</v>
      </c>
      <c r="AU1" s="46" t="str">
        <f>VLOOKUP(AU2,'Sch Nums for Downloads'!$P$5:$Q$487,2,FALSE)</f>
        <v>E04</v>
      </c>
      <c r="AV1" s="46" t="str">
        <f>VLOOKUP(AV2,'Sch Nums for Downloads'!$P$5:$Q$487,2,FALSE)</f>
        <v>E04</v>
      </c>
      <c r="AW1" s="46" t="str">
        <f>VLOOKUP(AW2,'Sch Nums for Downloads'!$P$5:$Q$487,2,FALSE)</f>
        <v>E04</v>
      </c>
      <c r="AX1" s="46" t="str">
        <f>VLOOKUP(AX2,'Sch Nums for Downloads'!$P$5:$Q$487,2,FALSE)</f>
        <v>E04</v>
      </c>
      <c r="AY1" s="46" t="str">
        <f>VLOOKUP(AY2,'Sch Nums for Downloads'!$P$5:$Q$487,2,FALSE)</f>
        <v>E04</v>
      </c>
      <c r="AZ1" s="46" t="str">
        <f>VLOOKUP(AZ2,'Sch Nums for Downloads'!$P$5:$Q$487,2,FALSE)</f>
        <v>E06</v>
      </c>
      <c r="BA1" s="46" t="str">
        <f>VLOOKUP(BA2,'Sch Nums for Downloads'!$P$5:$Q$487,2,FALSE)</f>
        <v>E06</v>
      </c>
      <c r="BB1" s="46" t="str">
        <f>VLOOKUP(BB2,'Sch Nums for Downloads'!$P$5:$Q$487,2,FALSE)</f>
        <v>E06</v>
      </c>
      <c r="BC1" s="46" t="str">
        <f>VLOOKUP(BC2,'Sch Nums for Downloads'!$P$5:$Q$487,2,FALSE)</f>
        <v>E06</v>
      </c>
      <c r="BD1" s="46" t="str">
        <f>VLOOKUP(BD2,'Sch Nums for Downloads'!$P$5:$Q$487,2,FALSE)</f>
        <v>E04</v>
      </c>
      <c r="BE1" s="46" t="str">
        <f>VLOOKUP(BE2,'Sch Nums for Downloads'!$P$5:$Q$487,2,FALSE)</f>
        <v>E04</v>
      </c>
      <c r="BF1" s="46" t="str">
        <f>VLOOKUP(BF2,'Sch Nums for Downloads'!$P$5:$Q$487,2,FALSE)</f>
        <v>E04</v>
      </c>
      <c r="BG1" s="46" t="str">
        <f>VLOOKUP(BG2,'Sch Nums for Downloads'!$P$5:$Q$487,2,FALSE)</f>
        <v>E04</v>
      </c>
      <c r="BH1" s="46" t="str">
        <f>VLOOKUP(BH2,'Sch Nums for Downloads'!$P$5:$Q$487,2,FALSE)</f>
        <v>E04</v>
      </c>
      <c r="BI1" s="46" t="str">
        <f>VLOOKUP(BI2,'Sch Nums for Downloads'!$P$5:$Q$487,2,FALSE)</f>
        <v>E07</v>
      </c>
      <c r="BJ1" s="46" t="str">
        <f>VLOOKUP(BJ2,'Sch Nums for Downloads'!$P$5:$Q$487,2,FALSE)</f>
        <v>E07</v>
      </c>
      <c r="BK1" s="46" t="str">
        <f>VLOOKUP(BK2,'Sch Nums for Downloads'!$P$5:$Q$487,2,FALSE)</f>
        <v>E07</v>
      </c>
      <c r="BL1" s="46" t="str">
        <f>VLOOKUP(BL2,'Sch Nums for Downloads'!$P$5:$Q$487,2,FALSE)</f>
        <v>E07</v>
      </c>
      <c r="BM1" s="46" t="str">
        <f>VLOOKUP(BM2,'Sch Nums for Downloads'!$P$5:$Q$487,2,FALSE)</f>
        <v>E07</v>
      </c>
      <c r="BN1" s="46" t="str">
        <f>VLOOKUP(BN2,'Sch Nums for Downloads'!$P$5:$Q$487,2,FALSE)</f>
        <v>E08</v>
      </c>
      <c r="BO1" s="46" t="str">
        <f>VLOOKUP(BO2,'Sch Nums for Downloads'!$P$5:$Q$487,2,FALSE)</f>
        <v>E08</v>
      </c>
      <c r="BP1" s="46" t="str">
        <f>VLOOKUP(BP2,'Sch Nums for Downloads'!$P$5:$Q$487,2,FALSE)</f>
        <v>E08</v>
      </c>
      <c r="BQ1" s="46" t="str">
        <f>VLOOKUP(BQ2,'Sch Nums for Downloads'!$P$5:$Q$487,2,FALSE)</f>
        <v>E08</v>
      </c>
      <c r="BR1" s="46" t="str">
        <f>VLOOKUP(BR2,'Sch Nums for Downloads'!$P$5:$Q$487,2,FALSE)</f>
        <v>E08</v>
      </c>
      <c r="BS1" s="46" t="str">
        <f>VLOOKUP(BS2,'Sch Nums for Downloads'!$P$5:$Q$487,2,FALSE)</f>
        <v>E09</v>
      </c>
      <c r="BT1" s="46" t="str">
        <f>VLOOKUP(BT2,'Sch Nums for Downloads'!$P$5:$Q$487,2,FALSE)</f>
        <v>E11</v>
      </c>
      <c r="BU1" s="46" t="str">
        <f>VLOOKUP(BU2,'Sch Nums for Downloads'!$P$5:$Q$487,2,FALSE)</f>
        <v>E08</v>
      </c>
      <c r="BV1" s="46" t="str">
        <f>VLOOKUP(BV2,'Sch Nums for Downloads'!$P$5:$Q$487,2,FALSE)</f>
        <v>E27</v>
      </c>
      <c r="BW1" s="46" t="str">
        <f>VLOOKUP(BW2,'Sch Nums for Downloads'!$P$5:$Q$487,2,FALSE)</f>
        <v>E07</v>
      </c>
      <c r="BX1" s="46" t="str">
        <f>VLOOKUP(BX2,'Sch Nums for Downloads'!$P$5:$Q$487,2,FALSE)</f>
        <v>E12</v>
      </c>
      <c r="BY1" s="46" t="str">
        <f>VLOOKUP(BY2,'Sch Nums for Downloads'!$P$5:$Q$487,2,FALSE)</f>
        <v>E13</v>
      </c>
      <c r="BZ1" s="46" t="str">
        <f>VLOOKUP(BZ2,'Sch Nums for Downloads'!$P$5:$Q$487,2,FALSE)</f>
        <v>CE02</v>
      </c>
      <c r="CA1" s="46" t="str">
        <f>VLOOKUP(CA2,'Sch Nums for Downloads'!$P$5:$Q$487,2,FALSE)</f>
        <v>CE04A</v>
      </c>
      <c r="CB1" s="46" t="str">
        <f>VLOOKUP(CB2,'Sch Nums for Downloads'!$P$5:$Q$487,2,FALSE)</f>
        <v>CE04B</v>
      </c>
      <c r="CC1" s="46" t="str">
        <f>VLOOKUP(CC2,'Sch Nums for Downloads'!$P$5:$Q$487,2,FALSE)</f>
        <v>CE04D</v>
      </c>
      <c r="CD1" s="46" t="str">
        <f>VLOOKUP(CD2,'Sch Nums for Downloads'!$P$5:$Q$487,2,FALSE)</f>
        <v>CE04E</v>
      </c>
      <c r="CE1" s="46" t="str">
        <f>VLOOKUP(CE2,'Sch Nums for Downloads'!$P$5:$Q$487,2,FALSE)</f>
        <v>CE02</v>
      </c>
      <c r="CF1" s="46" t="str">
        <f>VLOOKUP(CF2,'Sch Nums for Downloads'!$P$5:$Q$487,2,FALSE)</f>
        <v>E18</v>
      </c>
      <c r="CG1" s="46" t="str">
        <f>VLOOKUP(CG2,'Sch Nums for Downloads'!$P$5:$Q$487,2,FALSE)</f>
        <v>E16</v>
      </c>
      <c r="CH1" s="46" t="str">
        <f>VLOOKUP(CH2,'Sch Nums for Downloads'!$P$5:$Q$487,2,FALSE)</f>
        <v>E16</v>
      </c>
      <c r="CI1" s="46" t="str">
        <f>VLOOKUP(CI2,'Sch Nums for Downloads'!$P$5:$Q$487,2,FALSE)</f>
        <v>E16</v>
      </c>
      <c r="CJ1" s="46" t="str">
        <f>VLOOKUP(CJ2,'Sch Nums for Downloads'!$P$5:$Q$487,2,FALSE)</f>
        <v>E18</v>
      </c>
      <c r="CK1" s="46" t="str">
        <f>VLOOKUP(CK2,'Sch Nums for Downloads'!$P$5:$Q$487,2,FALSE)</f>
        <v>E18</v>
      </c>
      <c r="CL1" s="46" t="str">
        <f>VLOOKUP(CL2,'Sch Nums for Downloads'!$P$5:$Q$487,2,FALSE)</f>
        <v>E17</v>
      </c>
      <c r="CM1" s="46" t="str">
        <f>VLOOKUP(CM2,'Sch Nums for Downloads'!$P$5:$Q$487,2,FALSE)</f>
        <v>E15</v>
      </c>
      <c r="CN1" s="46" t="str">
        <f>VLOOKUP(CN2,'Sch Nums for Downloads'!$P$5:$Q$487,2,FALSE)</f>
        <v>E18</v>
      </c>
      <c r="CO1" s="46" t="str">
        <f>VLOOKUP(CO2,'Sch Nums for Downloads'!$P$5:$Q$487,2,FALSE)</f>
        <v>E14</v>
      </c>
      <c r="CP1" s="46" t="str">
        <f>VLOOKUP(CP2,'Sch Nums for Downloads'!$P$5:$Q$487,2,FALSE)</f>
        <v>E18</v>
      </c>
      <c r="CQ1" s="46" t="str">
        <f>VLOOKUP(CQ2,'Sch Nums for Downloads'!$P$5:$Q$487,2,FALSE)</f>
        <v>CE03</v>
      </c>
      <c r="CR1" s="46" t="str">
        <f>VLOOKUP(CR2,'Sch Nums for Downloads'!$P$5:$Q$487,2,FALSE)</f>
        <v>E19</v>
      </c>
      <c r="CS1" s="46" t="str">
        <f>VLOOKUP(CS2,'Sch Nums for Downloads'!$P$5:$Q$487,2,FALSE)</f>
        <v>E19</v>
      </c>
      <c r="CT1" s="46" t="str">
        <f>VLOOKUP(CT2,'Sch Nums for Downloads'!$P$5:$Q$487,2,FALSE)</f>
        <v>E19</v>
      </c>
      <c r="CU1" s="46" t="str">
        <f>VLOOKUP(CU2,'Sch Nums for Downloads'!$P$5:$Q$487,2,FALSE)</f>
        <v>E08</v>
      </c>
      <c r="CV1" s="46" t="str">
        <f>VLOOKUP(CV2,'Sch Nums for Downloads'!$P$5:$Q$487,2,FALSE)</f>
        <v>E08</v>
      </c>
      <c r="CW1" s="46" t="str">
        <f>VLOOKUP(CW2,'Sch Nums for Downloads'!$P$5:$Q$487,2,FALSE)</f>
        <v>E23</v>
      </c>
      <c r="CX1" s="46" t="str">
        <f>VLOOKUP(CX2,'Sch Nums for Downloads'!$P$5:$Q$487,2,FALSE)</f>
        <v>E22</v>
      </c>
      <c r="CY1" s="46" t="str">
        <f>VLOOKUP(CY2,'Sch Nums for Downloads'!$P$5:$Q$487,2,FALSE)</f>
        <v>CE04B</v>
      </c>
      <c r="CZ1" s="46" t="str">
        <f>VLOOKUP(CZ2,'Sch Nums for Downloads'!$P$5:$Q$487,2,FALSE)</f>
        <v>CE04C</v>
      </c>
      <c r="DA1" s="46" t="str">
        <f>VLOOKUP(DA2,'Sch Nums for Downloads'!$P$5:$Q$487,2,FALSE)</f>
        <v>CE04D</v>
      </c>
      <c r="DB1" s="46" t="str">
        <f>VLOOKUP(DB2,'Sch Nums for Downloads'!$P$5:$Q$487,2,FALSE)</f>
        <v>E19</v>
      </c>
      <c r="DC1" s="46" t="str">
        <f>VLOOKUP(DC2,'Sch Nums for Downloads'!$P$5:$Q$487,2,FALSE)</f>
        <v>E08</v>
      </c>
      <c r="DD1" s="46" t="str">
        <f>VLOOKUP(DD2,'Sch Nums for Downloads'!$P$5:$Q$487,2,FALSE)</f>
        <v>E19</v>
      </c>
      <c r="DE1" s="46" t="str">
        <f>VLOOKUP(DE2,'Sch Nums for Downloads'!$P$5:$Q$487,2,FALSE)</f>
        <v>E22</v>
      </c>
      <c r="DF1" s="46" t="str">
        <f>VLOOKUP(DF2,'Sch Nums for Downloads'!$P$5:$Q$487,2,FALSE)</f>
        <v>E22</v>
      </c>
      <c r="DG1" s="46" t="str">
        <f>VLOOKUP(DG2,'Sch Nums for Downloads'!$P$5:$Q$487,2,FALSE)</f>
        <v>E22</v>
      </c>
      <c r="DH1" s="46" t="str">
        <f>VLOOKUP(DH2,'Sch Nums for Downloads'!$P$5:$Q$487,2,FALSE)</f>
        <v>E19</v>
      </c>
      <c r="DI1" s="46" t="str">
        <f>VLOOKUP(DI2,'Sch Nums for Downloads'!$P$5:$Q$487,2,FALSE)</f>
        <v>E28A</v>
      </c>
      <c r="DJ1" s="46" t="str">
        <f>VLOOKUP(DJ2,'Sch Nums for Downloads'!$P$5:$Q$487,2,FALSE)</f>
        <v>E27</v>
      </c>
      <c r="DK1" s="46" t="str">
        <f>VLOOKUP(DK2,'Sch Nums for Downloads'!$P$5:$Q$487,2,FALSE)</f>
        <v>E22</v>
      </c>
      <c r="DL1" s="159" t="str">
        <f>VLOOKUP(DL2,'Sch Nums for Downloads'!$P$5:$Q$487,2,FALSE)</f>
        <v>E22</v>
      </c>
      <c r="DM1" s="46" t="str">
        <f>VLOOKUP(DM2,'Sch Nums for Downloads'!$P$5:$Q$487,2,FALSE)</f>
        <v>E20</v>
      </c>
      <c r="DN1" s="46" t="str">
        <f>VLOOKUP(DN2,'Sch Nums for Downloads'!$P$5:$Q$487,2,FALSE)</f>
        <v>E20A</v>
      </c>
      <c r="DO1" s="46" t="str">
        <f>VLOOKUP(DO2,'Sch Nums for Downloads'!$P$5:$Q$487,2,FALSE)</f>
        <v>E20B</v>
      </c>
      <c r="DP1" s="46" t="str">
        <f>VLOOKUP(DP2,'Sch Nums for Downloads'!$P$5:$Q$487,2,FALSE)</f>
        <v>E20</v>
      </c>
      <c r="DQ1" s="46" t="str">
        <f>VLOOKUP(DQ2,'Sch Nums for Downloads'!$P$5:$Q$487,2,FALSE)</f>
        <v>E20C</v>
      </c>
      <c r="DR1" s="46" t="str">
        <f>VLOOKUP(DR2,'Sch Nums for Downloads'!$P$5:$Q$487,2,FALSE)</f>
        <v>E20D</v>
      </c>
      <c r="DS1" s="46" t="str">
        <f>VLOOKUP(DS2,'Sch Nums for Downloads'!$P$5:$Q$487,2,FALSE)</f>
        <v>E20E</v>
      </c>
      <c r="DT1" s="46" t="str">
        <f>VLOOKUP(DT2,'Sch Nums for Downloads'!$P$5:$Q$487,2,FALSE)</f>
        <v>E20F</v>
      </c>
      <c r="DU1" s="46" t="str">
        <f>VLOOKUP(DU2,'Sch Nums for Downloads'!$P$5:$Q$487,2,FALSE)</f>
        <v>E20G</v>
      </c>
      <c r="DV1" s="46" t="str">
        <f>VLOOKUP(DV2,'Sch Nums for Downloads'!$P$5:$Q$487,2,FALSE)</f>
        <v>E08</v>
      </c>
      <c r="DW1" s="46" t="str">
        <f>VLOOKUP(DW2,'Sch Nums for Downloads'!$P$5:$Q$487,2,FALSE)</f>
        <v>E22</v>
      </c>
      <c r="DX1" s="46" t="str">
        <f>VLOOKUP(DX2,'Sch Nums for Downloads'!$P$5:$Q$487,2,FALSE)</f>
        <v>E23</v>
      </c>
      <c r="DY1" s="46" t="str">
        <f>VLOOKUP(DY2,'Sch Nums for Downloads'!$P$5:$Q$487,2,FALSE)</f>
        <v>E10</v>
      </c>
      <c r="DZ1" s="46" t="str">
        <f>VLOOKUP(DZ2,'Sch Nums for Downloads'!$P$5:$Q$487,2,FALSE)</f>
        <v>E23</v>
      </c>
      <c r="EA1" s="46" t="str">
        <f>VLOOKUP(EA2,'Sch Nums for Downloads'!$P$5:$Q$487,2,FALSE)</f>
        <v>E19</v>
      </c>
      <c r="EB1" s="46" t="str">
        <f>VLOOKUP(EB2,'Sch Nums for Downloads'!$P$5:$Q$487,2,FALSE)</f>
        <v>E25</v>
      </c>
      <c r="EC1" s="46" t="str">
        <f>VLOOKUP(EC2,'Sch Nums for Downloads'!$P$5:$Q$487,2,FALSE)</f>
        <v>E19</v>
      </c>
      <c r="ED1" s="46" t="str">
        <f>VLOOKUP(ED2,'Sch Nums for Downloads'!$P$5:$Q$487,2,FALSE)</f>
        <v>E24</v>
      </c>
      <c r="EE1" s="46" t="str">
        <f>VLOOKUP(EE2,'Sch Nums for Downloads'!$P$5:$Q$487,2,FALSE)</f>
        <v>E32</v>
      </c>
      <c r="EF1" s="46" t="str">
        <f>VLOOKUP(EF2,'Sch Nums for Downloads'!$P$5:$Q$487,2,FALSE)</f>
        <v>I 08b</v>
      </c>
      <c r="EG1" s="46" t="str">
        <f>VLOOKUP(EG2,'Sch Nums for Downloads'!$P$5:$Q$487,2,FALSE)</f>
        <v>E25</v>
      </c>
      <c r="EH1" s="46" t="str">
        <f>VLOOKUP(EH2,'Sch Nums for Downloads'!$P$5:$Q$487,2,FALSE)</f>
        <v>E22</v>
      </c>
      <c r="EI1" s="46" t="str">
        <f>VLOOKUP(EI2,'Sch Nums for Downloads'!$P$5:$Q$487,2,FALSE)</f>
        <v>I01</v>
      </c>
      <c r="EJ1" s="46" t="str">
        <f>VLOOKUP(EJ2,'Sch Nums for Downloads'!$P$5:$Q$487,2,FALSE)</f>
        <v>I 08b</v>
      </c>
      <c r="EK1" s="46" t="str">
        <f>VLOOKUP(EK2,'Sch Nums for Downloads'!$P$5:$Q$487,2,FALSE)</f>
        <v>I07</v>
      </c>
      <c r="EL1" s="46" t="str">
        <f>VLOOKUP(EL2,'Sch Nums for Downloads'!$P$5:$Q$487,2,FALSE)</f>
        <v>I05</v>
      </c>
      <c r="EM1" s="46" t="str">
        <f>VLOOKUP(EM2,'Sch Nums for Downloads'!$P$5:$Q$487,2,FALSE)</f>
        <v>I01</v>
      </c>
      <c r="EN1" s="46" t="str">
        <f>VLOOKUP(EN2,'Sch Nums for Downloads'!$P$5:$Q$487,2,FALSE)</f>
        <v>I06</v>
      </c>
      <c r="EO1" s="46" t="str">
        <f>VLOOKUP(EO2,'Sch Nums for Downloads'!$P$5:$Q$487,2,FALSE)</f>
        <v>I07</v>
      </c>
      <c r="EP1" s="46" t="str">
        <f>VLOOKUP(EP2,'Sch Nums for Downloads'!$P$5:$Q$487,2,FALSE)</f>
        <v>I16</v>
      </c>
      <c r="EQ1" s="46" t="str">
        <f>VLOOKUP(EQ2,'Sch Nums for Downloads'!$P$5:$Q$487,2,FALSE)</f>
        <v>CI01</v>
      </c>
      <c r="ER1" s="46" t="str">
        <f>VLOOKUP(ER2,'Sch Nums for Downloads'!$P$5:$Q$487,2,FALSE)</f>
        <v>I06</v>
      </c>
      <c r="ES1" s="46" t="str">
        <f>VLOOKUP(ES2,'Sch Nums for Downloads'!$P$5:$Q$487,2,FALSE)</f>
        <v>I06</v>
      </c>
      <c r="ET1" s="46" t="str">
        <f>VLOOKUP(ET2,'Sch Nums for Downloads'!$P$5:$Q$487,2,FALSE)</f>
        <v>B01</v>
      </c>
      <c r="EU1" s="46" t="str">
        <f>VLOOKUP(EU2,'Sch Nums for Downloads'!$P$5:$Q$487,2,FALSE)</f>
        <v>B02</v>
      </c>
      <c r="EV1" s="46" t="str">
        <f>VLOOKUP(EV2,'Sch Nums for Downloads'!$P$5:$Q$487,2,FALSE)</f>
        <v>B03</v>
      </c>
      <c r="EW1" s="46" t="str">
        <f>VLOOKUP(EW2,'Sch Nums for Downloads'!$P$5:$Q$487,2,FALSE)</f>
        <v>B06</v>
      </c>
      <c r="EX1" s="46" t="str">
        <f>VLOOKUP(EX2,'Sch Nums for Downloads'!$P$5:$Q$487,2,FALSE)</f>
        <v>I03</v>
      </c>
      <c r="EY1" s="46" t="str">
        <f>VLOOKUP(EY2,'Sch Nums for Downloads'!$P$5:$Q$487,2,FALSE)</f>
        <v>E23</v>
      </c>
      <c r="EZ1" s="46" t="str">
        <f>VLOOKUP(EZ2,'Sch Nums for Downloads'!$P$5:$Q$487,2,FALSE)</f>
        <v>E10</v>
      </c>
      <c r="FA1" s="46" t="str">
        <f>VLOOKUP(FA2,'Sch Nums for Downloads'!$P$5:$Q$487,2,FALSE)</f>
        <v>B 01_01</v>
      </c>
      <c r="FB1" s="46" t="str">
        <f>VLOOKUP(FB2,'Sch Nums for Downloads'!$P$5:$Q$487,2,FALSE)</f>
        <v>I01</v>
      </c>
      <c r="FC1" s="46" t="str">
        <f>VLOOKUP(FC2,'Sch Nums for Downloads'!$P$5:$Q$487,2,FALSE)</f>
        <v>I01</v>
      </c>
      <c r="FD1" s="46" t="str">
        <f>VLOOKUP(FD2,'Sch Nums for Downloads'!$P$5:$Q$487,2,FALSE)</f>
        <v>E09</v>
      </c>
      <c r="FE1" s="46" t="str">
        <f>VLOOKUP(FE2,'Sch Nums for Downloads'!$P$5:$Q$487,2,FALSE)</f>
        <v>E10</v>
      </c>
      <c r="FF1" s="46" t="str">
        <f>VLOOKUP(FF2,'Sch Nums for Downloads'!$P$5:$Q$487,2,FALSE)</f>
        <v>E12</v>
      </c>
      <c r="FG1" s="46" t="str">
        <f>VLOOKUP(FG2,'Sch Nums for Downloads'!$P$5:$Q$487,2,FALSE)</f>
        <v>E13</v>
      </c>
      <c r="FH1" s="46" t="str">
        <f>VLOOKUP(FH2,'Sch Nums for Downloads'!$P$5:$Q$487,2,FALSE)</f>
        <v>E14</v>
      </c>
      <c r="FI1" s="46" t="str">
        <f>VLOOKUP(FI2,'Sch Nums for Downloads'!$P$5:$Q$487,2,FALSE)</f>
        <v>E25</v>
      </c>
      <c r="FJ1" s="46" t="str">
        <f>VLOOKUP(FJ2,'Sch Nums for Downloads'!$P$5:$Q$487,2,FALSE)</f>
        <v>E27</v>
      </c>
      <c r="FK1" s="46" t="str">
        <f>VLOOKUP(FK2,'Sch Nums for Downloads'!$P$5:$Q$487,2,FALSE)</f>
        <v>E28A</v>
      </c>
      <c r="FL1" s="46" t="str">
        <f>VLOOKUP(FL2,'Sch Nums for Downloads'!$P$5:$Q$487,2,FALSE)</f>
        <v>E28A</v>
      </c>
      <c r="FM1" s="46" t="str">
        <f>VLOOKUP(FM2,'Sch Nums for Downloads'!$P$5:$Q$487,2,FALSE)</f>
        <v>E28A</v>
      </c>
      <c r="FN1" s="46" t="str">
        <f>VLOOKUP(FN2,'Sch Nums for Downloads'!$P$5:$Q$487,2,FALSE)</f>
        <v>E28A</v>
      </c>
      <c r="FO1" s="46" t="str">
        <f>VLOOKUP(FO2,'Sch Nums for Downloads'!$P$5:$Q$487,2,FALSE)</f>
        <v>E20G</v>
      </c>
      <c r="FP1" s="46" t="str">
        <f>VLOOKUP(FP2,'Sch Nums for Downloads'!$P$5:$Q$487,2,FALSE)</f>
        <v>E28A</v>
      </c>
      <c r="FQ1" s="46" t="str">
        <f>VLOOKUP(FQ2,'Sch Nums for Downloads'!$P$5:$Q$487,2,FALSE)</f>
        <v>E28A</v>
      </c>
      <c r="FR1" s="46" t="str">
        <f>VLOOKUP(FR2,'Sch Nums for Downloads'!$P$5:$Q$487,2,FALSE)</f>
        <v>E18</v>
      </c>
      <c r="FS1" s="46" t="str">
        <f>VLOOKUP(FS2,'Sch Nums for Downloads'!$P$5:$Q$487,2,FALSE)</f>
        <v>E19</v>
      </c>
      <c r="FT1" s="46" t="str">
        <f>VLOOKUP(FT2,'Sch Nums for Downloads'!$P$5:$Q$487,2,FALSE)</f>
        <v>E19</v>
      </c>
      <c r="FU1" s="46" t="str">
        <f>VLOOKUP(FU2,'Sch Nums for Downloads'!$P$5:$Q$487,2,FALSE)</f>
        <v>E30</v>
      </c>
      <c r="FV1" s="46" t="str">
        <f>VLOOKUP(FV2,'Sch Nums for Downloads'!$P$5:$Q$487,2,FALSE)</f>
        <v>CI04</v>
      </c>
      <c r="FW1" s="46" t="str">
        <f>VLOOKUP(FW2,'Sch Nums for Downloads'!$P$5:$Q$487,2,FALSE)</f>
        <v>I05</v>
      </c>
      <c r="FX1" s="46" t="str">
        <f>VLOOKUP(FX2,'Sch Nums for Downloads'!$P$5:$Q$487,2,FALSE)</f>
        <v>I06</v>
      </c>
      <c r="FY1" s="46" t="str">
        <f>VLOOKUP(FY2,'Sch Nums for Downloads'!$P$5:$Q$487,2,FALSE)</f>
        <v>I07</v>
      </c>
      <c r="FZ1" s="46" t="str">
        <f>VLOOKUP(FZ2,'Sch Nums for Downloads'!$P$5:$Q$487,2,FALSE)</f>
        <v>CI03</v>
      </c>
      <c r="GA1" s="46" t="str">
        <f>VLOOKUP(GA2,'Sch Nums for Downloads'!$P$5:$Q$487,2,FALSE)</f>
        <v>I10</v>
      </c>
      <c r="GB1" s="46" t="str">
        <f>VLOOKUP(GB2,'Sch Nums for Downloads'!$P$5:$Q$487,2,FALSE)</f>
        <v>I03</v>
      </c>
      <c r="GC1" s="46" t="str">
        <f>VLOOKUP(GC2,'Sch Nums for Downloads'!$P$5:$Q$487,2,FALSE)</f>
        <v>I13</v>
      </c>
      <c r="GD1" s="46" t="str">
        <f>VLOOKUP(GD2,'Sch Nums for Downloads'!$P$5:$Q$487,2,FALSE)</f>
        <v>I12</v>
      </c>
      <c r="GE1" s="46" t="str">
        <f>VLOOKUP(GE2,'Sch Nums for Downloads'!$P$5:$Q$487,2,FALSE)</f>
        <v>I12</v>
      </c>
      <c r="GF1" s="46" t="str">
        <f>VLOOKUP(GF2,'Sch Nums for Downloads'!$P$5:$Q$487,2,FALSE)</f>
        <v>I11</v>
      </c>
      <c r="GG1" s="46" t="str">
        <f>VLOOKUP(GG2,'Sch Nums for Downloads'!$P$5:$Q$487,2,FALSE)</f>
        <v>I09</v>
      </c>
      <c r="GH1" s="46" t="str">
        <f>VLOOKUP(GH2,'Sch Nums for Downloads'!$P$5:$Q$487,2,FALSE)</f>
        <v>I 08b</v>
      </c>
      <c r="GI1" s="46" t="str">
        <f>VLOOKUP(GI2,'Sch Nums for Downloads'!$P$5:$Q$487,2,FALSE)</f>
        <v>I 08b</v>
      </c>
      <c r="GJ1" s="46" t="str">
        <f>VLOOKUP(GJ2,'Sch Nums for Downloads'!$P$5:$Q$487,2,FALSE)</f>
        <v>I 08a</v>
      </c>
      <c r="GK1" s="46" t="str">
        <f>VLOOKUP(GK2,'Sch Nums for Downloads'!$P$5:$Q$487,2,FALSE)</f>
        <v>I 08b</v>
      </c>
      <c r="GL1" s="46" t="str">
        <f>VLOOKUP(GL2,'Sch Nums for Downloads'!$P$5:$Q$487,2,FALSE)</f>
        <v>I 08b</v>
      </c>
      <c r="GM1" s="46" t="str">
        <f>VLOOKUP(GM2,'Sch Nums for Downloads'!$P$5:$Q$487,2,FALSE)</f>
        <v>I 08b</v>
      </c>
      <c r="GN1" s="46" t="str">
        <f>VLOOKUP(GN2,'Sch Nums for Downloads'!$P$5:$Q$487,2,FALSE)</f>
        <v>I 08b</v>
      </c>
      <c r="GO1" s="46" t="str">
        <f>VLOOKUP(GO2,'Sch Nums for Downloads'!$P$5:$Q$487,2,FALSE)</f>
        <v>I 08b</v>
      </c>
      <c r="GP1" s="46" t="str">
        <f>VLOOKUP(GP2,'Sch Nums for Downloads'!$P$5:$Q$487,2,FALSE)</f>
        <v>I17</v>
      </c>
      <c r="GQ1" s="46" t="str">
        <f>VLOOKUP(GQ2,'Sch Nums for Downloads'!$P$5:$Q$487,2,FALSE)</f>
        <v>I 08b</v>
      </c>
      <c r="GR1" s="46" t="e">
        <f>VLOOKUP(GR2,'Sch Nums for Downloads'!$P$5:$Q$487,2,FALSE)</f>
        <v>#N/A</v>
      </c>
      <c r="GS1" s="46" t="e">
        <f>VLOOKUP(GS2,'Sch Nums for Downloads'!$P$5:$Q$487,2,FALSE)</f>
        <v>#N/A</v>
      </c>
      <c r="GT1" s="46" t="e">
        <f>VLOOKUP(GT2,'Sch Nums for Downloads'!$P$5:$Q$487,2,FALSE)</f>
        <v>#N/A</v>
      </c>
    </row>
    <row r="2" spans="1:280"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10158</v>
      </c>
      <c r="P2" s="408">
        <v>10159</v>
      </c>
      <c r="Q2" s="408">
        <v>10181</v>
      </c>
      <c r="R2" s="408">
        <v>10182</v>
      </c>
      <c r="S2" s="408">
        <v>10184</v>
      </c>
      <c r="T2" s="408">
        <v>10188</v>
      </c>
      <c r="U2" s="408">
        <v>10189</v>
      </c>
      <c r="V2" s="408">
        <v>10191</v>
      </c>
      <c r="W2" s="408">
        <v>10192</v>
      </c>
      <c r="X2" s="408">
        <v>10194</v>
      </c>
      <c r="Y2" s="408">
        <v>10198</v>
      </c>
      <c r="Z2" s="408">
        <v>10199</v>
      </c>
      <c r="AA2" s="408">
        <v>10201</v>
      </c>
      <c r="AB2" s="408">
        <v>10202</v>
      </c>
      <c r="AC2" s="408">
        <v>10204</v>
      </c>
      <c r="AD2" s="408">
        <v>10208</v>
      </c>
      <c r="AE2" s="408">
        <v>10209</v>
      </c>
      <c r="AF2" s="408">
        <v>10231</v>
      </c>
      <c r="AG2" s="408">
        <v>10232</v>
      </c>
      <c r="AH2" s="408">
        <v>10234</v>
      </c>
      <c r="AI2" s="408">
        <v>10238</v>
      </c>
      <c r="AJ2" s="408">
        <v>10239</v>
      </c>
      <c r="AK2" s="408">
        <v>10241</v>
      </c>
      <c r="AL2" s="408">
        <v>10242</v>
      </c>
      <c r="AM2" s="408">
        <v>10244</v>
      </c>
      <c r="AN2" s="408">
        <v>10248</v>
      </c>
      <c r="AO2" s="408">
        <v>10249</v>
      </c>
      <c r="AP2" s="408">
        <v>10831</v>
      </c>
      <c r="AQ2" s="408">
        <v>10832</v>
      </c>
      <c r="AR2" s="408">
        <v>10834</v>
      </c>
      <c r="AS2" s="408">
        <v>10838</v>
      </c>
      <c r="AT2" s="408">
        <v>10839</v>
      </c>
      <c r="AU2" s="408">
        <v>10841</v>
      </c>
      <c r="AV2" s="408">
        <v>10842</v>
      </c>
      <c r="AW2" s="408">
        <v>10844</v>
      </c>
      <c r="AX2" s="408">
        <v>10848</v>
      </c>
      <c r="AY2" s="408">
        <v>10849</v>
      </c>
      <c r="AZ2" s="408">
        <v>10851</v>
      </c>
      <c r="BA2" s="408">
        <v>10852</v>
      </c>
      <c r="BB2" s="408">
        <v>10858</v>
      </c>
      <c r="BC2" s="408">
        <v>10859</v>
      </c>
      <c r="BD2" s="408">
        <v>10861</v>
      </c>
      <c r="BE2" s="408">
        <v>10862</v>
      </c>
      <c r="BF2" s="408">
        <v>10864</v>
      </c>
      <c r="BG2" s="408">
        <v>10868</v>
      </c>
      <c r="BH2" s="408">
        <v>10869</v>
      </c>
      <c r="BI2" s="408">
        <v>10901</v>
      </c>
      <c r="BJ2" s="408">
        <v>10902</v>
      </c>
      <c r="BK2" s="408">
        <v>10908</v>
      </c>
      <c r="BL2" s="408">
        <v>10909</v>
      </c>
      <c r="BM2" s="408">
        <v>11010</v>
      </c>
      <c r="BN2" s="408">
        <v>11020</v>
      </c>
      <c r="BO2" s="408">
        <v>11050</v>
      </c>
      <c r="BP2" s="408">
        <v>11100</v>
      </c>
      <c r="BQ2" s="408">
        <v>11110</v>
      </c>
      <c r="BR2" s="408">
        <v>11120</v>
      </c>
      <c r="BS2" s="408">
        <v>11150</v>
      </c>
      <c r="BT2" s="408">
        <v>11170</v>
      </c>
      <c r="BU2" s="408">
        <v>11770</v>
      </c>
      <c r="BV2" s="408">
        <v>13035</v>
      </c>
      <c r="BW2" s="408">
        <v>19999</v>
      </c>
      <c r="BX2" s="408">
        <v>20060</v>
      </c>
      <c r="BY2" s="408">
        <v>20110</v>
      </c>
      <c r="BZ2" s="408">
        <v>20130</v>
      </c>
      <c r="CA2" s="408">
        <v>20141</v>
      </c>
      <c r="CB2" s="408">
        <v>20142</v>
      </c>
      <c r="CC2" s="408">
        <v>20144</v>
      </c>
      <c r="CD2" s="408">
        <v>20145</v>
      </c>
      <c r="CE2" s="408">
        <v>20190</v>
      </c>
      <c r="CF2" s="408">
        <v>20200</v>
      </c>
      <c r="CG2" s="408">
        <v>21010</v>
      </c>
      <c r="CH2" s="408">
        <v>21020</v>
      </c>
      <c r="CI2" s="408">
        <v>21030</v>
      </c>
      <c r="CJ2" s="408">
        <v>22000</v>
      </c>
      <c r="CK2" s="408">
        <v>22030</v>
      </c>
      <c r="CL2" s="408">
        <v>22400</v>
      </c>
      <c r="CM2" s="408">
        <v>22700</v>
      </c>
      <c r="CN2" s="408">
        <v>23020</v>
      </c>
      <c r="CO2" s="408">
        <v>25020</v>
      </c>
      <c r="CP2" s="408">
        <v>25030</v>
      </c>
      <c r="CQ2" s="408">
        <v>30010</v>
      </c>
      <c r="CR2" s="408">
        <v>30030</v>
      </c>
      <c r="CS2" s="408">
        <v>30070</v>
      </c>
      <c r="CT2" s="408">
        <v>30160</v>
      </c>
      <c r="CU2" s="408">
        <v>33000</v>
      </c>
      <c r="CV2" s="408">
        <v>33020</v>
      </c>
      <c r="CW2" s="408">
        <v>34010</v>
      </c>
      <c r="CX2" s="408">
        <v>40000</v>
      </c>
      <c r="CY2" s="408">
        <v>40003</v>
      </c>
      <c r="CZ2" s="408">
        <v>40004</v>
      </c>
      <c r="DA2" s="408">
        <v>40005</v>
      </c>
      <c r="DB2" s="408">
        <v>40280</v>
      </c>
      <c r="DC2" s="408">
        <v>40450</v>
      </c>
      <c r="DD2" s="408">
        <v>40510</v>
      </c>
      <c r="DE2" s="408">
        <v>40540</v>
      </c>
      <c r="DF2" s="408">
        <v>41500</v>
      </c>
      <c r="DG2" s="408">
        <v>42000</v>
      </c>
      <c r="DH2" s="408">
        <v>42040</v>
      </c>
      <c r="DI2" s="408">
        <v>43010</v>
      </c>
      <c r="DJ2" s="408">
        <v>43040</v>
      </c>
      <c r="DK2" s="107">
        <v>44000</v>
      </c>
      <c r="DL2" s="427">
        <v>44100</v>
      </c>
      <c r="DM2" s="408">
        <v>44280</v>
      </c>
      <c r="DN2" s="408">
        <v>44281</v>
      </c>
      <c r="DO2" s="408">
        <v>44282</v>
      </c>
      <c r="DP2" s="408">
        <v>44600</v>
      </c>
      <c r="DQ2" s="408">
        <v>44601</v>
      </c>
      <c r="DR2" s="408">
        <v>44602</v>
      </c>
      <c r="DS2" s="408">
        <v>44603</v>
      </c>
      <c r="DT2" s="408">
        <v>44604</v>
      </c>
      <c r="DU2" s="408">
        <v>44605</v>
      </c>
      <c r="DV2" s="408">
        <v>45010</v>
      </c>
      <c r="DW2" s="408">
        <v>47710</v>
      </c>
      <c r="DX2" s="408">
        <v>47730</v>
      </c>
      <c r="DY2" s="408">
        <v>47733</v>
      </c>
      <c r="DZ2" s="408">
        <v>47735</v>
      </c>
      <c r="EA2" s="408">
        <v>47740</v>
      </c>
      <c r="EB2" s="408">
        <v>47780</v>
      </c>
      <c r="EC2" s="408">
        <v>47820</v>
      </c>
      <c r="ED2" s="408">
        <v>47840</v>
      </c>
      <c r="EE2" s="408">
        <v>47850</v>
      </c>
      <c r="EF2" s="408">
        <v>49999</v>
      </c>
      <c r="EG2" s="408">
        <v>57040</v>
      </c>
      <c r="EH2" s="408">
        <v>61840</v>
      </c>
      <c r="EI2" s="408">
        <v>73000</v>
      </c>
      <c r="EJ2" s="408">
        <v>73003</v>
      </c>
      <c r="EK2" s="408">
        <v>73004</v>
      </c>
      <c r="EL2" s="408">
        <v>73007</v>
      </c>
      <c r="EM2" s="408">
        <v>73012</v>
      </c>
      <c r="EN2" s="408">
        <v>73023</v>
      </c>
      <c r="EO2" s="408">
        <v>73025</v>
      </c>
      <c r="EP2" s="408">
        <v>73030</v>
      </c>
      <c r="EQ2" s="408">
        <v>73031</v>
      </c>
      <c r="ER2" s="408">
        <v>73032</v>
      </c>
      <c r="ES2" s="408">
        <v>73033</v>
      </c>
      <c r="ET2" s="408">
        <v>73037</v>
      </c>
      <c r="EU2" s="408">
        <v>73038</v>
      </c>
      <c r="EV2" s="408">
        <v>73039</v>
      </c>
      <c r="EW2" s="408">
        <v>73042</v>
      </c>
      <c r="EX2" s="408">
        <v>73050</v>
      </c>
      <c r="EY2" s="408">
        <v>73051</v>
      </c>
      <c r="EZ2" s="408">
        <v>73052</v>
      </c>
      <c r="FA2" s="408">
        <v>73056</v>
      </c>
      <c r="FB2" s="408">
        <v>73066</v>
      </c>
      <c r="FC2" s="408">
        <v>73068</v>
      </c>
      <c r="FD2" s="408">
        <v>73621</v>
      </c>
      <c r="FE2" s="408">
        <v>73622</v>
      </c>
      <c r="FF2" s="408">
        <v>73624</v>
      </c>
      <c r="FG2" s="408">
        <v>73625</v>
      </c>
      <c r="FH2" s="408">
        <v>73626</v>
      </c>
      <c r="FI2" s="408">
        <v>73627</v>
      </c>
      <c r="FJ2" s="408">
        <v>73628</v>
      </c>
      <c r="FK2" s="408">
        <v>73629</v>
      </c>
      <c r="FL2" s="408">
        <v>73630</v>
      </c>
      <c r="FM2" s="408">
        <v>73631</v>
      </c>
      <c r="FN2" s="408">
        <v>73632</v>
      </c>
      <c r="FO2" s="408">
        <v>73633</v>
      </c>
      <c r="FP2" s="408">
        <v>73634</v>
      </c>
      <c r="FQ2" s="408">
        <v>73635</v>
      </c>
      <c r="FR2" s="408">
        <v>73636</v>
      </c>
      <c r="FS2" s="408">
        <v>73639</v>
      </c>
      <c r="FT2" s="408">
        <v>73650</v>
      </c>
      <c r="FU2" s="408">
        <v>75500</v>
      </c>
      <c r="FV2" s="408">
        <v>79101</v>
      </c>
      <c r="FW2" s="408">
        <v>80001</v>
      </c>
      <c r="FX2" s="408">
        <v>80003</v>
      </c>
      <c r="FY2" s="408">
        <v>80907</v>
      </c>
      <c r="FZ2" s="408">
        <v>80908</v>
      </c>
      <c r="GA2" s="408">
        <v>81101</v>
      </c>
      <c r="GB2" s="408">
        <v>81200</v>
      </c>
      <c r="GC2" s="408">
        <v>81304</v>
      </c>
      <c r="GD2" s="408">
        <v>81305</v>
      </c>
      <c r="GE2" s="408">
        <v>81315</v>
      </c>
      <c r="GF2" s="408">
        <v>81409</v>
      </c>
      <c r="GG2" s="408">
        <v>82000</v>
      </c>
      <c r="GH2" s="408">
        <v>82005</v>
      </c>
      <c r="GI2" s="408">
        <v>82300</v>
      </c>
      <c r="GJ2" s="408">
        <v>82306</v>
      </c>
      <c r="GK2" s="408">
        <v>82312</v>
      </c>
      <c r="GL2" s="408">
        <v>82400</v>
      </c>
      <c r="GM2" s="408">
        <v>82538</v>
      </c>
      <c r="GN2" s="408">
        <v>82700</v>
      </c>
      <c r="GO2" s="408">
        <v>82711</v>
      </c>
      <c r="GP2" s="408">
        <v>82716</v>
      </c>
      <c r="GQ2" s="408">
        <v>83003</v>
      </c>
      <c r="GS2" s="408" t="s">
        <v>1004</v>
      </c>
    </row>
    <row r="3" spans="1:280" s="142" customFormat="1" ht="13.5" customHeight="1">
      <c r="A3" s="425">
        <v>107900</v>
      </c>
      <c r="B3" s="426"/>
      <c r="C3" s="426">
        <v>822054.98</v>
      </c>
      <c r="D3" s="426">
        <v>5886.0499999999984</v>
      </c>
      <c r="E3" s="426">
        <v>140178.12999999998</v>
      </c>
      <c r="F3" s="426">
        <v>224472.75000000006</v>
      </c>
      <c r="G3" s="426">
        <v>106899.01</v>
      </c>
      <c r="H3" s="426">
        <v>16998.189999999999</v>
      </c>
      <c r="I3" s="426">
        <v>23.73</v>
      </c>
      <c r="J3" s="426">
        <v>4875.09</v>
      </c>
      <c r="K3" s="426">
        <v>1810.52</v>
      </c>
      <c r="L3" s="426"/>
      <c r="M3" s="426"/>
      <c r="N3" s="426"/>
      <c r="O3" s="426"/>
      <c r="P3" s="426"/>
      <c r="Q3" s="426">
        <v>10813.49</v>
      </c>
      <c r="R3" s="426">
        <v>341.65000000000003</v>
      </c>
      <c r="S3" s="426"/>
      <c r="T3" s="426">
        <v>2961.16</v>
      </c>
      <c r="U3" s="426">
        <v>1202.82</v>
      </c>
      <c r="V3" s="426">
        <v>29808.290000000005</v>
      </c>
      <c r="W3" s="426">
        <v>612.79</v>
      </c>
      <c r="X3" s="426"/>
      <c r="Y3" s="426">
        <v>4959.7900000000009</v>
      </c>
      <c r="Z3" s="426">
        <v>1017.3499999999998</v>
      </c>
      <c r="AA3" s="426"/>
      <c r="AB3" s="426"/>
      <c r="AC3" s="426"/>
      <c r="AD3" s="426"/>
      <c r="AE3" s="426"/>
      <c r="AF3" s="426">
        <v>554602.35</v>
      </c>
      <c r="AG3" s="426">
        <v>11765.43</v>
      </c>
      <c r="AH3" s="426">
        <v>3839.3999999999996</v>
      </c>
      <c r="AI3" s="426">
        <v>148636.16</v>
      </c>
      <c r="AJ3" s="426">
        <v>60061.100000000006</v>
      </c>
      <c r="AK3" s="426"/>
      <c r="AL3" s="426"/>
      <c r="AM3" s="426"/>
      <c r="AN3" s="426"/>
      <c r="AO3" s="426"/>
      <c r="AP3" s="426">
        <v>101877.71999999999</v>
      </c>
      <c r="AQ3" s="426">
        <v>542.75</v>
      </c>
      <c r="AR3" s="426">
        <v>362.93</v>
      </c>
      <c r="AS3" s="426">
        <v>12774.320000000002</v>
      </c>
      <c r="AT3" s="426">
        <v>8352.07</v>
      </c>
      <c r="AU3" s="426"/>
      <c r="AV3" s="426"/>
      <c r="AW3" s="426"/>
      <c r="AX3" s="426"/>
      <c r="AY3" s="426"/>
      <c r="AZ3" s="426"/>
      <c r="BA3" s="426"/>
      <c r="BB3" s="426"/>
      <c r="BC3" s="426"/>
      <c r="BD3" s="426">
        <v>35309.89</v>
      </c>
      <c r="BE3" s="426"/>
      <c r="BF3" s="426"/>
      <c r="BG3" s="426">
        <v>7672.8099999999986</v>
      </c>
      <c r="BH3" s="426">
        <v>3799.5000000000005</v>
      </c>
      <c r="BI3" s="426"/>
      <c r="BJ3" s="426"/>
      <c r="BK3" s="426"/>
      <c r="BL3" s="426"/>
      <c r="BM3" s="426"/>
      <c r="BN3" s="426"/>
      <c r="BO3" s="426"/>
      <c r="BP3" s="426"/>
      <c r="BQ3" s="426"/>
      <c r="BR3" s="426"/>
      <c r="BS3" s="426">
        <v>1100</v>
      </c>
      <c r="BT3" s="426"/>
      <c r="BU3" s="426"/>
      <c r="BV3" s="426"/>
      <c r="BW3" s="426"/>
      <c r="BX3" s="426">
        <v>34664.880000000012</v>
      </c>
      <c r="BY3" s="426"/>
      <c r="BZ3" s="426">
        <v>14712.39</v>
      </c>
      <c r="CA3" s="426"/>
      <c r="CB3" s="426"/>
      <c r="CC3" s="426"/>
      <c r="CD3" s="426"/>
      <c r="CE3" s="426"/>
      <c r="CF3" s="426"/>
      <c r="CG3" s="426">
        <v>32126.78</v>
      </c>
      <c r="CH3" s="426">
        <v>17027.3</v>
      </c>
      <c r="CI3" s="426"/>
      <c r="CJ3" s="426"/>
      <c r="CK3" s="426"/>
      <c r="CL3" s="426">
        <v>13431.6</v>
      </c>
      <c r="CM3" s="426">
        <v>10132.68</v>
      </c>
      <c r="CN3" s="426"/>
      <c r="CO3" s="426">
        <v>2960.7999999999997</v>
      </c>
      <c r="CP3" s="426">
        <v>195.48</v>
      </c>
      <c r="CQ3" s="426"/>
      <c r="CR3" s="426"/>
      <c r="CS3" s="426"/>
      <c r="CT3" s="426"/>
      <c r="CU3" s="426"/>
      <c r="CV3" s="426"/>
      <c r="CW3" s="426"/>
      <c r="CX3" s="426">
        <v>15900.62</v>
      </c>
      <c r="CY3" s="426"/>
      <c r="CZ3" s="426"/>
      <c r="DA3" s="426"/>
      <c r="DB3" s="426"/>
      <c r="DC3" s="426"/>
      <c r="DD3" s="426">
        <v>29888.139999999996</v>
      </c>
      <c r="DE3" s="426">
        <v>1515.69</v>
      </c>
      <c r="DF3" s="426"/>
      <c r="DG3" s="426">
        <v>5023.83</v>
      </c>
      <c r="DH3" s="426">
        <v>7155.66</v>
      </c>
      <c r="DI3" s="426">
        <v>114465.26999999999</v>
      </c>
      <c r="DJ3" s="426"/>
      <c r="DK3" s="304">
        <v>62.510000000000005</v>
      </c>
      <c r="DL3" s="426">
        <v>2793.68</v>
      </c>
      <c r="DM3" s="426">
        <v>54.99</v>
      </c>
      <c r="DN3" s="426">
        <v>10590.369999999997</v>
      </c>
      <c r="DO3" s="426"/>
      <c r="DP3" s="426"/>
      <c r="DQ3" s="426">
        <v>4351.97</v>
      </c>
      <c r="DR3" s="426"/>
      <c r="DS3" s="426">
        <v>9070</v>
      </c>
      <c r="DT3" s="426">
        <v>5000</v>
      </c>
      <c r="DU3" s="426"/>
      <c r="DV3" s="426"/>
      <c r="DW3" s="426"/>
      <c r="DX3" s="426"/>
      <c r="DY3" s="426"/>
      <c r="DZ3" s="426">
        <v>11786.67</v>
      </c>
      <c r="EA3" s="426">
        <v>8599.2099999999991</v>
      </c>
      <c r="EB3" s="426">
        <v>50.100000000000179</v>
      </c>
      <c r="EC3" s="426">
        <v>19276.86</v>
      </c>
      <c r="ED3" s="426"/>
      <c r="EE3" s="426"/>
      <c r="EF3" s="426"/>
      <c r="EG3" s="426"/>
      <c r="EH3" s="426"/>
      <c r="EI3" s="426">
        <v>-2135470.4700000002</v>
      </c>
      <c r="EJ3" s="426"/>
      <c r="EK3" s="426">
        <v>-925</v>
      </c>
      <c r="EL3" s="426">
        <v>-233775</v>
      </c>
      <c r="EM3" s="426">
        <v>74.47</v>
      </c>
      <c r="EN3" s="426"/>
      <c r="EO3" s="426"/>
      <c r="EP3" s="426"/>
      <c r="EQ3" s="426">
        <v>-8027.5</v>
      </c>
      <c r="ER3" s="426">
        <v>-24222</v>
      </c>
      <c r="ES3" s="426">
        <v>-17462</v>
      </c>
      <c r="ET3" s="426">
        <v>-208581.73</v>
      </c>
      <c r="EU3" s="426"/>
      <c r="EV3" s="426">
        <v>-11200</v>
      </c>
      <c r="EW3" s="426"/>
      <c r="EX3" s="426">
        <v>-282272</v>
      </c>
      <c r="EY3" s="426">
        <v>7268.27</v>
      </c>
      <c r="EZ3" s="426">
        <v>1076.6500000000001</v>
      </c>
      <c r="FA3" s="426">
        <v>-6690.55</v>
      </c>
      <c r="FB3" s="426">
        <v>-19804</v>
      </c>
      <c r="FC3" s="426">
        <v>-41378</v>
      </c>
      <c r="FD3" s="426">
        <v>1608</v>
      </c>
      <c r="FE3" s="426"/>
      <c r="FF3" s="426">
        <v>3689.24</v>
      </c>
      <c r="FG3" s="426">
        <v>787</v>
      </c>
      <c r="FH3" s="426">
        <v>43888.88</v>
      </c>
      <c r="FI3" s="426">
        <v>94523.22</v>
      </c>
      <c r="FJ3" s="426"/>
      <c r="FK3" s="426">
        <v>10762.25</v>
      </c>
      <c r="FL3" s="426"/>
      <c r="FM3" s="426">
        <v>3001.94</v>
      </c>
      <c r="FN3" s="426">
        <v>6316.49</v>
      </c>
      <c r="FO3" s="426">
        <v>3706.5</v>
      </c>
      <c r="FP3" s="426">
        <v>560</v>
      </c>
      <c r="FQ3" s="426">
        <v>1423.66</v>
      </c>
      <c r="FR3" s="426">
        <v>4759.1200000000017</v>
      </c>
      <c r="FS3" s="426"/>
      <c r="FT3" s="426"/>
      <c r="FU3" s="426"/>
      <c r="FV3" s="426"/>
      <c r="FW3" s="426">
        <v>-1207.19</v>
      </c>
      <c r="FX3" s="426"/>
      <c r="FY3" s="426"/>
      <c r="FZ3" s="426"/>
      <c r="GA3" s="426"/>
      <c r="GB3" s="426"/>
      <c r="GC3" s="426">
        <v>-29141.84</v>
      </c>
      <c r="GD3" s="426">
        <v>-7793.3999999999978</v>
      </c>
      <c r="GE3" s="426"/>
      <c r="GF3" s="426"/>
      <c r="GG3" s="426">
        <v>1761.2699999999995</v>
      </c>
      <c r="GH3" s="426"/>
      <c r="GI3" s="426">
        <v>-1250</v>
      </c>
      <c r="GJ3" s="426"/>
      <c r="GK3" s="426"/>
      <c r="GL3" s="426"/>
      <c r="GM3" s="426"/>
      <c r="GN3" s="426">
        <v>-1095</v>
      </c>
      <c r="GO3" s="426"/>
      <c r="GP3" s="426"/>
      <c r="GQ3" s="426">
        <v>-12617.53</v>
      </c>
      <c r="GR3" s="426"/>
      <c r="GS3" s="426"/>
      <c r="GT3" s="426"/>
      <c r="GU3" s="428"/>
      <c r="GV3" s="428"/>
      <c r="GW3" s="428"/>
      <c r="GX3" s="428"/>
      <c r="GY3" s="428"/>
      <c r="GZ3" s="428"/>
      <c r="HA3" s="428"/>
      <c r="HB3" s="428"/>
      <c r="HC3" s="428"/>
      <c r="HD3" s="428"/>
      <c r="HE3" s="428"/>
      <c r="HF3" s="428"/>
      <c r="HG3" s="428"/>
      <c r="HH3" s="428"/>
      <c r="HI3" s="428"/>
      <c r="HJ3" s="428"/>
      <c r="HK3" s="428"/>
      <c r="HL3" s="428"/>
      <c r="HM3" s="428"/>
      <c r="HN3" s="428"/>
      <c r="HO3" s="428"/>
      <c r="HP3" s="428"/>
      <c r="HQ3" s="428"/>
      <c r="HR3" s="428"/>
      <c r="HS3" s="428"/>
      <c r="HT3" s="428"/>
      <c r="HU3" s="428"/>
      <c r="HV3" s="428"/>
      <c r="HW3" s="428"/>
      <c r="HX3" s="428"/>
      <c r="HY3" s="428"/>
      <c r="HZ3" s="428"/>
      <c r="IA3" s="428"/>
      <c r="IB3" s="428"/>
      <c r="IC3" s="428"/>
      <c r="ID3" s="428"/>
      <c r="IE3" s="428"/>
      <c r="IF3" s="428"/>
      <c r="IG3" s="428"/>
      <c r="IH3" s="428"/>
      <c r="II3" s="428"/>
      <c r="IJ3" s="428"/>
      <c r="IK3" s="428"/>
      <c r="IL3" s="428"/>
      <c r="IM3" s="428"/>
      <c r="IN3" s="428"/>
      <c r="IO3" s="428"/>
      <c r="IP3" s="428"/>
      <c r="IQ3" s="428"/>
      <c r="IR3" s="428"/>
      <c r="IS3" s="428"/>
      <c r="IT3" s="428"/>
      <c r="IU3" s="428"/>
      <c r="IV3" s="428"/>
      <c r="IW3" s="428"/>
      <c r="IX3" s="428"/>
      <c r="IY3" s="428"/>
      <c r="IZ3" s="428"/>
      <c r="JA3" s="428"/>
      <c r="JB3" s="428"/>
      <c r="JC3" s="428"/>
      <c r="JD3" s="428"/>
      <c r="JE3" s="428"/>
      <c r="JF3" s="428"/>
      <c r="JG3" s="428"/>
      <c r="JH3" s="428"/>
      <c r="JI3" s="428"/>
      <c r="JJ3" s="428"/>
      <c r="JK3" s="428"/>
      <c r="JL3" s="428"/>
      <c r="JM3" s="428"/>
      <c r="JN3" s="428"/>
      <c r="JO3" s="428"/>
      <c r="JP3" s="428"/>
      <c r="JQ3" s="428"/>
      <c r="JR3" s="428"/>
      <c r="JS3" s="428"/>
      <c r="JT3" s="428"/>
    </row>
    <row r="4" spans="1:280">
      <c r="A4" s="116">
        <v>107906</v>
      </c>
      <c r="B4" s="304">
        <v>0</v>
      </c>
      <c r="C4" s="304">
        <v>503997.88000000006</v>
      </c>
      <c r="D4" s="304">
        <v>2814.4</v>
      </c>
      <c r="E4" s="304">
        <v>4469</v>
      </c>
      <c r="F4" s="304">
        <v>145187.67000000001</v>
      </c>
      <c r="G4" s="304">
        <v>67155.640000000014</v>
      </c>
      <c r="H4" s="304">
        <v>13366.73</v>
      </c>
      <c r="I4" s="304"/>
      <c r="J4" s="304">
        <v>3833.5999999999995</v>
      </c>
      <c r="K4" s="304">
        <v>1186.47</v>
      </c>
      <c r="L4" s="304">
        <v>0</v>
      </c>
      <c r="M4" s="304"/>
      <c r="N4" s="304"/>
      <c r="O4" s="304"/>
      <c r="P4" s="304"/>
      <c r="Q4" s="304"/>
      <c r="R4" s="304"/>
      <c r="S4" s="304"/>
      <c r="T4" s="304"/>
      <c r="U4" s="304"/>
      <c r="V4" s="304">
        <v>2797.8099999999995</v>
      </c>
      <c r="W4" s="304">
        <v>15.66</v>
      </c>
      <c r="X4" s="304"/>
      <c r="Y4" s="304">
        <v>742.68999999999994</v>
      </c>
      <c r="Z4" s="304"/>
      <c r="AA4" s="304"/>
      <c r="AB4" s="304"/>
      <c r="AC4" s="304"/>
      <c r="AD4" s="304"/>
      <c r="AE4" s="304"/>
      <c r="AF4" s="304">
        <v>184443.62</v>
      </c>
      <c r="AG4" s="304">
        <v>5495.19</v>
      </c>
      <c r="AH4" s="304">
        <v>4772.170000000001</v>
      </c>
      <c r="AI4" s="304">
        <v>49086.100000000006</v>
      </c>
      <c r="AJ4" s="304">
        <v>20211.300000000003</v>
      </c>
      <c r="AK4" s="304"/>
      <c r="AL4" s="304"/>
      <c r="AM4" s="304"/>
      <c r="AN4" s="304"/>
      <c r="AO4" s="304"/>
      <c r="AP4" s="304">
        <v>46356.130000000005</v>
      </c>
      <c r="AQ4" s="304">
        <v>59.61</v>
      </c>
      <c r="AR4" s="304"/>
      <c r="AS4" s="304">
        <v>12134.79</v>
      </c>
      <c r="AT4" s="304">
        <v>5183.170000000001</v>
      </c>
      <c r="AU4" s="304"/>
      <c r="AV4" s="304"/>
      <c r="AW4" s="304"/>
      <c r="AX4" s="304"/>
      <c r="AY4" s="304"/>
      <c r="AZ4" s="304"/>
      <c r="BA4" s="304"/>
      <c r="BB4" s="304"/>
      <c r="BC4" s="304"/>
      <c r="BD4" s="304">
        <v>35752.020000000004</v>
      </c>
      <c r="BE4" s="304">
        <v>1049.0900000000001</v>
      </c>
      <c r="BF4" s="304">
        <v>624.37</v>
      </c>
      <c r="BG4" s="304">
        <v>9311.1500000000015</v>
      </c>
      <c r="BH4" s="304">
        <v>3788.170000000001</v>
      </c>
      <c r="BI4" s="304"/>
      <c r="BJ4" s="304"/>
      <c r="BK4" s="304"/>
      <c r="BL4" s="304"/>
      <c r="BM4" s="304"/>
      <c r="BN4" s="304"/>
      <c r="BO4" s="304"/>
      <c r="BP4" s="304"/>
      <c r="BQ4" s="304"/>
      <c r="BR4" s="304"/>
      <c r="BS4" s="304">
        <v>11400.29</v>
      </c>
      <c r="BT4" s="304">
        <v>6675</v>
      </c>
      <c r="BU4" s="304">
        <v>0</v>
      </c>
      <c r="BV4" s="304">
        <v>7247.29</v>
      </c>
      <c r="BW4" s="304"/>
      <c r="BX4" s="304">
        <v>5716.7000000000007</v>
      </c>
      <c r="BY4" s="304">
        <v>3143.3</v>
      </c>
      <c r="BZ4" s="304">
        <v>6221</v>
      </c>
      <c r="CA4" s="304"/>
      <c r="CB4" s="304"/>
      <c r="CC4" s="304"/>
      <c r="CD4" s="304"/>
      <c r="CE4" s="304"/>
      <c r="CF4" s="304"/>
      <c r="CG4" s="304">
        <v>5459.3099999999995</v>
      </c>
      <c r="CH4" s="304">
        <v>5715.02</v>
      </c>
      <c r="CI4" s="304"/>
      <c r="CJ4" s="304"/>
      <c r="CK4" s="304"/>
      <c r="CL4" s="304">
        <v>17340.25</v>
      </c>
      <c r="CM4" s="304">
        <v>4126.0700000000006</v>
      </c>
      <c r="CN4" s="304">
        <v>123.7</v>
      </c>
      <c r="CO4" s="304">
        <v>3087.6400000000008</v>
      </c>
      <c r="CP4" s="304">
        <v>650.44999999999993</v>
      </c>
      <c r="CQ4" s="304"/>
      <c r="CR4" s="304"/>
      <c r="CS4" s="304">
        <v>25.03</v>
      </c>
      <c r="CT4" s="304"/>
      <c r="CU4" s="304">
        <v>0</v>
      </c>
      <c r="CV4" s="304">
        <v>13.1</v>
      </c>
      <c r="CW4" s="304"/>
      <c r="CX4" s="304">
        <v>1234</v>
      </c>
      <c r="CY4" s="304"/>
      <c r="CZ4" s="304"/>
      <c r="DA4" s="304">
        <v>3042</v>
      </c>
      <c r="DB4" s="304">
        <v>211.5</v>
      </c>
      <c r="DC4" s="304">
        <v>3986</v>
      </c>
      <c r="DD4" s="304">
        <v>78753.489999999976</v>
      </c>
      <c r="DE4" s="304">
        <v>120.11</v>
      </c>
      <c r="DF4" s="304"/>
      <c r="DG4" s="304">
        <v>2702.04</v>
      </c>
      <c r="DH4" s="304">
        <v>5295.01</v>
      </c>
      <c r="DI4" s="304">
        <v>900.13</v>
      </c>
      <c r="DJ4" s="304">
        <v>1405</v>
      </c>
      <c r="DK4" s="304">
        <v>3.99</v>
      </c>
      <c r="DL4" s="426">
        <v>1202.04</v>
      </c>
      <c r="DM4" s="304"/>
      <c r="DN4" s="304">
        <v>5060.2</v>
      </c>
      <c r="DO4" s="304"/>
      <c r="DP4" s="304"/>
      <c r="DQ4" s="304">
        <v>1299.71</v>
      </c>
      <c r="DR4" s="304">
        <v>2782.26</v>
      </c>
      <c r="DS4" s="304">
        <v>3846.67</v>
      </c>
      <c r="DT4" s="304">
        <v>6.64</v>
      </c>
      <c r="DU4" s="304">
        <v>2644</v>
      </c>
      <c r="DV4" s="304"/>
      <c r="DW4" s="304"/>
      <c r="DX4" s="304">
        <v>800.73</v>
      </c>
      <c r="DY4" s="304"/>
      <c r="DZ4" s="304">
        <v>6611.22</v>
      </c>
      <c r="EA4" s="304"/>
      <c r="EB4" s="304">
        <v>362.96999999999997</v>
      </c>
      <c r="EC4" s="304">
        <v>15751.05</v>
      </c>
      <c r="ED4" s="304"/>
      <c r="EE4" s="304"/>
      <c r="EF4" s="304"/>
      <c r="EG4" s="304"/>
      <c r="EH4" s="304"/>
      <c r="EI4" s="304">
        <v>-1128325.97</v>
      </c>
      <c r="EJ4" s="304"/>
      <c r="EK4" s="304"/>
      <c r="EL4" s="304">
        <v>-67230</v>
      </c>
      <c r="EM4" s="304"/>
      <c r="EN4" s="304"/>
      <c r="EO4" s="304"/>
      <c r="EP4" s="304"/>
      <c r="EQ4" s="304">
        <v>-6221.88</v>
      </c>
      <c r="ER4" s="304">
        <v>-26327</v>
      </c>
      <c r="ES4" s="304">
        <v>-16225</v>
      </c>
      <c r="ET4" s="304">
        <v>-101994.62</v>
      </c>
      <c r="EU4" s="304"/>
      <c r="EV4" s="304">
        <v>-3042.05</v>
      </c>
      <c r="EW4" s="304"/>
      <c r="EX4" s="304">
        <v>-112808</v>
      </c>
      <c r="EY4" s="304">
        <v>4076.8199999999997</v>
      </c>
      <c r="EZ4" s="304">
        <v>603.9</v>
      </c>
      <c r="FA4" s="304">
        <v>-11330.74</v>
      </c>
      <c r="FB4" s="304">
        <v>-10121</v>
      </c>
      <c r="FC4" s="304">
        <v>-20829</v>
      </c>
      <c r="FD4" s="304">
        <v>2708</v>
      </c>
      <c r="FE4" s="304"/>
      <c r="FF4" s="304">
        <v>1587.88</v>
      </c>
      <c r="FG4" s="304">
        <v>562</v>
      </c>
      <c r="FH4" s="304"/>
      <c r="FI4" s="304">
        <v>51682.6</v>
      </c>
      <c r="FJ4" s="304">
        <v>555</v>
      </c>
      <c r="FK4" s="304">
        <v>3791.2899999999995</v>
      </c>
      <c r="FL4" s="304">
        <v>261</v>
      </c>
      <c r="FM4" s="304">
        <v>3973.91</v>
      </c>
      <c r="FN4" s="304">
        <v>3068.2</v>
      </c>
      <c r="FO4" s="304">
        <v>4288.92</v>
      </c>
      <c r="FP4" s="304">
        <v>925</v>
      </c>
      <c r="FQ4" s="304">
        <v>1079.56</v>
      </c>
      <c r="FR4" s="304">
        <v>1433.1999999999996</v>
      </c>
      <c r="FS4" s="304"/>
      <c r="FT4" s="304"/>
      <c r="FU4" s="304"/>
      <c r="FV4" s="304"/>
      <c r="FW4" s="304">
        <v>-2045</v>
      </c>
      <c r="FX4" s="304"/>
      <c r="FY4" s="304"/>
      <c r="FZ4" s="304"/>
      <c r="GA4" s="304"/>
      <c r="GB4" s="304"/>
      <c r="GC4" s="304">
        <v>-6005.67</v>
      </c>
      <c r="GD4" s="304">
        <v>-9803.1800000000039</v>
      </c>
      <c r="GE4" s="304">
        <v>-2504.09</v>
      </c>
      <c r="GF4" s="304"/>
      <c r="GG4" s="304">
        <v>326.15000000000003</v>
      </c>
      <c r="GH4" s="304"/>
      <c r="GI4" s="304">
        <v>-330</v>
      </c>
      <c r="GJ4" s="304"/>
      <c r="GK4" s="304"/>
      <c r="GL4" s="304"/>
      <c r="GM4" s="304"/>
      <c r="GN4" s="304">
        <v>-840</v>
      </c>
      <c r="GO4" s="304"/>
      <c r="GP4" s="304"/>
      <c r="GQ4" s="304">
        <v>-5181.74</v>
      </c>
      <c r="GR4" s="304"/>
      <c r="GS4" s="304"/>
      <c r="GT4" s="304"/>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row>
    <row r="5" spans="1:280">
      <c r="A5" s="116">
        <v>107907</v>
      </c>
      <c r="B5" s="304"/>
      <c r="C5" s="304">
        <v>511457.30000000005</v>
      </c>
      <c r="D5" s="304">
        <v>11280.279999999999</v>
      </c>
      <c r="E5" s="304">
        <v>13932</v>
      </c>
      <c r="F5" s="304">
        <v>149921.10999999999</v>
      </c>
      <c r="G5" s="304">
        <v>69185.930000000008</v>
      </c>
      <c r="H5" s="304">
        <v>8421.01</v>
      </c>
      <c r="I5" s="304"/>
      <c r="J5" s="304">
        <v>2415.1499999999996</v>
      </c>
      <c r="K5" s="304">
        <v>719.86</v>
      </c>
      <c r="L5" s="304"/>
      <c r="M5" s="304"/>
      <c r="N5" s="304"/>
      <c r="O5" s="304"/>
      <c r="P5" s="304"/>
      <c r="Q5" s="304"/>
      <c r="R5" s="304"/>
      <c r="S5" s="304"/>
      <c r="T5" s="304"/>
      <c r="U5" s="304"/>
      <c r="V5" s="304">
        <v>21301.22</v>
      </c>
      <c r="W5" s="304">
        <v>205.54999999999998</v>
      </c>
      <c r="X5" s="304">
        <v>234.51</v>
      </c>
      <c r="Y5" s="304">
        <v>5739.34</v>
      </c>
      <c r="Z5" s="304">
        <v>1254.1600000000001</v>
      </c>
      <c r="AA5" s="304"/>
      <c r="AB5" s="304"/>
      <c r="AC5" s="304"/>
      <c r="AD5" s="304"/>
      <c r="AE5" s="304"/>
      <c r="AF5" s="304">
        <v>214351.81999999998</v>
      </c>
      <c r="AG5" s="304">
        <v>1958.5600000000002</v>
      </c>
      <c r="AH5" s="304">
        <v>3402.0699999999997</v>
      </c>
      <c r="AI5" s="304">
        <v>57753.539999999994</v>
      </c>
      <c r="AJ5" s="304">
        <v>23923.119999999999</v>
      </c>
      <c r="AK5" s="304"/>
      <c r="AL5" s="304"/>
      <c r="AM5" s="304"/>
      <c r="AN5" s="304"/>
      <c r="AO5" s="304"/>
      <c r="AP5" s="304">
        <v>68327.12</v>
      </c>
      <c r="AQ5" s="304">
        <v>2866.2799999999997</v>
      </c>
      <c r="AR5" s="304">
        <v>53.88</v>
      </c>
      <c r="AS5" s="304">
        <v>18728.580000000002</v>
      </c>
      <c r="AT5" s="304">
        <v>8394.15</v>
      </c>
      <c r="AU5" s="304"/>
      <c r="AV5" s="304"/>
      <c r="AW5" s="304"/>
      <c r="AX5" s="304"/>
      <c r="AY5" s="304"/>
      <c r="AZ5" s="304"/>
      <c r="BA5" s="304"/>
      <c r="BB5" s="304"/>
      <c r="BC5" s="304"/>
      <c r="BD5" s="304">
        <v>43540.63</v>
      </c>
      <c r="BE5" s="304">
        <v>1180.73</v>
      </c>
      <c r="BF5" s="304">
        <v>3749.6299999999992</v>
      </c>
      <c r="BG5" s="304">
        <v>9378.09</v>
      </c>
      <c r="BH5" s="304">
        <v>3899.45</v>
      </c>
      <c r="BI5" s="304"/>
      <c r="BJ5" s="304"/>
      <c r="BK5" s="304"/>
      <c r="BL5" s="304"/>
      <c r="BM5" s="304"/>
      <c r="BN5" s="304"/>
      <c r="BO5" s="304"/>
      <c r="BP5" s="304"/>
      <c r="BQ5" s="304">
        <v>278.88</v>
      </c>
      <c r="BR5" s="304"/>
      <c r="BS5" s="304">
        <v>4140</v>
      </c>
      <c r="BT5" s="304"/>
      <c r="BU5" s="304"/>
      <c r="BV5" s="304">
        <v>3225</v>
      </c>
      <c r="BW5" s="304"/>
      <c r="BX5" s="304">
        <v>4717.55</v>
      </c>
      <c r="BY5" s="304">
        <v>2216</v>
      </c>
      <c r="BZ5" s="304"/>
      <c r="CA5" s="304"/>
      <c r="CB5" s="304"/>
      <c r="CC5" s="304"/>
      <c r="CD5" s="304"/>
      <c r="CE5" s="304">
        <v>9762.5</v>
      </c>
      <c r="CF5" s="304">
        <v>668.75</v>
      </c>
      <c r="CG5" s="304">
        <v>7574.6500000000015</v>
      </c>
      <c r="CH5" s="304">
        <v>6158.75</v>
      </c>
      <c r="CI5" s="304"/>
      <c r="CJ5" s="304"/>
      <c r="CK5" s="304"/>
      <c r="CL5" s="304">
        <v>3468.05</v>
      </c>
      <c r="CM5" s="304">
        <v>4552.93</v>
      </c>
      <c r="CN5" s="304">
        <v>633</v>
      </c>
      <c r="CO5" s="304">
        <v>3778.4100000000003</v>
      </c>
      <c r="CP5" s="304">
        <v>3707.79</v>
      </c>
      <c r="CQ5" s="304"/>
      <c r="CR5" s="304"/>
      <c r="CS5" s="304"/>
      <c r="CT5" s="304">
        <v>5485</v>
      </c>
      <c r="CU5" s="304"/>
      <c r="CV5" s="304">
        <v>105.00999999999999</v>
      </c>
      <c r="CW5" s="304"/>
      <c r="CX5" s="304"/>
      <c r="CY5" s="304"/>
      <c r="CZ5" s="304"/>
      <c r="DA5" s="304"/>
      <c r="DB5" s="304">
        <v>262.49</v>
      </c>
      <c r="DC5" s="304"/>
      <c r="DD5" s="304">
        <v>26785.190000000013</v>
      </c>
      <c r="DE5" s="304">
        <v>419.74000000000007</v>
      </c>
      <c r="DF5" s="304">
        <v>824.85</v>
      </c>
      <c r="DG5" s="304">
        <v>3300.2799999999997</v>
      </c>
      <c r="DH5" s="304">
        <v>4585.55</v>
      </c>
      <c r="DI5" s="304">
        <v>20100.77</v>
      </c>
      <c r="DJ5" s="304">
        <v>15371.33</v>
      </c>
      <c r="DK5" s="304">
        <v>27.5</v>
      </c>
      <c r="DL5" s="426">
        <v>825</v>
      </c>
      <c r="DM5" s="304"/>
      <c r="DN5" s="304">
        <v>3710.5</v>
      </c>
      <c r="DO5" s="304"/>
      <c r="DP5" s="304"/>
      <c r="DQ5" s="304">
        <v>2880.6600000000003</v>
      </c>
      <c r="DR5" s="304">
        <v>6474.72</v>
      </c>
      <c r="DS5" s="304">
        <v>3644.86</v>
      </c>
      <c r="DT5" s="304">
        <v>90</v>
      </c>
      <c r="DU5" s="304">
        <v>-372</v>
      </c>
      <c r="DV5" s="304"/>
      <c r="DW5" s="304"/>
      <c r="DX5" s="304">
        <v>6291</v>
      </c>
      <c r="DY5" s="304"/>
      <c r="DZ5" s="304"/>
      <c r="EA5" s="304">
        <v>1347.5200000000002</v>
      </c>
      <c r="EB5" s="304">
        <v>69.180000000000007</v>
      </c>
      <c r="EC5" s="304">
        <v>10892.989999999998</v>
      </c>
      <c r="ED5" s="304"/>
      <c r="EE5" s="304"/>
      <c r="EF5" s="304"/>
      <c r="EG5" s="304"/>
      <c r="EH5" s="304"/>
      <c r="EI5" s="304">
        <v>-1201845.3899999999</v>
      </c>
      <c r="EJ5" s="304"/>
      <c r="EK5" s="304">
        <v>-5950</v>
      </c>
      <c r="EL5" s="304">
        <v>-54090</v>
      </c>
      <c r="EM5" s="304"/>
      <c r="EN5" s="304"/>
      <c r="EO5" s="304"/>
      <c r="EP5" s="304"/>
      <c r="EQ5" s="304"/>
      <c r="ER5" s="304"/>
      <c r="ES5" s="304">
        <v>-16811</v>
      </c>
      <c r="ET5" s="304">
        <v>41995.97</v>
      </c>
      <c r="EU5" s="304"/>
      <c r="EV5" s="304"/>
      <c r="EW5" s="304"/>
      <c r="EX5" s="304">
        <v>-95435</v>
      </c>
      <c r="EY5" s="304">
        <v>4797.4699999999993</v>
      </c>
      <c r="EZ5" s="304">
        <v>710.65</v>
      </c>
      <c r="FA5" s="304">
        <v>-4525.3100000000004</v>
      </c>
      <c r="FB5" s="304">
        <v>-11213</v>
      </c>
      <c r="FC5" s="304">
        <v>-23124</v>
      </c>
      <c r="FD5" s="304">
        <v>1899.25</v>
      </c>
      <c r="FE5" s="304">
        <v>1280.46</v>
      </c>
      <c r="FF5" s="304">
        <v>1697.32</v>
      </c>
      <c r="FG5" s="304">
        <v>8666.86</v>
      </c>
      <c r="FH5" s="304"/>
      <c r="FI5" s="304">
        <v>17759.5</v>
      </c>
      <c r="FJ5" s="304">
        <v>6670</v>
      </c>
      <c r="FK5" s="304">
        <v>6974.7000000000053</v>
      </c>
      <c r="FL5" s="304">
        <v>261</v>
      </c>
      <c r="FM5" s="304">
        <v>4487.8100000000004</v>
      </c>
      <c r="FN5" s="304">
        <v>3281.64</v>
      </c>
      <c r="FO5" s="304">
        <v>4946.5</v>
      </c>
      <c r="FP5" s="304">
        <v>560</v>
      </c>
      <c r="FQ5" s="304">
        <v>1157.26</v>
      </c>
      <c r="FR5" s="304"/>
      <c r="FS5" s="304"/>
      <c r="FT5" s="304">
        <v>90</v>
      </c>
      <c r="FU5" s="304">
        <v>9762.5</v>
      </c>
      <c r="FV5" s="304">
        <v>-9762.5</v>
      </c>
      <c r="FW5" s="304"/>
      <c r="FX5" s="304">
        <v>0</v>
      </c>
      <c r="FY5" s="304">
        <v>-1050</v>
      </c>
      <c r="FZ5" s="304"/>
      <c r="GA5" s="304"/>
      <c r="GB5" s="304"/>
      <c r="GC5" s="304">
        <v>-1985.8300000000002</v>
      </c>
      <c r="GD5" s="304">
        <v>-29229.059999999998</v>
      </c>
      <c r="GE5" s="304">
        <v>-2472.9100000000003</v>
      </c>
      <c r="GF5" s="304"/>
      <c r="GG5" s="304">
        <v>46.45</v>
      </c>
      <c r="GH5" s="304"/>
      <c r="GI5" s="304">
        <v>-635</v>
      </c>
      <c r="GJ5" s="304">
        <v>-13679.54</v>
      </c>
      <c r="GK5" s="304">
        <v>-499.12999999999994</v>
      </c>
      <c r="GL5" s="304"/>
      <c r="GM5" s="304"/>
      <c r="GN5" s="304">
        <v>-2065</v>
      </c>
      <c r="GO5" s="304"/>
      <c r="GP5" s="304"/>
      <c r="GQ5" s="304"/>
      <c r="GR5" s="304"/>
      <c r="GS5" s="304"/>
      <c r="GT5" s="304"/>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row>
    <row r="6" spans="1:280">
      <c r="A6" s="116">
        <v>107924</v>
      </c>
      <c r="B6" s="304"/>
      <c r="C6" s="304">
        <v>514195.63</v>
      </c>
      <c r="D6" s="304">
        <v>2248.8200000000002</v>
      </c>
      <c r="E6" s="304">
        <v>2518</v>
      </c>
      <c r="F6" s="304">
        <v>153984.32999999999</v>
      </c>
      <c r="G6" s="304">
        <v>71716.200000000012</v>
      </c>
      <c r="H6" s="304"/>
      <c r="I6" s="304"/>
      <c r="J6" s="304"/>
      <c r="K6" s="304"/>
      <c r="L6" s="304"/>
      <c r="M6" s="304">
        <v>7599.670000000001</v>
      </c>
      <c r="N6" s="304">
        <v>131.93</v>
      </c>
      <c r="O6" s="304">
        <v>2041.0999999999997</v>
      </c>
      <c r="P6" s="304">
        <v>909.52999999999986</v>
      </c>
      <c r="Q6" s="304">
        <v>16253.339999999997</v>
      </c>
      <c r="R6" s="304">
        <v>163.94</v>
      </c>
      <c r="S6" s="304"/>
      <c r="T6" s="304">
        <v>4341.8099999999995</v>
      </c>
      <c r="U6" s="304">
        <v>2063.2800000000002</v>
      </c>
      <c r="V6" s="304"/>
      <c r="W6" s="304"/>
      <c r="X6" s="304"/>
      <c r="Y6" s="304"/>
      <c r="Z6" s="304"/>
      <c r="AA6" s="304"/>
      <c r="AB6" s="304"/>
      <c r="AC6" s="304"/>
      <c r="AD6" s="304"/>
      <c r="AE6" s="304"/>
      <c r="AF6" s="304">
        <v>313329.7900000001</v>
      </c>
      <c r="AG6" s="304">
        <v>4653.6099999999988</v>
      </c>
      <c r="AH6" s="304">
        <v>16382.24</v>
      </c>
      <c r="AI6" s="304">
        <v>89660.470000000016</v>
      </c>
      <c r="AJ6" s="304">
        <v>39302.030000000006</v>
      </c>
      <c r="AK6" s="304">
        <v>40781.790000000015</v>
      </c>
      <c r="AL6" s="304"/>
      <c r="AM6" s="304"/>
      <c r="AN6" s="304">
        <v>6742.6399999999976</v>
      </c>
      <c r="AO6" s="304">
        <v>3170.9399999999991</v>
      </c>
      <c r="AP6" s="304">
        <v>60640.810000000005</v>
      </c>
      <c r="AQ6" s="304">
        <v>431.67</v>
      </c>
      <c r="AR6" s="304">
        <v>305.95</v>
      </c>
      <c r="AS6" s="304">
        <v>16977.48</v>
      </c>
      <c r="AT6" s="304">
        <v>7756.9000000000005</v>
      </c>
      <c r="AU6" s="304"/>
      <c r="AV6" s="304"/>
      <c r="AW6" s="304"/>
      <c r="AX6" s="304"/>
      <c r="AY6" s="304"/>
      <c r="AZ6" s="304"/>
      <c r="BA6" s="304"/>
      <c r="BB6" s="304"/>
      <c r="BC6" s="304"/>
      <c r="BD6" s="304">
        <v>27271.03</v>
      </c>
      <c r="BE6" s="304">
        <v>392.17</v>
      </c>
      <c r="BF6" s="304">
        <v>2903.15</v>
      </c>
      <c r="BG6" s="304">
        <v>8597.4499999999989</v>
      </c>
      <c r="BH6" s="304">
        <v>4204.49</v>
      </c>
      <c r="BI6" s="304">
        <v>52976.799999999996</v>
      </c>
      <c r="BJ6" s="304">
        <v>3082.69</v>
      </c>
      <c r="BK6" s="304">
        <v>8387.32</v>
      </c>
      <c r="BL6" s="304">
        <v>6907.71</v>
      </c>
      <c r="BM6" s="304">
        <v>1650</v>
      </c>
      <c r="BN6" s="304"/>
      <c r="BO6" s="304"/>
      <c r="BP6" s="304"/>
      <c r="BQ6" s="304"/>
      <c r="BR6" s="304"/>
      <c r="BS6" s="304">
        <v>4492</v>
      </c>
      <c r="BT6" s="304"/>
      <c r="BU6" s="304"/>
      <c r="BV6" s="304"/>
      <c r="BW6" s="304">
        <v>0</v>
      </c>
      <c r="BX6" s="304">
        <v>16153.329999999996</v>
      </c>
      <c r="BY6" s="304">
        <v>599</v>
      </c>
      <c r="BZ6" s="304">
        <v>4613</v>
      </c>
      <c r="CA6" s="304"/>
      <c r="CB6" s="304"/>
      <c r="CC6" s="304"/>
      <c r="CD6" s="304"/>
      <c r="CE6" s="304"/>
      <c r="CF6" s="304"/>
      <c r="CG6" s="304">
        <v>14472.970000000001</v>
      </c>
      <c r="CH6" s="304">
        <v>5982.26</v>
      </c>
      <c r="CI6" s="304"/>
      <c r="CJ6" s="304"/>
      <c r="CK6" s="304"/>
      <c r="CL6" s="304">
        <v>54439</v>
      </c>
      <c r="CM6" s="304">
        <v>5642.77</v>
      </c>
      <c r="CN6" s="304"/>
      <c r="CO6" s="304">
        <v>28949.499999999993</v>
      </c>
      <c r="CP6" s="304">
        <v>182.25</v>
      </c>
      <c r="CQ6" s="304">
        <v>11268.75</v>
      </c>
      <c r="CR6" s="304">
        <v>362.5</v>
      </c>
      <c r="CS6" s="304"/>
      <c r="CT6" s="304">
        <v>261.51</v>
      </c>
      <c r="CU6" s="304">
        <v>0</v>
      </c>
      <c r="CV6" s="304">
        <v>77.7</v>
      </c>
      <c r="CW6" s="304">
        <v>1601.46</v>
      </c>
      <c r="CX6" s="304">
        <v>105.08</v>
      </c>
      <c r="CY6" s="304">
        <v>4879</v>
      </c>
      <c r="CZ6" s="304"/>
      <c r="DA6" s="304"/>
      <c r="DB6" s="304"/>
      <c r="DC6" s="304">
        <v>5418</v>
      </c>
      <c r="DD6" s="304">
        <v>12320.849999999995</v>
      </c>
      <c r="DE6" s="304">
        <v>291.10000000000002</v>
      </c>
      <c r="DF6" s="304"/>
      <c r="DG6" s="304">
        <v>119.78</v>
      </c>
      <c r="DH6" s="304">
        <v>9474.6900000000023</v>
      </c>
      <c r="DI6" s="304">
        <v>525</v>
      </c>
      <c r="DJ6" s="304">
        <v>44880</v>
      </c>
      <c r="DK6" s="304">
        <v>88.47</v>
      </c>
      <c r="DL6" s="426">
        <v>1563.4199999999998</v>
      </c>
      <c r="DM6" s="304"/>
      <c r="DN6" s="304">
        <v>2195</v>
      </c>
      <c r="DO6" s="304"/>
      <c r="DP6" s="304">
        <v>0</v>
      </c>
      <c r="DQ6" s="304">
        <v>7744.11</v>
      </c>
      <c r="DR6" s="304">
        <v>6420.7300000000005</v>
      </c>
      <c r="DS6" s="304">
        <v>374</v>
      </c>
      <c r="DT6" s="304"/>
      <c r="DU6" s="304">
        <v>5698</v>
      </c>
      <c r="DV6" s="304"/>
      <c r="DW6" s="304"/>
      <c r="DX6" s="304"/>
      <c r="DY6" s="304"/>
      <c r="DZ6" s="304">
        <v>7078.68</v>
      </c>
      <c r="EA6" s="304">
        <v>249.5</v>
      </c>
      <c r="EB6" s="304">
        <v>11135.420000000002</v>
      </c>
      <c r="EC6" s="304">
        <v>23393.33</v>
      </c>
      <c r="ED6" s="304"/>
      <c r="EE6" s="304">
        <v>11329.23</v>
      </c>
      <c r="EF6" s="304">
        <v>0</v>
      </c>
      <c r="EG6" s="304"/>
      <c r="EH6" s="304">
        <v>56.47999999999999</v>
      </c>
      <c r="EI6" s="304">
        <v>-1263164.8500000001</v>
      </c>
      <c r="EJ6" s="304"/>
      <c r="EK6" s="304">
        <v>-50000</v>
      </c>
      <c r="EL6" s="304">
        <v>-105965</v>
      </c>
      <c r="EM6" s="304">
        <v>235.21</v>
      </c>
      <c r="EN6" s="304">
        <v>-8999</v>
      </c>
      <c r="EO6" s="304"/>
      <c r="EP6" s="304">
        <v>-95540.849999999977</v>
      </c>
      <c r="EQ6" s="304">
        <v>-6711.25</v>
      </c>
      <c r="ER6" s="304">
        <v>-27168</v>
      </c>
      <c r="ES6" s="304">
        <v>-16437</v>
      </c>
      <c r="ET6" s="304">
        <v>-119910.32</v>
      </c>
      <c r="EU6" s="304"/>
      <c r="EV6" s="304">
        <v>-1503.22</v>
      </c>
      <c r="EW6" s="304"/>
      <c r="EX6" s="304">
        <v>-223556</v>
      </c>
      <c r="EY6" s="304">
        <v>4365.08</v>
      </c>
      <c r="EZ6" s="304">
        <v>646.6</v>
      </c>
      <c r="FA6" s="304"/>
      <c r="FB6" s="304">
        <v>-11594</v>
      </c>
      <c r="FC6" s="304">
        <v>-23967</v>
      </c>
      <c r="FD6" s="304">
        <v>1715.5</v>
      </c>
      <c r="FE6" s="304"/>
      <c r="FF6" s="304">
        <v>1721.64</v>
      </c>
      <c r="FG6" s="304">
        <v>3313.329999999999</v>
      </c>
      <c r="FH6" s="304">
        <v>507</v>
      </c>
      <c r="FI6" s="304">
        <v>62570.66</v>
      </c>
      <c r="FJ6" s="304">
        <v>1073</v>
      </c>
      <c r="FK6" s="304">
        <v>5902.5300000000061</v>
      </c>
      <c r="FL6" s="304">
        <v>261</v>
      </c>
      <c r="FM6" s="304">
        <v>1978</v>
      </c>
      <c r="FN6" s="304">
        <v>3341.67</v>
      </c>
      <c r="FO6" s="304">
        <v>5967.5300000000007</v>
      </c>
      <c r="FP6" s="304">
        <v>560</v>
      </c>
      <c r="FQ6" s="304">
        <v>1110.6400000000001</v>
      </c>
      <c r="FR6" s="304">
        <v>2794.1799999999994</v>
      </c>
      <c r="FS6" s="304">
        <v>3369.08</v>
      </c>
      <c r="FT6" s="304"/>
      <c r="FU6" s="304">
        <v>1278</v>
      </c>
      <c r="FV6" s="304">
        <v>-1278</v>
      </c>
      <c r="FW6" s="304"/>
      <c r="FX6" s="304"/>
      <c r="FY6" s="304">
        <v>-4140</v>
      </c>
      <c r="FZ6" s="304">
        <v>-11000</v>
      </c>
      <c r="GA6" s="304"/>
      <c r="GB6" s="304"/>
      <c r="GC6" s="304">
        <v>-8811.82</v>
      </c>
      <c r="GD6" s="304">
        <v>-18917.209999999995</v>
      </c>
      <c r="GE6" s="304">
        <v>-1292.0999999999999</v>
      </c>
      <c r="GF6" s="304"/>
      <c r="GG6" s="304">
        <v>-2292.5699999999993</v>
      </c>
      <c r="GH6" s="304"/>
      <c r="GI6" s="304"/>
      <c r="GJ6" s="304">
        <v>-220</v>
      </c>
      <c r="GK6" s="304">
        <v>-28252.049999999988</v>
      </c>
      <c r="GL6" s="304"/>
      <c r="GM6" s="304"/>
      <c r="GN6" s="304">
        <v>-1797.74</v>
      </c>
      <c r="GO6" s="304"/>
      <c r="GP6" s="304">
        <v>-2334.7200000000003</v>
      </c>
      <c r="GQ6" s="304">
        <v>-4248.07</v>
      </c>
      <c r="GR6" s="304"/>
      <c r="GS6" s="304"/>
      <c r="GT6" s="304"/>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row>
    <row r="7" spans="1:280">
      <c r="A7" s="116">
        <v>107925</v>
      </c>
      <c r="B7" s="304"/>
      <c r="C7" s="304">
        <v>577514.43000000005</v>
      </c>
      <c r="D7" s="304">
        <v>8619.7800000000007</v>
      </c>
      <c r="E7" s="304"/>
      <c r="F7" s="304">
        <v>165598.36000000002</v>
      </c>
      <c r="G7" s="304">
        <v>77817.89</v>
      </c>
      <c r="H7" s="304">
        <v>4721.3500000000004</v>
      </c>
      <c r="I7" s="304"/>
      <c r="J7" s="304">
        <v>882.39999999999986</v>
      </c>
      <c r="K7" s="304">
        <v>426.47</v>
      </c>
      <c r="L7" s="304"/>
      <c r="M7" s="304"/>
      <c r="N7" s="304"/>
      <c r="O7" s="304"/>
      <c r="P7" s="304"/>
      <c r="Q7" s="304">
        <v>23255.37</v>
      </c>
      <c r="R7" s="304">
        <v>978.8</v>
      </c>
      <c r="S7" s="304">
        <v>343.79999999999995</v>
      </c>
      <c r="T7" s="304">
        <v>7210.43</v>
      </c>
      <c r="U7" s="304">
        <v>2362.9499999999998</v>
      </c>
      <c r="V7" s="304">
        <v>32650.729999999996</v>
      </c>
      <c r="W7" s="304">
        <v>171.56</v>
      </c>
      <c r="X7" s="304">
        <v>1367.15</v>
      </c>
      <c r="Y7" s="304">
        <v>8129.6</v>
      </c>
      <c r="Z7" s="304">
        <v>2836.39</v>
      </c>
      <c r="AA7" s="304"/>
      <c r="AB7" s="304"/>
      <c r="AC7" s="304"/>
      <c r="AD7" s="304"/>
      <c r="AE7" s="304"/>
      <c r="AF7" s="304">
        <v>214791.4</v>
      </c>
      <c r="AG7" s="304">
        <v>2354.6000000000004</v>
      </c>
      <c r="AH7" s="304">
        <v>8793.48</v>
      </c>
      <c r="AI7" s="304">
        <v>57513.600000000006</v>
      </c>
      <c r="AJ7" s="304">
        <v>22215.040000000005</v>
      </c>
      <c r="AK7" s="304"/>
      <c r="AL7" s="304"/>
      <c r="AM7" s="304"/>
      <c r="AN7" s="304"/>
      <c r="AO7" s="304"/>
      <c r="AP7" s="304">
        <v>42186.51</v>
      </c>
      <c r="AQ7" s="304">
        <v>553.86</v>
      </c>
      <c r="AR7" s="304">
        <v>2928.7800000000007</v>
      </c>
      <c r="AS7" s="304">
        <v>12284.630000000001</v>
      </c>
      <c r="AT7" s="304">
        <v>5225.05</v>
      </c>
      <c r="AU7" s="304"/>
      <c r="AV7" s="304"/>
      <c r="AW7" s="304"/>
      <c r="AX7" s="304"/>
      <c r="AY7" s="304"/>
      <c r="AZ7" s="304"/>
      <c r="BA7" s="304"/>
      <c r="BB7" s="304"/>
      <c r="BC7" s="304"/>
      <c r="BD7" s="304">
        <v>15741.789999999997</v>
      </c>
      <c r="BE7" s="304">
        <v>158.82</v>
      </c>
      <c r="BF7" s="304"/>
      <c r="BG7" s="304">
        <v>4197.6800000000012</v>
      </c>
      <c r="BH7" s="304">
        <v>1982.3000000000002</v>
      </c>
      <c r="BI7" s="304"/>
      <c r="BJ7" s="304"/>
      <c r="BK7" s="304"/>
      <c r="BL7" s="304"/>
      <c r="BM7" s="304"/>
      <c r="BN7" s="304"/>
      <c r="BO7" s="304"/>
      <c r="BP7" s="304"/>
      <c r="BQ7" s="304"/>
      <c r="BR7" s="304"/>
      <c r="BS7" s="304">
        <v>8922.65</v>
      </c>
      <c r="BT7" s="304"/>
      <c r="BU7" s="304"/>
      <c r="BV7" s="304">
        <v>3181</v>
      </c>
      <c r="BW7" s="304"/>
      <c r="BX7" s="304">
        <v>14423.74</v>
      </c>
      <c r="BY7" s="304"/>
      <c r="BZ7" s="304">
        <v>3500</v>
      </c>
      <c r="CA7" s="304"/>
      <c r="CB7" s="304"/>
      <c r="CC7" s="304"/>
      <c r="CD7" s="304"/>
      <c r="CE7" s="304"/>
      <c r="CF7" s="304"/>
      <c r="CG7" s="304">
        <v>7606.3899999999994</v>
      </c>
      <c r="CH7" s="304">
        <v>817.65999999999985</v>
      </c>
      <c r="CI7" s="304"/>
      <c r="CJ7" s="304"/>
      <c r="CK7" s="304"/>
      <c r="CL7" s="304"/>
      <c r="CM7" s="304">
        <v>4816.5899999999992</v>
      </c>
      <c r="CN7" s="304"/>
      <c r="CO7" s="304"/>
      <c r="CP7" s="304">
        <v>-2516.3100000000004</v>
      </c>
      <c r="CQ7" s="304"/>
      <c r="CR7" s="304"/>
      <c r="CS7" s="304"/>
      <c r="CT7" s="304"/>
      <c r="CU7" s="304"/>
      <c r="CV7" s="304"/>
      <c r="CW7" s="304"/>
      <c r="CX7" s="304">
        <v>26.12</v>
      </c>
      <c r="CY7" s="304"/>
      <c r="CZ7" s="304"/>
      <c r="DA7" s="304"/>
      <c r="DB7" s="304"/>
      <c r="DC7" s="304">
        <v>4666</v>
      </c>
      <c r="DD7" s="304">
        <v>19631.30000000001</v>
      </c>
      <c r="DE7" s="304"/>
      <c r="DF7" s="304"/>
      <c r="DG7" s="304">
        <v>4638.96</v>
      </c>
      <c r="DH7" s="304"/>
      <c r="DI7" s="304">
        <v>3614.75</v>
      </c>
      <c r="DJ7" s="304"/>
      <c r="DK7" s="304">
        <v>25</v>
      </c>
      <c r="DL7" s="426">
        <v>970.91000000000008</v>
      </c>
      <c r="DM7" s="304"/>
      <c r="DN7" s="304">
        <v>2492.1400000000003</v>
      </c>
      <c r="DO7" s="304"/>
      <c r="DP7" s="304"/>
      <c r="DQ7" s="304">
        <v>5854.8</v>
      </c>
      <c r="DR7" s="304">
        <v>7460.1100000000006</v>
      </c>
      <c r="DS7" s="304">
        <v>773</v>
      </c>
      <c r="DT7" s="304">
        <v>17650</v>
      </c>
      <c r="DU7" s="304">
        <v>2307.56</v>
      </c>
      <c r="DV7" s="304">
        <v>132.47000000000003</v>
      </c>
      <c r="DW7" s="304"/>
      <c r="DX7" s="304"/>
      <c r="DY7" s="304"/>
      <c r="DZ7" s="304">
        <v>8414.2800000000007</v>
      </c>
      <c r="EA7" s="304">
        <v>1133.6399999999999</v>
      </c>
      <c r="EB7" s="304">
        <v>142.43999999999997</v>
      </c>
      <c r="EC7" s="304">
        <v>150</v>
      </c>
      <c r="ED7" s="304"/>
      <c r="EE7" s="304"/>
      <c r="EF7" s="304"/>
      <c r="EG7" s="304"/>
      <c r="EH7" s="304"/>
      <c r="EI7" s="304">
        <v>-1248660</v>
      </c>
      <c r="EJ7" s="304"/>
      <c r="EK7" s="304"/>
      <c r="EL7" s="304">
        <v>-23820</v>
      </c>
      <c r="EM7" s="304"/>
      <c r="EN7" s="304">
        <v>-876</v>
      </c>
      <c r="EO7" s="304"/>
      <c r="EP7" s="304"/>
      <c r="EQ7" s="304">
        <v>-6981.25</v>
      </c>
      <c r="ER7" s="304">
        <v>-105853</v>
      </c>
      <c r="ES7" s="304">
        <v>-16302</v>
      </c>
      <c r="ET7" s="304">
        <v>-131799.76</v>
      </c>
      <c r="EU7" s="304"/>
      <c r="EV7" s="304"/>
      <c r="EW7" s="304"/>
      <c r="EX7" s="304">
        <v>-108455</v>
      </c>
      <c r="EY7" s="304">
        <v>5188.68</v>
      </c>
      <c r="EZ7" s="304">
        <v>768.6</v>
      </c>
      <c r="FA7" s="304"/>
      <c r="FB7" s="304">
        <v>-11181</v>
      </c>
      <c r="FC7" s="304">
        <v>-23031</v>
      </c>
      <c r="FD7" s="304">
        <v>2236</v>
      </c>
      <c r="FE7" s="304"/>
      <c r="FF7" s="304">
        <v>1791.56</v>
      </c>
      <c r="FG7" s="304"/>
      <c r="FH7" s="304">
        <v>26736.479999999996</v>
      </c>
      <c r="FI7" s="304">
        <v>113744.12</v>
      </c>
      <c r="FJ7" s="304">
        <v>1447</v>
      </c>
      <c r="FK7" s="304">
        <v>5559.680000000003</v>
      </c>
      <c r="FL7" s="304"/>
      <c r="FM7" s="304">
        <v>3761.6</v>
      </c>
      <c r="FN7" s="304">
        <v>4188.76</v>
      </c>
      <c r="FO7" s="304">
        <v>2646</v>
      </c>
      <c r="FP7" s="304">
        <v>925</v>
      </c>
      <c r="FQ7" s="304">
        <v>1199.44</v>
      </c>
      <c r="FR7" s="304">
        <v>6069.44</v>
      </c>
      <c r="FS7" s="304"/>
      <c r="FT7" s="304"/>
      <c r="FU7" s="304"/>
      <c r="FV7" s="304"/>
      <c r="FW7" s="304">
        <v>-500</v>
      </c>
      <c r="FX7" s="304"/>
      <c r="FY7" s="304"/>
      <c r="FZ7" s="304"/>
      <c r="GA7" s="304"/>
      <c r="GB7" s="304">
        <v>-820</v>
      </c>
      <c r="GC7" s="304">
        <v>-3403.5099999999998</v>
      </c>
      <c r="GD7" s="304">
        <v>0</v>
      </c>
      <c r="GE7" s="304">
        <v>0</v>
      </c>
      <c r="GF7" s="304"/>
      <c r="GG7" s="304"/>
      <c r="GH7" s="304"/>
      <c r="GI7" s="304">
        <v>-13160</v>
      </c>
      <c r="GJ7" s="304">
        <v>-2348.98</v>
      </c>
      <c r="GK7" s="304">
        <v>-70421.98000000001</v>
      </c>
      <c r="GL7" s="304"/>
      <c r="GM7" s="304"/>
      <c r="GN7" s="304">
        <v>-2815</v>
      </c>
      <c r="GO7" s="304"/>
      <c r="GP7" s="304"/>
      <c r="GQ7" s="304">
        <v>-5902.87</v>
      </c>
      <c r="GR7" s="304"/>
      <c r="GS7" s="304"/>
      <c r="GT7" s="304"/>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row>
    <row r="8" spans="1:280">
      <c r="A8" s="116">
        <v>107926</v>
      </c>
      <c r="B8" s="304"/>
      <c r="C8" s="304">
        <v>789042.8</v>
      </c>
      <c r="D8" s="304">
        <v>26911.840000000004</v>
      </c>
      <c r="E8" s="304">
        <v>7724</v>
      </c>
      <c r="F8" s="304">
        <v>234015.59000000003</v>
      </c>
      <c r="G8" s="304">
        <v>108753.27999999998</v>
      </c>
      <c r="H8" s="304">
        <v>4830.7799999999988</v>
      </c>
      <c r="I8" s="304"/>
      <c r="J8" s="304">
        <v>1385.48</v>
      </c>
      <c r="K8" s="304">
        <v>611.56000000000006</v>
      </c>
      <c r="L8" s="304"/>
      <c r="M8" s="304"/>
      <c r="N8" s="304"/>
      <c r="O8" s="304"/>
      <c r="P8" s="304"/>
      <c r="Q8" s="304">
        <v>26453.300000000003</v>
      </c>
      <c r="R8" s="304">
        <v>315.78999999999996</v>
      </c>
      <c r="S8" s="304"/>
      <c r="T8" s="304">
        <v>6560.12</v>
      </c>
      <c r="U8" s="304">
        <v>1803.27</v>
      </c>
      <c r="V8" s="304">
        <v>3418.0399999999995</v>
      </c>
      <c r="W8" s="304"/>
      <c r="X8" s="304"/>
      <c r="Y8" s="304">
        <v>902.31999999999994</v>
      </c>
      <c r="Z8" s="304">
        <v>338.52</v>
      </c>
      <c r="AA8" s="304"/>
      <c r="AB8" s="304"/>
      <c r="AC8" s="304"/>
      <c r="AD8" s="304"/>
      <c r="AE8" s="304"/>
      <c r="AF8" s="304">
        <v>393388.06</v>
      </c>
      <c r="AG8" s="304">
        <v>16463.62</v>
      </c>
      <c r="AH8" s="304">
        <v>4403.3500000000004</v>
      </c>
      <c r="AI8" s="304">
        <v>108169.78000000001</v>
      </c>
      <c r="AJ8" s="304">
        <v>45942.299999999996</v>
      </c>
      <c r="AK8" s="304"/>
      <c r="AL8" s="304"/>
      <c r="AM8" s="304"/>
      <c r="AN8" s="304"/>
      <c r="AO8" s="304"/>
      <c r="AP8" s="304">
        <v>71362.25999999998</v>
      </c>
      <c r="AQ8" s="304">
        <v>196.15</v>
      </c>
      <c r="AR8" s="304">
        <v>1635.3200000000002</v>
      </c>
      <c r="AS8" s="304">
        <v>17069.949999999997</v>
      </c>
      <c r="AT8" s="304">
        <v>8936.91</v>
      </c>
      <c r="AU8" s="304"/>
      <c r="AV8" s="304"/>
      <c r="AW8" s="304"/>
      <c r="AX8" s="304"/>
      <c r="AY8" s="304"/>
      <c r="AZ8" s="304"/>
      <c r="BA8" s="304"/>
      <c r="BB8" s="304"/>
      <c r="BC8" s="304"/>
      <c r="BD8" s="304">
        <v>15238.699999999999</v>
      </c>
      <c r="BE8" s="304">
        <v>158.82</v>
      </c>
      <c r="BF8" s="304"/>
      <c r="BG8" s="304">
        <v>4064.8700000000008</v>
      </c>
      <c r="BH8" s="304">
        <v>1934.54</v>
      </c>
      <c r="BI8" s="304"/>
      <c r="BJ8" s="304"/>
      <c r="BK8" s="304"/>
      <c r="BL8" s="304"/>
      <c r="BM8" s="304"/>
      <c r="BN8" s="304"/>
      <c r="BO8" s="304"/>
      <c r="BP8" s="304"/>
      <c r="BQ8" s="304"/>
      <c r="BR8" s="304"/>
      <c r="BS8" s="304">
        <v>2339</v>
      </c>
      <c r="BT8" s="304"/>
      <c r="BU8" s="304">
        <v>-600</v>
      </c>
      <c r="BV8" s="304"/>
      <c r="BW8" s="304"/>
      <c r="BX8" s="304">
        <v>19799.66</v>
      </c>
      <c r="BY8" s="304"/>
      <c r="BZ8" s="304">
        <v>-2340</v>
      </c>
      <c r="CA8" s="304"/>
      <c r="CB8" s="304"/>
      <c r="CC8" s="304"/>
      <c r="CD8" s="304"/>
      <c r="CE8" s="304"/>
      <c r="CF8" s="304"/>
      <c r="CG8" s="304">
        <v>24123.200000000004</v>
      </c>
      <c r="CH8" s="304">
        <v>148.05000000000041</v>
      </c>
      <c r="CI8" s="304"/>
      <c r="CJ8" s="304"/>
      <c r="CK8" s="304"/>
      <c r="CL8" s="304">
        <v>33382</v>
      </c>
      <c r="CM8" s="304">
        <v>10441.34</v>
      </c>
      <c r="CN8" s="304"/>
      <c r="CO8" s="304">
        <v>500</v>
      </c>
      <c r="CP8" s="304">
        <v>4248.34</v>
      </c>
      <c r="CQ8" s="304"/>
      <c r="CR8" s="304"/>
      <c r="CS8" s="304"/>
      <c r="CT8" s="304">
        <v>1815</v>
      </c>
      <c r="CU8" s="304"/>
      <c r="CV8" s="304"/>
      <c r="CW8" s="304"/>
      <c r="CX8" s="304">
        <v>627.93000000000006</v>
      </c>
      <c r="CY8" s="304"/>
      <c r="CZ8" s="304"/>
      <c r="DA8" s="304">
        <v>559.95000000000005</v>
      </c>
      <c r="DB8" s="304"/>
      <c r="DC8" s="304">
        <v>6734</v>
      </c>
      <c r="DD8" s="304">
        <v>26817.26</v>
      </c>
      <c r="DE8" s="304"/>
      <c r="DF8" s="304"/>
      <c r="DG8" s="304">
        <v>1292.4900000000002</v>
      </c>
      <c r="DH8" s="304">
        <v>11912.189999999999</v>
      </c>
      <c r="DI8" s="304">
        <v>9601.2199999999993</v>
      </c>
      <c r="DJ8" s="304">
        <v>13048.25</v>
      </c>
      <c r="DK8" s="304">
        <v>136.34</v>
      </c>
      <c r="DL8" s="426">
        <v>4126.8499999999995</v>
      </c>
      <c r="DM8" s="304"/>
      <c r="DN8" s="304"/>
      <c r="DO8" s="304">
        <v>2034.43</v>
      </c>
      <c r="DP8" s="304"/>
      <c r="DQ8" s="304">
        <v>4773</v>
      </c>
      <c r="DR8" s="304">
        <v>11507.5</v>
      </c>
      <c r="DS8" s="304">
        <v>1055.23</v>
      </c>
      <c r="DT8" s="304">
        <v>600</v>
      </c>
      <c r="DU8" s="304"/>
      <c r="DV8" s="304"/>
      <c r="DW8" s="304"/>
      <c r="DX8" s="304"/>
      <c r="DY8" s="304">
        <v>7046.61</v>
      </c>
      <c r="DZ8" s="304">
        <v>11953.62</v>
      </c>
      <c r="EA8" s="304"/>
      <c r="EB8" s="304">
        <v>-601.23</v>
      </c>
      <c r="EC8" s="304">
        <v>83397.149999999994</v>
      </c>
      <c r="ED8" s="304"/>
      <c r="EE8" s="304"/>
      <c r="EF8" s="304"/>
      <c r="EG8" s="304"/>
      <c r="EH8" s="304"/>
      <c r="EI8" s="304">
        <v>-1807272</v>
      </c>
      <c r="EJ8" s="304"/>
      <c r="EK8" s="304">
        <v>-950</v>
      </c>
      <c r="EL8" s="304">
        <v>-62025</v>
      </c>
      <c r="EM8" s="304"/>
      <c r="EN8" s="304"/>
      <c r="EO8" s="304"/>
      <c r="EP8" s="304"/>
      <c r="EQ8" s="304">
        <v>-8027.5</v>
      </c>
      <c r="ER8" s="304"/>
      <c r="ES8" s="304">
        <v>-17953</v>
      </c>
      <c r="ET8" s="304">
        <v>-20303.169999999998</v>
      </c>
      <c r="EU8" s="304"/>
      <c r="EV8" s="304">
        <v>-9292.07</v>
      </c>
      <c r="EW8" s="304"/>
      <c r="EX8" s="304">
        <v>-198943</v>
      </c>
      <c r="EY8" s="304">
        <v>7371.2199999999993</v>
      </c>
      <c r="EZ8" s="304">
        <v>1091.9000000000001</v>
      </c>
      <c r="FA8" s="304">
        <v>-12507.88</v>
      </c>
      <c r="FB8" s="304">
        <v>-16115</v>
      </c>
      <c r="FC8" s="304">
        <v>-33466</v>
      </c>
      <c r="FD8" s="304">
        <v>1412.25</v>
      </c>
      <c r="FE8" s="304">
        <v>0</v>
      </c>
      <c r="FF8" s="304">
        <v>2083.4</v>
      </c>
      <c r="FG8" s="304">
        <v>562</v>
      </c>
      <c r="FH8" s="304">
        <v>34801.440000000002</v>
      </c>
      <c r="FI8" s="304">
        <v>23445.5</v>
      </c>
      <c r="FJ8" s="304">
        <v>1287</v>
      </c>
      <c r="FK8" s="304">
        <v>8544.1700000000019</v>
      </c>
      <c r="FL8" s="304">
        <v>261</v>
      </c>
      <c r="FM8" s="304">
        <v>4239.6400000000003</v>
      </c>
      <c r="FN8" s="304">
        <v>4182.09</v>
      </c>
      <c r="FO8" s="304">
        <v>6259</v>
      </c>
      <c r="FP8" s="304">
        <v>560</v>
      </c>
      <c r="FQ8" s="304">
        <v>1434.76</v>
      </c>
      <c r="FR8" s="304">
        <v>240.26000000000002</v>
      </c>
      <c r="FS8" s="304"/>
      <c r="FT8" s="304"/>
      <c r="FU8" s="304"/>
      <c r="FV8" s="304"/>
      <c r="FW8" s="304"/>
      <c r="FX8" s="304"/>
      <c r="FY8" s="304"/>
      <c r="FZ8" s="304"/>
      <c r="GA8" s="304"/>
      <c r="GB8" s="304"/>
      <c r="GC8" s="304"/>
      <c r="GD8" s="304">
        <v>-48989.249999999985</v>
      </c>
      <c r="GE8" s="304">
        <v>-7582.6500000000033</v>
      </c>
      <c r="GF8" s="304"/>
      <c r="GG8" s="304">
        <v>-9229.68</v>
      </c>
      <c r="GH8" s="304"/>
      <c r="GI8" s="304">
        <v>-1149.5700000000002</v>
      </c>
      <c r="GJ8" s="304">
        <v>-6740.9</v>
      </c>
      <c r="GK8" s="304">
        <v>-96561.270000000019</v>
      </c>
      <c r="GL8" s="304"/>
      <c r="GM8" s="304"/>
      <c r="GN8" s="304">
        <v>-9956</v>
      </c>
      <c r="GO8" s="304"/>
      <c r="GP8" s="304"/>
      <c r="GQ8" s="304">
        <v>-1549.05</v>
      </c>
      <c r="GR8" s="304"/>
      <c r="GS8" s="304"/>
      <c r="GT8" s="304"/>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row>
    <row r="9" spans="1:280">
      <c r="A9" s="116">
        <v>107928</v>
      </c>
      <c r="B9" s="304"/>
      <c r="C9" s="304">
        <v>1342232.7</v>
      </c>
      <c r="D9" s="304">
        <v>58445.63</v>
      </c>
      <c r="E9" s="304">
        <v>34993</v>
      </c>
      <c r="F9" s="304">
        <v>398828.01000000007</v>
      </c>
      <c r="G9" s="304">
        <v>183781.49</v>
      </c>
      <c r="H9" s="304">
        <v>21707.370000000006</v>
      </c>
      <c r="I9" s="304">
        <v>0</v>
      </c>
      <c r="J9" s="304">
        <v>6225.6600000000008</v>
      </c>
      <c r="K9" s="304">
        <v>2670.7200000000003</v>
      </c>
      <c r="L9" s="304"/>
      <c r="M9" s="304"/>
      <c r="N9" s="304"/>
      <c r="O9" s="304"/>
      <c r="P9" s="304"/>
      <c r="Q9" s="304"/>
      <c r="R9" s="304"/>
      <c r="S9" s="304"/>
      <c r="T9" s="304"/>
      <c r="U9" s="304"/>
      <c r="V9" s="304">
        <v>68373.310000000012</v>
      </c>
      <c r="W9" s="304">
        <v>2488.7700000000004</v>
      </c>
      <c r="X9" s="304">
        <v>3481.18</v>
      </c>
      <c r="Y9" s="304">
        <v>18799.86</v>
      </c>
      <c r="Z9" s="304">
        <v>4383.5</v>
      </c>
      <c r="AA9" s="304"/>
      <c r="AB9" s="304"/>
      <c r="AC9" s="304"/>
      <c r="AD9" s="304"/>
      <c r="AE9" s="304"/>
      <c r="AF9" s="304">
        <v>499777.95000000007</v>
      </c>
      <c r="AG9" s="304">
        <v>12599.720000000001</v>
      </c>
      <c r="AH9" s="304">
        <v>8252.4</v>
      </c>
      <c r="AI9" s="304">
        <v>135846.75</v>
      </c>
      <c r="AJ9" s="304">
        <v>56204.409999999989</v>
      </c>
      <c r="AK9" s="304"/>
      <c r="AL9" s="304"/>
      <c r="AM9" s="304"/>
      <c r="AN9" s="304"/>
      <c r="AO9" s="304"/>
      <c r="AP9" s="304">
        <v>105489.23000000001</v>
      </c>
      <c r="AQ9" s="304">
        <v>82</v>
      </c>
      <c r="AR9" s="304">
        <v>928.54000000000008</v>
      </c>
      <c r="AS9" s="304">
        <v>28115.559999999998</v>
      </c>
      <c r="AT9" s="304">
        <v>12158.45</v>
      </c>
      <c r="AU9" s="304"/>
      <c r="AV9" s="304"/>
      <c r="AW9" s="304"/>
      <c r="AX9" s="304"/>
      <c r="AY9" s="304"/>
      <c r="AZ9" s="304"/>
      <c r="BA9" s="304"/>
      <c r="BB9" s="304"/>
      <c r="BC9" s="304"/>
      <c r="BD9" s="304">
        <v>109553.48999999999</v>
      </c>
      <c r="BE9" s="304">
        <v>1466.4800000000002</v>
      </c>
      <c r="BF9" s="304">
        <v>3939.4000000000005</v>
      </c>
      <c r="BG9" s="304">
        <v>28777.31</v>
      </c>
      <c r="BH9" s="304">
        <v>10712.869999999999</v>
      </c>
      <c r="BI9" s="304"/>
      <c r="BJ9" s="304"/>
      <c r="BK9" s="304"/>
      <c r="BL9" s="304"/>
      <c r="BM9" s="304"/>
      <c r="BN9" s="304">
        <v>360</v>
      </c>
      <c r="BO9" s="304">
        <v>16</v>
      </c>
      <c r="BP9" s="304"/>
      <c r="BQ9" s="304"/>
      <c r="BR9" s="304"/>
      <c r="BS9" s="304">
        <v>10307.26</v>
      </c>
      <c r="BT9" s="304"/>
      <c r="BU9" s="304"/>
      <c r="BV9" s="304">
        <v>1740</v>
      </c>
      <c r="BW9" s="304"/>
      <c r="BX9" s="304">
        <v>23180.629999999994</v>
      </c>
      <c r="BY9" s="304">
        <v>1212.99</v>
      </c>
      <c r="BZ9" s="304">
        <v>15303.68</v>
      </c>
      <c r="CA9" s="304"/>
      <c r="CB9" s="304"/>
      <c r="CC9" s="304"/>
      <c r="CD9" s="304"/>
      <c r="CE9" s="304"/>
      <c r="CF9" s="304">
        <v>920.07000000000016</v>
      </c>
      <c r="CG9" s="304">
        <v>36768.46</v>
      </c>
      <c r="CH9" s="304">
        <v>9317.31</v>
      </c>
      <c r="CI9" s="304">
        <v>17538.239999999998</v>
      </c>
      <c r="CJ9" s="304">
        <v>24.5</v>
      </c>
      <c r="CK9" s="304">
        <v>613.54</v>
      </c>
      <c r="CL9" s="304">
        <v>62517</v>
      </c>
      <c r="CM9" s="304">
        <v>9722.3599999999988</v>
      </c>
      <c r="CN9" s="304"/>
      <c r="CO9" s="304">
        <v>7647.61</v>
      </c>
      <c r="CP9" s="304">
        <v>995</v>
      </c>
      <c r="CQ9" s="304"/>
      <c r="CR9" s="304"/>
      <c r="CS9" s="304"/>
      <c r="CT9" s="304"/>
      <c r="CU9" s="304"/>
      <c r="CV9" s="304">
        <v>17.95</v>
      </c>
      <c r="CW9" s="304"/>
      <c r="CX9" s="304">
        <v>6236.37</v>
      </c>
      <c r="CY9" s="304"/>
      <c r="CZ9" s="304"/>
      <c r="DA9" s="304"/>
      <c r="DB9" s="304"/>
      <c r="DC9" s="304">
        <v>11182</v>
      </c>
      <c r="DD9" s="304">
        <v>129472.19000000003</v>
      </c>
      <c r="DE9" s="304">
        <v>1144.8800000000001</v>
      </c>
      <c r="DF9" s="304">
        <v>113.13000000000001</v>
      </c>
      <c r="DG9" s="304">
        <v>53.569999999999993</v>
      </c>
      <c r="DH9" s="304"/>
      <c r="DI9" s="304">
        <v>400</v>
      </c>
      <c r="DJ9" s="304"/>
      <c r="DK9" s="304">
        <v>104.19999999999999</v>
      </c>
      <c r="DL9" s="426">
        <v>4729.2999999999993</v>
      </c>
      <c r="DM9" s="304"/>
      <c r="DN9" s="304">
        <v>3268.8</v>
      </c>
      <c r="DO9" s="304"/>
      <c r="DP9" s="304"/>
      <c r="DQ9" s="304">
        <v>17824.75</v>
      </c>
      <c r="DR9" s="304">
        <v>12685.05</v>
      </c>
      <c r="DS9" s="304">
        <v>5012.8500000000004</v>
      </c>
      <c r="DT9" s="304"/>
      <c r="DU9" s="304"/>
      <c r="DV9" s="304"/>
      <c r="DW9" s="304"/>
      <c r="DX9" s="304"/>
      <c r="DY9" s="304"/>
      <c r="DZ9" s="304">
        <v>20902.14</v>
      </c>
      <c r="EA9" s="304"/>
      <c r="EB9" s="304">
        <v>-40.089999999999918</v>
      </c>
      <c r="EC9" s="304">
        <v>69270.64</v>
      </c>
      <c r="ED9" s="304"/>
      <c r="EE9" s="304"/>
      <c r="EF9" s="304"/>
      <c r="EG9" s="304"/>
      <c r="EH9" s="304"/>
      <c r="EI9" s="304">
        <v>-3164347</v>
      </c>
      <c r="EJ9" s="304">
        <v>-1050</v>
      </c>
      <c r="EK9" s="304">
        <v>-3250</v>
      </c>
      <c r="EL9" s="304">
        <v>-126448</v>
      </c>
      <c r="EM9" s="304"/>
      <c r="EN9" s="304">
        <v>-1752</v>
      </c>
      <c r="EO9" s="304"/>
      <c r="EP9" s="304"/>
      <c r="EQ9" s="304">
        <v>-11076.25</v>
      </c>
      <c r="ER9" s="304">
        <v>-107374</v>
      </c>
      <c r="ES9" s="304">
        <v>-19612</v>
      </c>
      <c r="ET9" s="304"/>
      <c r="EU9" s="304">
        <v>8584.48</v>
      </c>
      <c r="EV9" s="304">
        <v>-14547.31</v>
      </c>
      <c r="EW9" s="304"/>
      <c r="EX9" s="304">
        <v>-204786</v>
      </c>
      <c r="EY9" s="304">
        <v>12889.34</v>
      </c>
      <c r="EZ9" s="304">
        <v>1909.3</v>
      </c>
      <c r="FA9" s="304">
        <v>-7775.58</v>
      </c>
      <c r="FB9" s="304">
        <v>-27258</v>
      </c>
      <c r="FC9" s="304">
        <v>-56998</v>
      </c>
      <c r="FD9" s="304">
        <v>2077</v>
      </c>
      <c r="FE9" s="304"/>
      <c r="FF9" s="304">
        <v>4519.16</v>
      </c>
      <c r="FG9" s="304">
        <v>9145.92</v>
      </c>
      <c r="FH9" s="304">
        <v>507</v>
      </c>
      <c r="FI9" s="304">
        <v>150116.43</v>
      </c>
      <c r="FJ9" s="304">
        <v>1551</v>
      </c>
      <c r="FK9" s="304">
        <v>12058.370000000006</v>
      </c>
      <c r="FL9" s="304">
        <v>261</v>
      </c>
      <c r="FM9" s="304">
        <v>4943.43</v>
      </c>
      <c r="FN9" s="304">
        <v>8904.4500000000007</v>
      </c>
      <c r="FO9" s="304">
        <v>11241.3</v>
      </c>
      <c r="FP9" s="304">
        <v>560</v>
      </c>
      <c r="FQ9" s="304">
        <v>2086.06</v>
      </c>
      <c r="FR9" s="304">
        <v>5200.6499999999996</v>
      </c>
      <c r="FS9" s="304"/>
      <c r="FT9" s="304"/>
      <c r="FU9" s="304"/>
      <c r="FV9" s="304"/>
      <c r="FW9" s="304"/>
      <c r="FX9" s="304"/>
      <c r="FY9" s="304"/>
      <c r="FZ9" s="304"/>
      <c r="GA9" s="304"/>
      <c r="GB9" s="304"/>
      <c r="GC9" s="304">
        <v>-62535.949999999975</v>
      </c>
      <c r="GD9" s="304">
        <v>-57712.960000000181</v>
      </c>
      <c r="GE9" s="304">
        <v>-2407.4</v>
      </c>
      <c r="GF9" s="304"/>
      <c r="GG9" s="304">
        <v>-6173.3400000000011</v>
      </c>
      <c r="GH9" s="304"/>
      <c r="GI9" s="304"/>
      <c r="GJ9" s="304">
        <v>-17428</v>
      </c>
      <c r="GK9" s="304">
        <v>0</v>
      </c>
      <c r="GL9" s="304"/>
      <c r="GM9" s="304">
        <v>-9792.2899999999954</v>
      </c>
      <c r="GN9" s="304"/>
      <c r="GO9" s="304"/>
      <c r="GP9" s="304"/>
      <c r="GQ9" s="304">
        <v>-2966.25</v>
      </c>
      <c r="GR9" s="304"/>
      <c r="GS9" s="304"/>
      <c r="GT9" s="304"/>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row>
    <row r="10" spans="1:280">
      <c r="A10" s="116">
        <v>107929</v>
      </c>
      <c r="B10" s="304"/>
      <c r="C10" s="304">
        <v>1018835.43</v>
      </c>
      <c r="D10" s="304">
        <v>23117.9</v>
      </c>
      <c r="E10" s="304">
        <v>8472</v>
      </c>
      <c r="F10" s="304">
        <v>300980.23</v>
      </c>
      <c r="G10" s="304">
        <v>138384.90000000002</v>
      </c>
      <c r="H10" s="304">
        <v>260.51000000000005</v>
      </c>
      <c r="I10" s="304"/>
      <c r="J10" s="304">
        <v>74.72</v>
      </c>
      <c r="K10" s="304">
        <v>14.05</v>
      </c>
      <c r="L10" s="304"/>
      <c r="M10" s="304">
        <v>46354.61</v>
      </c>
      <c r="N10" s="304">
        <v>1722.93</v>
      </c>
      <c r="O10" s="304">
        <v>12692.399999999998</v>
      </c>
      <c r="P10" s="304">
        <v>6463.2699999999986</v>
      </c>
      <c r="Q10" s="304">
        <v>6274.58</v>
      </c>
      <c r="R10" s="304">
        <v>61.180000000000007</v>
      </c>
      <c r="S10" s="304"/>
      <c r="T10" s="304">
        <v>1117.76</v>
      </c>
      <c r="U10" s="304">
        <v>670.49000000000012</v>
      </c>
      <c r="V10" s="304">
        <v>55404.08</v>
      </c>
      <c r="W10" s="304">
        <v>1131.1099999999999</v>
      </c>
      <c r="X10" s="304">
        <v>391.96999999999997</v>
      </c>
      <c r="Y10" s="304">
        <v>9498.69</v>
      </c>
      <c r="Z10" s="304">
        <v>3407.1400000000003</v>
      </c>
      <c r="AA10" s="304"/>
      <c r="AB10" s="304"/>
      <c r="AC10" s="304"/>
      <c r="AD10" s="304"/>
      <c r="AE10" s="304"/>
      <c r="AF10" s="304">
        <v>561042.97</v>
      </c>
      <c r="AG10" s="304">
        <v>9500.7000000000007</v>
      </c>
      <c r="AH10" s="304">
        <v>460.08</v>
      </c>
      <c r="AI10" s="304">
        <v>152749.30000000002</v>
      </c>
      <c r="AJ10" s="304">
        <v>65395.429999999993</v>
      </c>
      <c r="AK10" s="304"/>
      <c r="AL10" s="304"/>
      <c r="AM10" s="304"/>
      <c r="AN10" s="304"/>
      <c r="AO10" s="304"/>
      <c r="AP10" s="304">
        <v>96648.11</v>
      </c>
      <c r="AQ10" s="304">
        <v>1588.7599999999998</v>
      </c>
      <c r="AR10" s="304">
        <v>185.64</v>
      </c>
      <c r="AS10" s="304">
        <v>26946</v>
      </c>
      <c r="AT10" s="304">
        <v>11318.749999999998</v>
      </c>
      <c r="AU10" s="304"/>
      <c r="AV10" s="304"/>
      <c r="AW10" s="304"/>
      <c r="AX10" s="304"/>
      <c r="AY10" s="304"/>
      <c r="AZ10" s="304"/>
      <c r="BA10" s="304"/>
      <c r="BB10" s="304"/>
      <c r="BC10" s="304"/>
      <c r="BD10" s="304">
        <v>45710.23</v>
      </c>
      <c r="BE10" s="304">
        <v>557.65</v>
      </c>
      <c r="BF10" s="304">
        <v>104.83000000000001</v>
      </c>
      <c r="BG10" s="304">
        <v>10399.099999999999</v>
      </c>
      <c r="BH10" s="304">
        <v>5682.69</v>
      </c>
      <c r="BI10" s="304"/>
      <c r="BJ10" s="304"/>
      <c r="BK10" s="304"/>
      <c r="BL10" s="304"/>
      <c r="BM10" s="304"/>
      <c r="BN10" s="304"/>
      <c r="BO10" s="304"/>
      <c r="BP10" s="304"/>
      <c r="BQ10" s="304"/>
      <c r="BR10" s="304">
        <v>15</v>
      </c>
      <c r="BS10" s="304">
        <v>7147.79</v>
      </c>
      <c r="BT10" s="304"/>
      <c r="BU10" s="304"/>
      <c r="BV10" s="304">
        <v>96612</v>
      </c>
      <c r="BW10" s="304"/>
      <c r="BX10" s="304">
        <v>17207.899999999998</v>
      </c>
      <c r="BY10" s="304">
        <v>3808</v>
      </c>
      <c r="BZ10" s="304">
        <v>7493</v>
      </c>
      <c r="CA10" s="304">
        <v>1478.26</v>
      </c>
      <c r="CB10" s="304"/>
      <c r="CC10" s="304"/>
      <c r="CD10" s="304">
        <v>1001.78</v>
      </c>
      <c r="CE10" s="304"/>
      <c r="CF10" s="304">
        <v>1683.8400000000001</v>
      </c>
      <c r="CG10" s="304">
        <v>21761.719999999998</v>
      </c>
      <c r="CH10" s="304">
        <v>17156.72</v>
      </c>
      <c r="CI10" s="304"/>
      <c r="CJ10" s="304"/>
      <c r="CK10" s="304">
        <v>1765.5299999999997</v>
      </c>
      <c r="CL10" s="304">
        <v>7138.15</v>
      </c>
      <c r="CM10" s="304">
        <v>10542.11</v>
      </c>
      <c r="CN10" s="304"/>
      <c r="CO10" s="304">
        <v>42737.55</v>
      </c>
      <c r="CP10" s="304">
        <v>6752.8000000000011</v>
      </c>
      <c r="CQ10" s="304">
        <v>1925.3700000000001</v>
      </c>
      <c r="CR10" s="304">
        <v>20</v>
      </c>
      <c r="CS10" s="304"/>
      <c r="CT10" s="304">
        <v>351.21</v>
      </c>
      <c r="CU10" s="304"/>
      <c r="CV10" s="304">
        <v>245.75</v>
      </c>
      <c r="CW10" s="304"/>
      <c r="CX10" s="304"/>
      <c r="CY10" s="304"/>
      <c r="CZ10" s="304"/>
      <c r="DA10" s="304"/>
      <c r="DB10" s="304">
        <v>108</v>
      </c>
      <c r="DC10" s="304"/>
      <c r="DD10" s="304">
        <v>23240.260000000028</v>
      </c>
      <c r="DE10" s="304">
        <v>929.63</v>
      </c>
      <c r="DF10" s="304">
        <v>764.59</v>
      </c>
      <c r="DG10" s="304">
        <v>330.3900000000001</v>
      </c>
      <c r="DH10" s="304">
        <v>16860.98</v>
      </c>
      <c r="DI10" s="304">
        <v>16274.57</v>
      </c>
      <c r="DJ10" s="304">
        <v>9465.7000000000007</v>
      </c>
      <c r="DK10" s="304">
        <v>297.05</v>
      </c>
      <c r="DL10" s="304">
        <v>2773.38</v>
      </c>
      <c r="DM10" s="304">
        <v>0</v>
      </c>
      <c r="DN10" s="304">
        <v>5330.5700000000006</v>
      </c>
      <c r="DO10" s="304"/>
      <c r="DP10" s="304">
        <v>0</v>
      </c>
      <c r="DQ10" s="304">
        <v>7734.42</v>
      </c>
      <c r="DR10" s="304">
        <v>19604.52</v>
      </c>
      <c r="DS10" s="304">
        <v>8210.2000000000007</v>
      </c>
      <c r="DT10" s="304">
        <v>992.62</v>
      </c>
      <c r="DU10" s="304">
        <v>4948</v>
      </c>
      <c r="DV10" s="304"/>
      <c r="DW10" s="304">
        <v>1076.04</v>
      </c>
      <c r="DX10" s="304">
        <v>1601.46</v>
      </c>
      <c r="DY10" s="304"/>
      <c r="DZ10" s="304">
        <v>13923.63</v>
      </c>
      <c r="EA10" s="304">
        <v>394.5</v>
      </c>
      <c r="EB10" s="304">
        <v>99659.200000000026</v>
      </c>
      <c r="EC10" s="304">
        <v>37038.269999999997</v>
      </c>
      <c r="ED10" s="304">
        <v>6013.3300000000008</v>
      </c>
      <c r="EE10" s="304">
        <v>78.239999999999995</v>
      </c>
      <c r="EF10" s="304"/>
      <c r="EG10" s="304"/>
      <c r="EH10" s="304"/>
      <c r="EI10" s="304">
        <v>-2318317.81</v>
      </c>
      <c r="EJ10" s="304">
        <v>-660</v>
      </c>
      <c r="EK10" s="304">
        <v>-53450</v>
      </c>
      <c r="EL10" s="304">
        <v>-284880.59999999998</v>
      </c>
      <c r="EM10" s="304"/>
      <c r="EN10" s="304">
        <v>-3847.29</v>
      </c>
      <c r="EO10" s="304">
        <v>-195</v>
      </c>
      <c r="EP10" s="304"/>
      <c r="EQ10" s="304">
        <v>-8348.1299999999992</v>
      </c>
      <c r="ER10" s="304">
        <v>-50625</v>
      </c>
      <c r="ES10" s="304">
        <v>-17809</v>
      </c>
      <c r="ET10" s="304">
        <v>-186165.41</v>
      </c>
      <c r="EU10" s="304"/>
      <c r="EV10" s="304">
        <v>-3091.45</v>
      </c>
      <c r="EW10" s="304"/>
      <c r="EX10" s="304">
        <v>-572613</v>
      </c>
      <c r="EY10" s="304">
        <v>8586.0300000000007</v>
      </c>
      <c r="EZ10" s="304">
        <v>1271.8499999999999</v>
      </c>
      <c r="FA10" s="304">
        <v>-32534</v>
      </c>
      <c r="FB10" s="304">
        <v>-23174</v>
      </c>
      <c r="FC10" s="304">
        <v>-48516</v>
      </c>
      <c r="FD10" s="304">
        <v>1233.25</v>
      </c>
      <c r="FE10" s="304"/>
      <c r="FF10" s="304">
        <v>646.2800000000002</v>
      </c>
      <c r="FG10" s="304">
        <v>583.05999999999995</v>
      </c>
      <c r="FH10" s="304"/>
      <c r="FI10" s="304">
        <v>710</v>
      </c>
      <c r="FJ10" s="304">
        <v>2852</v>
      </c>
      <c r="FK10" s="304">
        <v>13430.040000000003</v>
      </c>
      <c r="FL10" s="304">
        <v>261</v>
      </c>
      <c r="FM10" s="304">
        <v>3817.7</v>
      </c>
      <c r="FN10" s="304">
        <v>6269.8</v>
      </c>
      <c r="FO10" s="304">
        <v>3780</v>
      </c>
      <c r="FP10" s="304">
        <v>752</v>
      </c>
      <c r="FQ10" s="304">
        <v>1565.74</v>
      </c>
      <c r="FR10" s="304">
        <v>900.77</v>
      </c>
      <c r="FS10" s="304"/>
      <c r="FT10" s="304"/>
      <c r="FU10" s="304"/>
      <c r="FV10" s="304"/>
      <c r="FW10" s="304">
        <v>-1260</v>
      </c>
      <c r="FX10" s="304"/>
      <c r="FY10" s="304"/>
      <c r="FZ10" s="304"/>
      <c r="GA10" s="304"/>
      <c r="GB10" s="304"/>
      <c r="GC10" s="304">
        <v>-11648.579999999998</v>
      </c>
      <c r="GD10" s="304">
        <v>-23509.040000000023</v>
      </c>
      <c r="GE10" s="304">
        <v>-2908.86</v>
      </c>
      <c r="GF10" s="304"/>
      <c r="GG10" s="304">
        <v>145.10000000000002</v>
      </c>
      <c r="GH10" s="304">
        <v>-340</v>
      </c>
      <c r="GI10" s="304">
        <v>-69</v>
      </c>
      <c r="GJ10" s="304">
        <v>-1485</v>
      </c>
      <c r="GK10" s="304">
        <v>-22315.520000000004</v>
      </c>
      <c r="GL10" s="304">
        <v>-50</v>
      </c>
      <c r="GM10" s="304"/>
      <c r="GN10" s="304">
        <v>-14910.099999999999</v>
      </c>
      <c r="GO10" s="304"/>
      <c r="GP10" s="304">
        <v>-59.279999999999994</v>
      </c>
      <c r="GQ10" s="304">
        <v>-9766.24</v>
      </c>
      <c r="GR10" s="304"/>
      <c r="GS10" s="304"/>
      <c r="GT10" s="304"/>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row>
    <row r="11" spans="1:280">
      <c r="A11" s="116">
        <v>107933</v>
      </c>
      <c r="B11" s="304"/>
      <c r="C11" s="304">
        <v>509803.07</v>
      </c>
      <c r="D11" s="304">
        <v>9360.42</v>
      </c>
      <c r="E11" s="304">
        <v>6621</v>
      </c>
      <c r="F11" s="304">
        <v>150715.56</v>
      </c>
      <c r="G11" s="304">
        <v>68473.81</v>
      </c>
      <c r="H11" s="304">
        <v>17372.63</v>
      </c>
      <c r="I11" s="304"/>
      <c r="J11" s="304">
        <v>4276.49</v>
      </c>
      <c r="K11" s="304">
        <v>1979.9399999999998</v>
      </c>
      <c r="L11" s="304"/>
      <c r="M11" s="304"/>
      <c r="N11" s="304"/>
      <c r="O11" s="304"/>
      <c r="P11" s="304"/>
      <c r="Q11" s="304"/>
      <c r="R11" s="304"/>
      <c r="S11" s="304"/>
      <c r="T11" s="304"/>
      <c r="U11" s="304"/>
      <c r="V11" s="304">
        <v>28752.539999999997</v>
      </c>
      <c r="W11" s="304">
        <v>762.22</v>
      </c>
      <c r="X11" s="304">
        <v>996.98</v>
      </c>
      <c r="Y11" s="304">
        <v>7672.3700000000017</v>
      </c>
      <c r="Z11" s="304">
        <v>2304.9700000000003</v>
      </c>
      <c r="AA11" s="304"/>
      <c r="AB11" s="304"/>
      <c r="AC11" s="304"/>
      <c r="AD11" s="304"/>
      <c r="AE11" s="304"/>
      <c r="AF11" s="304">
        <v>240550.62999999998</v>
      </c>
      <c r="AG11" s="304">
        <v>5624.56</v>
      </c>
      <c r="AH11" s="304">
        <v>2456.06</v>
      </c>
      <c r="AI11" s="304">
        <v>64500.59</v>
      </c>
      <c r="AJ11" s="304">
        <v>27430.81</v>
      </c>
      <c r="AK11" s="304"/>
      <c r="AL11" s="304"/>
      <c r="AM11" s="304"/>
      <c r="AN11" s="304"/>
      <c r="AO11" s="304"/>
      <c r="AP11" s="304">
        <v>43809.990000000005</v>
      </c>
      <c r="AQ11" s="304">
        <v>68.97</v>
      </c>
      <c r="AR11" s="304"/>
      <c r="AS11" s="304">
        <v>11583.949999999999</v>
      </c>
      <c r="AT11" s="304">
        <v>5080.6400000000003</v>
      </c>
      <c r="AU11" s="304">
        <v>27463.300000000003</v>
      </c>
      <c r="AV11" s="304">
        <v>230.78</v>
      </c>
      <c r="AW11" s="304"/>
      <c r="AX11" s="304">
        <v>7311.1600000000017</v>
      </c>
      <c r="AY11" s="304">
        <v>3403.5500000000006</v>
      </c>
      <c r="AZ11" s="304"/>
      <c r="BA11" s="304"/>
      <c r="BB11" s="304"/>
      <c r="BC11" s="304"/>
      <c r="BD11" s="304">
        <v>20422.88</v>
      </c>
      <c r="BE11" s="304">
        <v>456.62</v>
      </c>
      <c r="BF11" s="304">
        <v>75.92</v>
      </c>
      <c r="BG11" s="304">
        <v>4550.1500000000005</v>
      </c>
      <c r="BH11" s="304">
        <v>1140.71</v>
      </c>
      <c r="BI11" s="304"/>
      <c r="BJ11" s="304"/>
      <c r="BK11" s="304"/>
      <c r="BL11" s="304"/>
      <c r="BM11" s="304"/>
      <c r="BN11" s="304"/>
      <c r="BO11" s="304"/>
      <c r="BP11" s="304"/>
      <c r="BQ11" s="304"/>
      <c r="BR11" s="304"/>
      <c r="BS11" s="304">
        <v>6460.5</v>
      </c>
      <c r="BT11" s="304"/>
      <c r="BU11" s="304"/>
      <c r="BV11" s="304">
        <v>2010</v>
      </c>
      <c r="BW11" s="304"/>
      <c r="BX11" s="304">
        <v>26569.079999999998</v>
      </c>
      <c r="BY11" s="304"/>
      <c r="BZ11" s="304">
        <v>5437</v>
      </c>
      <c r="CA11" s="304">
        <v>1560</v>
      </c>
      <c r="CB11" s="304"/>
      <c r="CC11" s="304"/>
      <c r="CD11" s="304"/>
      <c r="CE11" s="304">
        <v>6537.15</v>
      </c>
      <c r="CF11" s="304">
        <v>359.38</v>
      </c>
      <c r="CG11" s="304">
        <v>7393.3700000000008</v>
      </c>
      <c r="CH11" s="304">
        <v>8626.8199999999979</v>
      </c>
      <c r="CI11" s="304"/>
      <c r="CJ11" s="304"/>
      <c r="CK11" s="304"/>
      <c r="CL11" s="304"/>
      <c r="CM11" s="304">
        <v>1023.2800000000001</v>
      </c>
      <c r="CN11" s="304">
        <v>332.34</v>
      </c>
      <c r="CO11" s="304">
        <v>2678.3100000000009</v>
      </c>
      <c r="CP11" s="304">
        <v>738.92</v>
      </c>
      <c r="CQ11" s="304"/>
      <c r="CR11" s="304"/>
      <c r="CS11" s="304"/>
      <c r="CT11" s="304"/>
      <c r="CU11" s="304"/>
      <c r="CV11" s="304"/>
      <c r="CW11" s="304"/>
      <c r="CX11" s="304">
        <v>670.63</v>
      </c>
      <c r="CY11" s="304"/>
      <c r="CZ11" s="304"/>
      <c r="DA11" s="304"/>
      <c r="DB11" s="304"/>
      <c r="DC11" s="304">
        <v>4488</v>
      </c>
      <c r="DD11" s="304">
        <v>21635.09</v>
      </c>
      <c r="DE11" s="304">
        <v>169.29999999999998</v>
      </c>
      <c r="DF11" s="304"/>
      <c r="DG11" s="304">
        <v>2828.08</v>
      </c>
      <c r="DH11" s="304">
        <v>6023.15</v>
      </c>
      <c r="DI11" s="304">
        <v>10930.22</v>
      </c>
      <c r="DJ11" s="304">
        <v>15250.699999999999</v>
      </c>
      <c r="DK11" s="304"/>
      <c r="DL11" s="304">
        <v>2531.6199999999994</v>
      </c>
      <c r="DM11" s="304"/>
      <c r="DN11" s="304">
        <v>3594.28</v>
      </c>
      <c r="DO11" s="304"/>
      <c r="DP11" s="304"/>
      <c r="DQ11" s="304"/>
      <c r="DR11" s="304"/>
      <c r="DS11" s="304"/>
      <c r="DT11" s="304"/>
      <c r="DU11" s="304"/>
      <c r="DV11" s="304"/>
      <c r="DW11" s="304"/>
      <c r="DX11" s="304"/>
      <c r="DY11" s="304"/>
      <c r="DZ11" s="304">
        <v>7880.04</v>
      </c>
      <c r="EA11" s="304">
        <v>1029.5</v>
      </c>
      <c r="EB11" s="304">
        <v>83338.38</v>
      </c>
      <c r="EC11" s="304">
        <v>9502.57</v>
      </c>
      <c r="ED11" s="304"/>
      <c r="EE11" s="304"/>
      <c r="EF11" s="304"/>
      <c r="EG11" s="304"/>
      <c r="EH11" s="304"/>
      <c r="EI11" s="304">
        <v>-1244689.29</v>
      </c>
      <c r="EJ11" s="304"/>
      <c r="EK11" s="304"/>
      <c r="EL11" s="304">
        <v>-61265</v>
      </c>
      <c r="EM11" s="304"/>
      <c r="EN11" s="304">
        <v>-876</v>
      </c>
      <c r="EO11" s="304"/>
      <c r="EP11" s="304"/>
      <c r="EQ11" s="304">
        <v>-6829.38</v>
      </c>
      <c r="ER11" s="304">
        <v>-90952</v>
      </c>
      <c r="ES11" s="304">
        <v>-16187</v>
      </c>
      <c r="ET11" s="304">
        <v>-185083.48</v>
      </c>
      <c r="EU11" s="304"/>
      <c r="EV11" s="304">
        <v>-16946.07</v>
      </c>
      <c r="EW11" s="304"/>
      <c r="EX11" s="304">
        <v>-50165</v>
      </c>
      <c r="EY11" s="304">
        <v>4859.24</v>
      </c>
      <c r="EZ11" s="304">
        <v>719.8</v>
      </c>
      <c r="FA11" s="304">
        <v>-22089.3</v>
      </c>
      <c r="FB11" s="304">
        <v>-11431</v>
      </c>
      <c r="FC11" s="304">
        <v>-23586</v>
      </c>
      <c r="FD11" s="304">
        <v>900</v>
      </c>
      <c r="FE11" s="304"/>
      <c r="FF11" s="304">
        <v>1745.96</v>
      </c>
      <c r="FG11" s="304">
        <v>2512.6999999999998</v>
      </c>
      <c r="FH11" s="304"/>
      <c r="FI11" s="304"/>
      <c r="FJ11" s="304"/>
      <c r="FK11" s="304">
        <v>4881.4900000000016</v>
      </c>
      <c r="FL11" s="304">
        <v>261</v>
      </c>
      <c r="FM11" s="304">
        <v>2696.16</v>
      </c>
      <c r="FN11" s="304">
        <v>3955.31</v>
      </c>
      <c r="FO11" s="304">
        <v>2478</v>
      </c>
      <c r="FP11" s="304">
        <v>560</v>
      </c>
      <c r="FQ11" s="304">
        <v>1185.1600000000001</v>
      </c>
      <c r="FR11" s="304"/>
      <c r="FS11" s="304"/>
      <c r="FT11" s="304"/>
      <c r="FU11" s="304"/>
      <c r="FV11" s="304"/>
      <c r="FW11" s="304"/>
      <c r="FX11" s="304"/>
      <c r="FY11" s="304"/>
      <c r="FZ11" s="304"/>
      <c r="GA11" s="304"/>
      <c r="GB11" s="304"/>
      <c r="GC11" s="304"/>
      <c r="GD11" s="304">
        <v>-4900.7</v>
      </c>
      <c r="GE11" s="304"/>
      <c r="GF11" s="304"/>
      <c r="GG11" s="304"/>
      <c r="GH11" s="304"/>
      <c r="GI11" s="304">
        <v>-783.51</v>
      </c>
      <c r="GJ11" s="304"/>
      <c r="GK11" s="304"/>
      <c r="GL11" s="304"/>
      <c r="GM11" s="304"/>
      <c r="GN11" s="304">
        <v>-3288.7300000000005</v>
      </c>
      <c r="GO11" s="304"/>
      <c r="GP11" s="304"/>
      <c r="GQ11" s="304">
        <v>-10537.97</v>
      </c>
      <c r="GR11" s="304"/>
      <c r="GS11" s="304"/>
      <c r="GT11" s="304"/>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row>
    <row r="12" spans="1:280">
      <c r="A12" s="116">
        <v>107936</v>
      </c>
      <c r="B12" s="304"/>
      <c r="C12" s="304">
        <v>440199.21</v>
      </c>
      <c r="D12" s="304">
        <v>10344.030000000001</v>
      </c>
      <c r="E12" s="304">
        <v>62909.72000000003</v>
      </c>
      <c r="F12" s="304">
        <v>129215.76999999999</v>
      </c>
      <c r="G12" s="304">
        <v>59432.979999999996</v>
      </c>
      <c r="H12" s="304">
        <v>15600.940000000002</v>
      </c>
      <c r="I12" s="304"/>
      <c r="J12" s="304">
        <v>4474.3</v>
      </c>
      <c r="K12" s="304">
        <v>1712.9700000000003</v>
      </c>
      <c r="L12" s="304"/>
      <c r="M12" s="304"/>
      <c r="N12" s="304"/>
      <c r="O12" s="304"/>
      <c r="P12" s="304"/>
      <c r="Q12" s="304">
        <v>0</v>
      </c>
      <c r="R12" s="304"/>
      <c r="S12" s="304"/>
      <c r="T12" s="304"/>
      <c r="U12" s="304">
        <v>0</v>
      </c>
      <c r="V12" s="304">
        <v>36748.639999999999</v>
      </c>
      <c r="W12" s="304">
        <v>968.7800000000002</v>
      </c>
      <c r="X12" s="304">
        <v>865.5200000000001</v>
      </c>
      <c r="Y12" s="304">
        <v>8786.1200000000008</v>
      </c>
      <c r="Z12" s="304">
        <v>2250.5399999999995</v>
      </c>
      <c r="AA12" s="304">
        <v>29304.43</v>
      </c>
      <c r="AB12" s="304">
        <v>242.32000000000002</v>
      </c>
      <c r="AC12" s="304">
        <v>3269.29</v>
      </c>
      <c r="AD12" s="304">
        <v>7705.71</v>
      </c>
      <c r="AE12" s="304">
        <v>3500.5699999999993</v>
      </c>
      <c r="AF12" s="304">
        <v>273613.8</v>
      </c>
      <c r="AG12" s="304">
        <v>4157.3600000000006</v>
      </c>
      <c r="AH12" s="304">
        <v>9702.5299999999988</v>
      </c>
      <c r="AI12" s="304">
        <v>75179.839999999997</v>
      </c>
      <c r="AJ12" s="304">
        <v>30752.37</v>
      </c>
      <c r="AK12" s="304"/>
      <c r="AL12" s="304"/>
      <c r="AM12" s="304"/>
      <c r="AN12" s="304"/>
      <c r="AO12" s="304"/>
      <c r="AP12" s="304">
        <v>53202.869999999995</v>
      </c>
      <c r="AQ12" s="304">
        <v>440.84</v>
      </c>
      <c r="AR12" s="304">
        <v>6062.8400000000011</v>
      </c>
      <c r="AS12" s="304">
        <v>15701.480000000001</v>
      </c>
      <c r="AT12" s="304">
        <v>6593.8899999999994</v>
      </c>
      <c r="AU12" s="304"/>
      <c r="AV12" s="304"/>
      <c r="AW12" s="304"/>
      <c r="AX12" s="304"/>
      <c r="AY12" s="304"/>
      <c r="AZ12" s="304"/>
      <c r="BA12" s="304"/>
      <c r="BB12" s="304"/>
      <c r="BC12" s="304"/>
      <c r="BD12" s="304">
        <v>15862.25</v>
      </c>
      <c r="BE12" s="304">
        <v>84.32</v>
      </c>
      <c r="BF12" s="304">
        <v>4365.08</v>
      </c>
      <c r="BG12" s="304">
        <v>5030.9300000000012</v>
      </c>
      <c r="BH12" s="304">
        <v>2236.1</v>
      </c>
      <c r="BI12" s="304"/>
      <c r="BJ12" s="304"/>
      <c r="BK12" s="304"/>
      <c r="BL12" s="304"/>
      <c r="BM12" s="304"/>
      <c r="BN12" s="304"/>
      <c r="BO12" s="304"/>
      <c r="BP12" s="304"/>
      <c r="BQ12" s="304"/>
      <c r="BR12" s="304"/>
      <c r="BS12" s="304">
        <v>1350.5</v>
      </c>
      <c r="BT12" s="304">
        <v>8623.9</v>
      </c>
      <c r="BU12" s="304"/>
      <c r="BV12" s="304"/>
      <c r="BW12" s="304"/>
      <c r="BX12" s="304">
        <v>5465.6200000000008</v>
      </c>
      <c r="BY12" s="304">
        <v>6236.4</v>
      </c>
      <c r="BZ12" s="304"/>
      <c r="CA12" s="304"/>
      <c r="CB12" s="304"/>
      <c r="CC12" s="304">
        <v>1485</v>
      </c>
      <c r="CD12" s="304"/>
      <c r="CE12" s="304"/>
      <c r="CF12" s="304"/>
      <c r="CG12" s="304">
        <v>9770.7900000000009</v>
      </c>
      <c r="CH12" s="304">
        <v>3651.8899999999994</v>
      </c>
      <c r="CI12" s="304"/>
      <c r="CJ12" s="304"/>
      <c r="CK12" s="304"/>
      <c r="CL12" s="304">
        <v>12556.25</v>
      </c>
      <c r="CM12" s="304">
        <v>4292.4299999999994</v>
      </c>
      <c r="CN12" s="304"/>
      <c r="CO12" s="304">
        <v>22372.440000000006</v>
      </c>
      <c r="CP12" s="304">
        <v>1442.29</v>
      </c>
      <c r="CQ12" s="304"/>
      <c r="CR12" s="304"/>
      <c r="CS12" s="304"/>
      <c r="CT12" s="304">
        <v>4525</v>
      </c>
      <c r="CU12" s="304"/>
      <c r="CV12" s="304">
        <v>461.78000000000003</v>
      </c>
      <c r="CW12" s="304"/>
      <c r="CX12" s="304">
        <v>611.30000000000007</v>
      </c>
      <c r="CY12" s="304"/>
      <c r="CZ12" s="304"/>
      <c r="DA12" s="304"/>
      <c r="DB12" s="304"/>
      <c r="DC12" s="304">
        <v>4447</v>
      </c>
      <c r="DD12" s="304">
        <v>54549.549999999981</v>
      </c>
      <c r="DE12" s="304">
        <v>79.789999999999992</v>
      </c>
      <c r="DF12" s="304"/>
      <c r="DG12" s="304">
        <v>2307.4500000000003</v>
      </c>
      <c r="DH12" s="304"/>
      <c r="DI12" s="304">
        <v>1170</v>
      </c>
      <c r="DJ12" s="304"/>
      <c r="DK12" s="304"/>
      <c r="DL12" s="304">
        <v>1078.57</v>
      </c>
      <c r="DM12" s="304"/>
      <c r="DN12" s="304">
        <v>4964.68</v>
      </c>
      <c r="DO12" s="304"/>
      <c r="DP12" s="304"/>
      <c r="DQ12" s="304"/>
      <c r="DR12" s="304"/>
      <c r="DS12" s="304"/>
      <c r="DT12" s="304"/>
      <c r="DU12" s="304"/>
      <c r="DV12" s="304"/>
      <c r="DW12" s="304"/>
      <c r="DX12" s="304"/>
      <c r="DY12" s="304"/>
      <c r="DZ12" s="304">
        <v>7078.68</v>
      </c>
      <c r="EA12" s="304">
        <v>354.5</v>
      </c>
      <c r="EB12" s="304">
        <v>64550.14</v>
      </c>
      <c r="EC12" s="304">
        <v>18269.64</v>
      </c>
      <c r="ED12" s="304"/>
      <c r="EE12" s="304"/>
      <c r="EF12" s="304"/>
      <c r="EG12" s="304"/>
      <c r="EH12" s="304">
        <v>6.2200000000000006</v>
      </c>
      <c r="EI12" s="304">
        <v>-1191616.6200000001</v>
      </c>
      <c r="EJ12" s="304"/>
      <c r="EK12" s="304">
        <v>-7270</v>
      </c>
      <c r="EL12" s="304">
        <v>-69900</v>
      </c>
      <c r="EM12" s="304"/>
      <c r="EN12" s="304"/>
      <c r="EO12" s="304"/>
      <c r="EP12" s="304"/>
      <c r="EQ12" s="304">
        <v>-6396.25</v>
      </c>
      <c r="ER12" s="304">
        <v>-31239</v>
      </c>
      <c r="ES12" s="304">
        <v>-16334</v>
      </c>
      <c r="ET12" s="304"/>
      <c r="EU12" s="304">
        <v>43155.13</v>
      </c>
      <c r="EV12" s="304">
        <v>-3767.06</v>
      </c>
      <c r="EW12" s="304"/>
      <c r="EX12" s="304">
        <v>-185868</v>
      </c>
      <c r="EY12" s="304">
        <v>4365.08</v>
      </c>
      <c r="EZ12" s="304">
        <v>646.6</v>
      </c>
      <c r="FA12" s="304">
        <v>-7610.5</v>
      </c>
      <c r="FB12" s="304">
        <v>-10749</v>
      </c>
      <c r="FC12" s="304">
        <v>-22155</v>
      </c>
      <c r="FD12" s="304">
        <v>1232.75</v>
      </c>
      <c r="FE12" s="304"/>
      <c r="FF12" s="304">
        <v>1633.48</v>
      </c>
      <c r="FG12" s="304"/>
      <c r="FH12" s="304"/>
      <c r="FI12" s="304"/>
      <c r="FJ12" s="304">
        <v>734</v>
      </c>
      <c r="FK12" s="304">
        <v>9174.33</v>
      </c>
      <c r="FL12" s="304">
        <v>261</v>
      </c>
      <c r="FM12" s="304">
        <v>3306</v>
      </c>
      <c r="FN12" s="304">
        <v>3781.89</v>
      </c>
      <c r="FO12" s="304">
        <v>5484.9</v>
      </c>
      <c r="FP12" s="304">
        <v>925</v>
      </c>
      <c r="FQ12" s="304">
        <v>1129.72</v>
      </c>
      <c r="FR12" s="304">
        <v>1727.5100000000002</v>
      </c>
      <c r="FS12" s="304"/>
      <c r="FT12" s="304"/>
      <c r="FU12" s="304"/>
      <c r="FV12" s="304"/>
      <c r="FW12" s="304"/>
      <c r="FX12" s="304"/>
      <c r="FY12" s="304">
        <v>0</v>
      </c>
      <c r="FZ12" s="304"/>
      <c r="GA12" s="304">
        <v>-68</v>
      </c>
      <c r="GB12" s="304"/>
      <c r="GC12" s="304">
        <v>-3051.2700000000004</v>
      </c>
      <c r="GD12" s="304">
        <v>-32960.449999999997</v>
      </c>
      <c r="GE12" s="304"/>
      <c r="GF12" s="304">
        <v>-684</v>
      </c>
      <c r="GG12" s="304">
        <v>-17066.050000000003</v>
      </c>
      <c r="GH12" s="304"/>
      <c r="GI12" s="304">
        <v>-5450.6999999999989</v>
      </c>
      <c r="GJ12" s="304"/>
      <c r="GK12" s="304">
        <v>-45791.540000000008</v>
      </c>
      <c r="GL12" s="304"/>
      <c r="GM12" s="304"/>
      <c r="GN12" s="304"/>
      <c r="GO12" s="304">
        <v>-3</v>
      </c>
      <c r="GP12" s="304"/>
      <c r="GQ12" s="304"/>
      <c r="GR12" s="304"/>
      <c r="GS12" s="304"/>
      <c r="GT12" s="304"/>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row>
    <row r="13" spans="1:280">
      <c r="A13" s="116">
        <v>107937</v>
      </c>
      <c r="B13" s="304"/>
      <c r="C13" s="304">
        <v>492515.4</v>
      </c>
      <c r="D13" s="304">
        <v>102.54000000000016</v>
      </c>
      <c r="E13" s="304">
        <v>1717</v>
      </c>
      <c r="F13" s="304">
        <v>145294.84000000003</v>
      </c>
      <c r="G13" s="304">
        <v>66335.149999999994</v>
      </c>
      <c r="H13" s="304">
        <v>2000</v>
      </c>
      <c r="I13" s="304"/>
      <c r="J13" s="304"/>
      <c r="K13" s="304"/>
      <c r="L13" s="304"/>
      <c r="M13" s="304"/>
      <c r="N13" s="304"/>
      <c r="O13" s="304"/>
      <c r="P13" s="304"/>
      <c r="Q13" s="304">
        <v>25835.790000000008</v>
      </c>
      <c r="R13" s="304">
        <v>530.66</v>
      </c>
      <c r="S13" s="304">
        <v>557.07000000000005</v>
      </c>
      <c r="T13" s="304">
        <v>8133.41</v>
      </c>
      <c r="U13" s="304">
        <v>2049.96</v>
      </c>
      <c r="V13" s="304">
        <v>23843.490000000005</v>
      </c>
      <c r="W13" s="304">
        <v>291.71999999999997</v>
      </c>
      <c r="X13" s="304">
        <v>419.39</v>
      </c>
      <c r="Y13" s="304">
        <v>5682.8499999999995</v>
      </c>
      <c r="Z13" s="304">
        <v>2334.4899999999998</v>
      </c>
      <c r="AA13" s="304"/>
      <c r="AB13" s="304"/>
      <c r="AC13" s="304"/>
      <c r="AD13" s="304"/>
      <c r="AE13" s="304"/>
      <c r="AF13" s="304">
        <v>220761.96000000002</v>
      </c>
      <c r="AG13" s="304">
        <v>2670.77</v>
      </c>
      <c r="AH13" s="304">
        <v>3730.64</v>
      </c>
      <c r="AI13" s="304">
        <v>58877.22</v>
      </c>
      <c r="AJ13" s="304">
        <v>24642.969999999998</v>
      </c>
      <c r="AK13" s="304">
        <v>87347.49</v>
      </c>
      <c r="AL13" s="304">
        <v>2966.1499999999996</v>
      </c>
      <c r="AM13" s="304">
        <v>5561.6299999999992</v>
      </c>
      <c r="AN13" s="304">
        <v>27037.89</v>
      </c>
      <c r="AO13" s="304">
        <v>9435.19</v>
      </c>
      <c r="AP13" s="304">
        <v>40355.740000000005</v>
      </c>
      <c r="AQ13" s="304"/>
      <c r="AR13" s="304">
        <v>228.85</v>
      </c>
      <c r="AS13" s="304">
        <v>10129.789999999999</v>
      </c>
      <c r="AT13" s="304">
        <v>4508.72</v>
      </c>
      <c r="AU13" s="304">
        <v>15743.74</v>
      </c>
      <c r="AV13" s="304">
        <v>7.55</v>
      </c>
      <c r="AW13" s="304">
        <v>1367.85</v>
      </c>
      <c r="AX13" s="304">
        <v>5670.03</v>
      </c>
      <c r="AY13" s="304">
        <v>1472.5900000000001</v>
      </c>
      <c r="AZ13" s="304"/>
      <c r="BA13" s="304"/>
      <c r="BB13" s="304"/>
      <c r="BC13" s="304"/>
      <c r="BD13" s="304">
        <v>14964.439999999997</v>
      </c>
      <c r="BE13" s="304">
        <v>40.24</v>
      </c>
      <c r="BF13" s="304">
        <v>236.85</v>
      </c>
      <c r="BG13" s="304">
        <v>4023.6999999999994</v>
      </c>
      <c r="BH13" s="304">
        <v>1652.46</v>
      </c>
      <c r="BI13" s="304"/>
      <c r="BJ13" s="304"/>
      <c r="BK13" s="304"/>
      <c r="BL13" s="304"/>
      <c r="BM13" s="304"/>
      <c r="BN13" s="304"/>
      <c r="BO13" s="304"/>
      <c r="BP13" s="304"/>
      <c r="BQ13" s="304"/>
      <c r="BR13" s="304"/>
      <c r="BS13" s="304">
        <v>3633</v>
      </c>
      <c r="BT13" s="304">
        <v>12272.96</v>
      </c>
      <c r="BU13" s="304"/>
      <c r="BV13" s="304"/>
      <c r="BW13" s="304"/>
      <c r="BX13" s="304">
        <v>3156.42</v>
      </c>
      <c r="BY13" s="304">
        <v>1820.6499999999999</v>
      </c>
      <c r="BZ13" s="304">
        <v>16973</v>
      </c>
      <c r="CA13" s="304"/>
      <c r="CB13" s="304"/>
      <c r="CC13" s="304"/>
      <c r="CD13" s="304"/>
      <c r="CE13" s="304"/>
      <c r="CF13" s="304">
        <v>1263.18</v>
      </c>
      <c r="CG13" s="304">
        <v>9547.1299999999992</v>
      </c>
      <c r="CH13" s="304">
        <v>6319.6900000000005</v>
      </c>
      <c r="CI13" s="304"/>
      <c r="CJ13" s="304"/>
      <c r="CK13" s="304"/>
      <c r="CL13" s="304">
        <v>20334.25</v>
      </c>
      <c r="CM13" s="304">
        <v>6650.1</v>
      </c>
      <c r="CN13" s="304">
        <v>1352.6</v>
      </c>
      <c r="CO13" s="304">
        <v>1890.28</v>
      </c>
      <c r="CP13" s="304"/>
      <c r="CQ13" s="304"/>
      <c r="CR13" s="304"/>
      <c r="CS13" s="304">
        <v>122.31000000000002</v>
      </c>
      <c r="CT13" s="304"/>
      <c r="CU13" s="304"/>
      <c r="CV13" s="304"/>
      <c r="CW13" s="304">
        <v>166.82</v>
      </c>
      <c r="CX13" s="304">
        <v>1745.07</v>
      </c>
      <c r="CY13" s="304"/>
      <c r="CZ13" s="304"/>
      <c r="DA13" s="304"/>
      <c r="DB13" s="304"/>
      <c r="DC13" s="304">
        <v>4845</v>
      </c>
      <c r="DD13" s="304">
        <v>36139.200000000004</v>
      </c>
      <c r="DE13" s="304">
        <v>371.06</v>
      </c>
      <c r="DF13" s="304"/>
      <c r="DG13" s="304">
        <v>102.92</v>
      </c>
      <c r="DH13" s="304">
        <v>3345.3200000000006</v>
      </c>
      <c r="DI13" s="304">
        <v>2250</v>
      </c>
      <c r="DJ13" s="304">
        <v>0</v>
      </c>
      <c r="DK13" s="304">
        <v>3.85</v>
      </c>
      <c r="DL13" s="304">
        <v>430.9</v>
      </c>
      <c r="DM13" s="304">
        <v>0</v>
      </c>
      <c r="DN13" s="304">
        <v>1608.6999999999998</v>
      </c>
      <c r="DO13" s="304"/>
      <c r="DP13" s="304"/>
      <c r="DQ13" s="304">
        <v>750.5</v>
      </c>
      <c r="DR13" s="304">
        <v>1660.92</v>
      </c>
      <c r="DS13" s="304">
        <v>1418.3999999999999</v>
      </c>
      <c r="DT13" s="304">
        <v>0</v>
      </c>
      <c r="DU13" s="304">
        <v>600</v>
      </c>
      <c r="DV13" s="304"/>
      <c r="DW13" s="304"/>
      <c r="DX13" s="304"/>
      <c r="DY13" s="304"/>
      <c r="DZ13" s="304">
        <v>6978.51</v>
      </c>
      <c r="EA13" s="304">
        <v>4831.8500000000004</v>
      </c>
      <c r="EB13" s="304">
        <v>8500.1900000000023</v>
      </c>
      <c r="EC13" s="304">
        <v>25283.29</v>
      </c>
      <c r="ED13" s="304"/>
      <c r="EE13" s="304">
        <v>6674.76</v>
      </c>
      <c r="EF13" s="304"/>
      <c r="EG13" s="304"/>
      <c r="EH13" s="304"/>
      <c r="EI13" s="304">
        <v>-1117194.3700000001</v>
      </c>
      <c r="EJ13" s="304"/>
      <c r="EK13" s="304"/>
      <c r="EL13" s="304">
        <v>-55290</v>
      </c>
      <c r="EM13" s="304"/>
      <c r="EN13" s="304">
        <v>-2589.8599999999997</v>
      </c>
      <c r="EO13" s="304"/>
      <c r="EP13" s="304">
        <v>-140959.22</v>
      </c>
      <c r="EQ13" s="304">
        <v>-6328.75</v>
      </c>
      <c r="ER13" s="304">
        <v>-26370</v>
      </c>
      <c r="ES13" s="304">
        <v>-16331</v>
      </c>
      <c r="ET13" s="304">
        <v>-53385.65</v>
      </c>
      <c r="EU13" s="304"/>
      <c r="EV13" s="304">
        <v>-2988.77</v>
      </c>
      <c r="EW13" s="304">
        <v>-16018.64</v>
      </c>
      <c r="EX13" s="304">
        <v>-110337</v>
      </c>
      <c r="EY13" s="304">
        <v>4303.3099999999995</v>
      </c>
      <c r="EZ13" s="304">
        <v>637.45000000000005</v>
      </c>
      <c r="FA13" s="304">
        <v>-2834.53</v>
      </c>
      <c r="FB13" s="304">
        <v>-10073</v>
      </c>
      <c r="FC13" s="304">
        <v>-20712</v>
      </c>
      <c r="FD13" s="304">
        <v>783.75</v>
      </c>
      <c r="FE13" s="304"/>
      <c r="FF13" s="304">
        <v>3250.82</v>
      </c>
      <c r="FG13" s="304">
        <v>362</v>
      </c>
      <c r="FH13" s="304"/>
      <c r="FI13" s="304">
        <v>24916.219999999998</v>
      </c>
      <c r="FJ13" s="304"/>
      <c r="FK13" s="304">
        <v>8409.3200000000033</v>
      </c>
      <c r="FL13" s="304">
        <v>261</v>
      </c>
      <c r="FM13" s="304">
        <v>3836.9799999999996</v>
      </c>
      <c r="FN13" s="304">
        <v>3661.83</v>
      </c>
      <c r="FO13" s="304">
        <v>5422.8</v>
      </c>
      <c r="FP13" s="304">
        <v>560</v>
      </c>
      <c r="FQ13" s="304">
        <v>1103.98</v>
      </c>
      <c r="FR13" s="304">
        <v>2773.2099999999996</v>
      </c>
      <c r="FS13" s="304"/>
      <c r="FT13" s="304"/>
      <c r="FU13" s="304"/>
      <c r="FV13" s="304"/>
      <c r="FW13" s="304"/>
      <c r="FX13" s="304"/>
      <c r="FY13" s="304">
        <v>-1060</v>
      </c>
      <c r="FZ13" s="304"/>
      <c r="GA13" s="304">
        <v>-2556</v>
      </c>
      <c r="GB13" s="304"/>
      <c r="GC13" s="304">
        <v>-11291.56</v>
      </c>
      <c r="GD13" s="304">
        <v>-21911.599999999999</v>
      </c>
      <c r="GE13" s="304">
        <v>-974.5</v>
      </c>
      <c r="GF13" s="304">
        <v>-3117</v>
      </c>
      <c r="GG13" s="304">
        <v>-956.51</v>
      </c>
      <c r="GH13" s="304"/>
      <c r="GI13" s="304">
        <v>-14580</v>
      </c>
      <c r="GJ13" s="304">
        <v>0</v>
      </c>
      <c r="GK13" s="304">
        <v>-63879.09</v>
      </c>
      <c r="GL13" s="304"/>
      <c r="GM13" s="304"/>
      <c r="GN13" s="304">
        <v>-2437</v>
      </c>
      <c r="GO13" s="304"/>
      <c r="GP13" s="304">
        <v>-8710.83</v>
      </c>
      <c r="GQ13" s="304">
        <v>-3917.25</v>
      </c>
      <c r="GR13" s="304"/>
      <c r="GS13" s="304"/>
      <c r="GT13" s="304"/>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row>
    <row r="14" spans="1:280">
      <c r="A14" s="116">
        <v>107940</v>
      </c>
      <c r="B14" s="304"/>
      <c r="C14" s="304">
        <v>887272.1</v>
      </c>
      <c r="D14" s="304">
        <v>19522.55</v>
      </c>
      <c r="E14" s="304">
        <v>58404.720000000023</v>
      </c>
      <c r="F14" s="304">
        <v>242758.61000000002</v>
      </c>
      <c r="G14" s="304">
        <v>123592.63999999998</v>
      </c>
      <c r="H14" s="304">
        <v>11145.6</v>
      </c>
      <c r="I14" s="304"/>
      <c r="J14" s="304">
        <v>815.74</v>
      </c>
      <c r="K14" s="304">
        <v>578.20000000000005</v>
      </c>
      <c r="L14" s="304"/>
      <c r="M14" s="304"/>
      <c r="N14" s="304"/>
      <c r="O14" s="304"/>
      <c r="P14" s="304"/>
      <c r="Q14" s="304">
        <v>26990.99</v>
      </c>
      <c r="R14" s="304">
        <v>453.12</v>
      </c>
      <c r="S14" s="304"/>
      <c r="T14" s="304">
        <v>7245.5399999999991</v>
      </c>
      <c r="U14" s="304">
        <v>3069.9000000000005</v>
      </c>
      <c r="V14" s="304">
        <v>56961.86</v>
      </c>
      <c r="W14" s="304">
        <v>2663.2799999999997</v>
      </c>
      <c r="X14" s="304"/>
      <c r="Y14" s="304">
        <v>15163.380000000001</v>
      </c>
      <c r="Z14" s="304">
        <v>4082.9199999999996</v>
      </c>
      <c r="AA14" s="304">
        <v>6048.66</v>
      </c>
      <c r="AB14" s="304">
        <v>1251.18</v>
      </c>
      <c r="AC14" s="304"/>
      <c r="AD14" s="304">
        <v>792.5999999999998</v>
      </c>
      <c r="AE14" s="304">
        <v>854.18000000000018</v>
      </c>
      <c r="AF14" s="304">
        <v>476114.12999999995</v>
      </c>
      <c r="AG14" s="304">
        <v>15337.839999999998</v>
      </c>
      <c r="AH14" s="304">
        <v>389.77</v>
      </c>
      <c r="AI14" s="304">
        <v>136382.32</v>
      </c>
      <c r="AJ14" s="304">
        <v>56439.359999999986</v>
      </c>
      <c r="AK14" s="304"/>
      <c r="AL14" s="304"/>
      <c r="AM14" s="304"/>
      <c r="AN14" s="304"/>
      <c r="AO14" s="304"/>
      <c r="AP14" s="304">
        <v>95117.23000000001</v>
      </c>
      <c r="AQ14" s="304">
        <v>7861.97</v>
      </c>
      <c r="AR14" s="304"/>
      <c r="AS14" s="304">
        <v>26402.110000000004</v>
      </c>
      <c r="AT14" s="304">
        <v>12590.559999999998</v>
      </c>
      <c r="AU14" s="304"/>
      <c r="AV14" s="304"/>
      <c r="AW14" s="304"/>
      <c r="AX14" s="304"/>
      <c r="AY14" s="304"/>
      <c r="AZ14" s="304">
        <v>69764.19</v>
      </c>
      <c r="BA14" s="304">
        <v>4773.01</v>
      </c>
      <c r="BB14" s="304">
        <v>19898.840000000004</v>
      </c>
      <c r="BC14" s="304">
        <v>8178.1399999999994</v>
      </c>
      <c r="BD14" s="304">
        <v>39775.82</v>
      </c>
      <c r="BE14" s="304">
        <v>2078.5899999999997</v>
      </c>
      <c r="BF14" s="304">
        <v>179.93</v>
      </c>
      <c r="BG14" s="304">
        <v>11096.86</v>
      </c>
      <c r="BH14" s="304">
        <v>4053.3399999999997</v>
      </c>
      <c r="BI14" s="304"/>
      <c r="BJ14" s="304"/>
      <c r="BK14" s="304"/>
      <c r="BL14" s="304"/>
      <c r="BM14" s="304"/>
      <c r="BN14" s="304"/>
      <c r="BO14" s="304"/>
      <c r="BP14" s="304"/>
      <c r="BQ14" s="304"/>
      <c r="BR14" s="304"/>
      <c r="BS14" s="304">
        <v>4694.25</v>
      </c>
      <c r="BT14" s="304"/>
      <c r="BU14" s="304">
        <v>553.64</v>
      </c>
      <c r="BV14" s="304"/>
      <c r="BW14" s="304"/>
      <c r="BX14" s="304">
        <v>12660.83</v>
      </c>
      <c r="BY14" s="304">
        <v>331.93</v>
      </c>
      <c r="BZ14" s="304">
        <v>1000</v>
      </c>
      <c r="CA14" s="304"/>
      <c r="CB14" s="304"/>
      <c r="CC14" s="304"/>
      <c r="CD14" s="304"/>
      <c r="CE14" s="304">
        <v>0</v>
      </c>
      <c r="CF14" s="304">
        <v>645.55999999999995</v>
      </c>
      <c r="CG14" s="304">
        <v>22865.280000000006</v>
      </c>
      <c r="CH14" s="304">
        <v>9685.7999999999993</v>
      </c>
      <c r="CI14" s="304"/>
      <c r="CJ14" s="304"/>
      <c r="CK14" s="304"/>
      <c r="CL14" s="304">
        <v>42588</v>
      </c>
      <c r="CM14" s="304">
        <v>5937.25</v>
      </c>
      <c r="CN14" s="304"/>
      <c r="CO14" s="304">
        <v>35718.89</v>
      </c>
      <c r="CP14" s="304"/>
      <c r="CQ14" s="304">
        <v>720</v>
      </c>
      <c r="CR14" s="304"/>
      <c r="CS14" s="304"/>
      <c r="CT14" s="304"/>
      <c r="CU14" s="304"/>
      <c r="CV14" s="304">
        <v>91.300000000000011</v>
      </c>
      <c r="CW14" s="304"/>
      <c r="CX14" s="304">
        <v>8767.8499999999985</v>
      </c>
      <c r="CY14" s="304"/>
      <c r="CZ14" s="304">
        <v>2510.5</v>
      </c>
      <c r="DA14" s="304"/>
      <c r="DB14" s="304">
        <v>339.11999999999995</v>
      </c>
      <c r="DC14" s="304">
        <v>8691</v>
      </c>
      <c r="DD14" s="304">
        <v>33979.699999999997</v>
      </c>
      <c r="DE14" s="304">
        <v>767.86</v>
      </c>
      <c r="DF14" s="304"/>
      <c r="DG14" s="304"/>
      <c r="DH14" s="304">
        <v>13485.85</v>
      </c>
      <c r="DI14" s="304">
        <v>19253.88</v>
      </c>
      <c r="DJ14" s="304">
        <v>32784.080000000002</v>
      </c>
      <c r="DK14" s="304"/>
      <c r="DL14" s="426">
        <v>1508.0800000000002</v>
      </c>
      <c r="DM14" s="304"/>
      <c r="DN14" s="304">
        <v>5272</v>
      </c>
      <c r="DO14" s="304"/>
      <c r="DP14" s="304"/>
      <c r="DQ14" s="304"/>
      <c r="DR14" s="304">
        <v>3114</v>
      </c>
      <c r="DS14" s="304">
        <v>938</v>
      </c>
      <c r="DT14" s="304">
        <v>480</v>
      </c>
      <c r="DU14" s="304">
        <v>7547.63</v>
      </c>
      <c r="DV14" s="304"/>
      <c r="DW14" s="304"/>
      <c r="DX14" s="304"/>
      <c r="DY14" s="304"/>
      <c r="DZ14" s="304">
        <v>13890.24</v>
      </c>
      <c r="EA14" s="304">
        <v>825</v>
      </c>
      <c r="EB14" s="304">
        <v>58268.399999999972</v>
      </c>
      <c r="EC14" s="304">
        <v>29954.37</v>
      </c>
      <c r="ED14" s="304"/>
      <c r="EE14" s="304"/>
      <c r="EF14" s="304"/>
      <c r="EG14" s="304"/>
      <c r="EH14" s="304"/>
      <c r="EI14" s="304">
        <v>-2242735.02</v>
      </c>
      <c r="EJ14" s="304"/>
      <c r="EK14" s="304"/>
      <c r="EL14" s="304">
        <v>-168240</v>
      </c>
      <c r="EM14" s="304">
        <v>73.5</v>
      </c>
      <c r="EN14" s="304">
        <v>-2400</v>
      </c>
      <c r="EO14" s="304"/>
      <c r="EP14" s="304"/>
      <c r="EQ14" s="304">
        <v>-8668.75</v>
      </c>
      <c r="ER14" s="304">
        <v>-69529</v>
      </c>
      <c r="ES14" s="304">
        <v>-17950</v>
      </c>
      <c r="ET14" s="304">
        <v>-103453.24</v>
      </c>
      <c r="EU14" s="304"/>
      <c r="EV14" s="304">
        <v>-2547.4</v>
      </c>
      <c r="EW14" s="304"/>
      <c r="EX14" s="304">
        <v>-91136</v>
      </c>
      <c r="EY14" s="304">
        <v>8565.4399999999987</v>
      </c>
      <c r="EZ14" s="304">
        <v>1268.8</v>
      </c>
      <c r="FA14" s="304"/>
      <c r="FB14" s="304">
        <v>-20530</v>
      </c>
      <c r="FC14" s="304">
        <v>-42851</v>
      </c>
      <c r="FD14" s="304">
        <v>1623</v>
      </c>
      <c r="FE14" s="304"/>
      <c r="FF14" s="304">
        <v>3877.72</v>
      </c>
      <c r="FG14" s="304">
        <v>4049.6799999999985</v>
      </c>
      <c r="FH14" s="304"/>
      <c r="FI14" s="304">
        <v>710</v>
      </c>
      <c r="FJ14" s="304">
        <v>3248.1200000000003</v>
      </c>
      <c r="FK14" s="304">
        <v>8056.1400000000021</v>
      </c>
      <c r="FL14" s="304"/>
      <c r="FM14" s="304">
        <v>2491.3599999999997</v>
      </c>
      <c r="FN14" s="304">
        <v>6089.7099999999991</v>
      </c>
      <c r="FO14" s="304">
        <v>3780</v>
      </c>
      <c r="FP14" s="304">
        <v>635</v>
      </c>
      <c r="FQ14" s="304">
        <v>1563.52</v>
      </c>
      <c r="FR14" s="304">
        <v>4240.6399999999994</v>
      </c>
      <c r="FS14" s="304"/>
      <c r="FT14" s="304"/>
      <c r="FU14" s="304"/>
      <c r="FV14" s="304"/>
      <c r="FW14" s="304"/>
      <c r="FX14" s="304"/>
      <c r="FY14" s="304">
        <v>-1620</v>
      </c>
      <c r="FZ14" s="304"/>
      <c r="GA14" s="304"/>
      <c r="GB14" s="304"/>
      <c r="GC14" s="304">
        <v>-4000</v>
      </c>
      <c r="GD14" s="304">
        <v>-14198.820000000002</v>
      </c>
      <c r="GE14" s="304">
        <v>-3458.1800000000003</v>
      </c>
      <c r="GF14" s="304"/>
      <c r="GG14" s="304">
        <v>-19123.59</v>
      </c>
      <c r="GH14" s="304"/>
      <c r="GI14" s="304"/>
      <c r="GJ14" s="304">
        <v>-840</v>
      </c>
      <c r="GK14" s="304">
        <v>-48162.26999999999</v>
      </c>
      <c r="GL14" s="304"/>
      <c r="GM14" s="304"/>
      <c r="GN14" s="304">
        <v>-3300.27</v>
      </c>
      <c r="GO14" s="304"/>
      <c r="GP14" s="304"/>
      <c r="GQ14" s="304">
        <v>-8008.24</v>
      </c>
      <c r="GR14" s="304"/>
      <c r="GS14" s="304"/>
      <c r="GT14" s="304"/>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row>
    <row r="15" spans="1:280">
      <c r="A15" s="116">
        <v>107948</v>
      </c>
      <c r="B15" s="304"/>
      <c r="C15" s="304">
        <v>504358.99</v>
      </c>
      <c r="D15" s="304">
        <v>16140.619999999997</v>
      </c>
      <c r="E15" s="304">
        <v>57579.53</v>
      </c>
      <c r="F15" s="304">
        <v>166980.54999999999</v>
      </c>
      <c r="G15" s="304">
        <v>77799.520000000004</v>
      </c>
      <c r="H15" s="304">
        <v>2224.52</v>
      </c>
      <c r="I15" s="304"/>
      <c r="J15" s="304">
        <v>576.02</v>
      </c>
      <c r="K15" s="304">
        <v>280.73</v>
      </c>
      <c r="L15" s="304"/>
      <c r="M15" s="304"/>
      <c r="N15" s="304"/>
      <c r="O15" s="304"/>
      <c r="P15" s="304"/>
      <c r="Q15" s="304"/>
      <c r="R15" s="304"/>
      <c r="S15" s="304"/>
      <c r="T15" s="304"/>
      <c r="U15" s="304"/>
      <c r="V15" s="304">
        <v>23702.61</v>
      </c>
      <c r="W15" s="304">
        <v>2634.99</v>
      </c>
      <c r="X15" s="304">
        <v>64.260000000000005</v>
      </c>
      <c r="Y15" s="304">
        <v>5543.0199999999995</v>
      </c>
      <c r="Z15" s="304">
        <v>2064.5300000000002</v>
      </c>
      <c r="AA15" s="304"/>
      <c r="AB15" s="304"/>
      <c r="AC15" s="304"/>
      <c r="AD15" s="304"/>
      <c r="AE15" s="304"/>
      <c r="AF15" s="304">
        <v>259471.63999999998</v>
      </c>
      <c r="AG15" s="304">
        <v>6595.6100000000006</v>
      </c>
      <c r="AH15" s="304">
        <v>1380.55</v>
      </c>
      <c r="AI15" s="304">
        <v>70341.75</v>
      </c>
      <c r="AJ15" s="304">
        <v>30079.219999999998</v>
      </c>
      <c r="AK15" s="304">
        <v>81281.64</v>
      </c>
      <c r="AL15" s="304">
        <v>567.12</v>
      </c>
      <c r="AM15" s="304"/>
      <c r="AN15" s="304">
        <v>9556.7599999999984</v>
      </c>
      <c r="AO15" s="304">
        <v>3785.93</v>
      </c>
      <c r="AP15" s="304">
        <v>52385.59</v>
      </c>
      <c r="AQ15" s="304">
        <v>362.49999999999994</v>
      </c>
      <c r="AR15" s="304">
        <v>571.64</v>
      </c>
      <c r="AS15" s="304">
        <v>14076.14</v>
      </c>
      <c r="AT15" s="304">
        <v>6149.49</v>
      </c>
      <c r="AU15" s="304"/>
      <c r="AV15" s="304"/>
      <c r="AW15" s="304"/>
      <c r="AX15" s="304"/>
      <c r="AY15" s="304"/>
      <c r="AZ15" s="304">
        <v>1492.9799999999996</v>
      </c>
      <c r="BA15" s="304">
        <v>8.34</v>
      </c>
      <c r="BB15" s="304">
        <v>396.25999999999993</v>
      </c>
      <c r="BC15" s="304">
        <v>177.36</v>
      </c>
      <c r="BD15" s="304">
        <v>27551.26</v>
      </c>
      <c r="BE15" s="304">
        <v>2814.45</v>
      </c>
      <c r="BF15" s="304"/>
      <c r="BG15" s="304">
        <v>7390.5499999999984</v>
      </c>
      <c r="BH15" s="304">
        <v>2961.6699999999996</v>
      </c>
      <c r="BI15" s="304"/>
      <c r="BJ15" s="304"/>
      <c r="BK15" s="304"/>
      <c r="BL15" s="304"/>
      <c r="BM15" s="304"/>
      <c r="BN15" s="304"/>
      <c r="BO15" s="304"/>
      <c r="BP15" s="304"/>
      <c r="BQ15" s="304"/>
      <c r="BR15" s="304"/>
      <c r="BS15" s="304">
        <v>5635.5</v>
      </c>
      <c r="BT15" s="304"/>
      <c r="BU15" s="304"/>
      <c r="BV15" s="304">
        <v>82525.700000000012</v>
      </c>
      <c r="BW15" s="304"/>
      <c r="BX15" s="304">
        <v>13899.239999999998</v>
      </c>
      <c r="BY15" s="304">
        <v>15878.7</v>
      </c>
      <c r="BZ15" s="304">
        <v>1384.5</v>
      </c>
      <c r="CA15" s="304"/>
      <c r="CB15" s="304"/>
      <c r="CC15" s="304"/>
      <c r="CD15" s="304"/>
      <c r="CE15" s="304"/>
      <c r="CF15" s="304">
        <v>14739.35</v>
      </c>
      <c r="CG15" s="304">
        <v>6376.9199999999992</v>
      </c>
      <c r="CH15" s="304">
        <v>4676.71</v>
      </c>
      <c r="CI15" s="304"/>
      <c r="CJ15" s="304"/>
      <c r="CK15" s="304">
        <v>261.56</v>
      </c>
      <c r="CL15" s="304">
        <v>16092.75</v>
      </c>
      <c r="CM15" s="304">
        <v>3042.3900000000003</v>
      </c>
      <c r="CN15" s="304">
        <v>913</v>
      </c>
      <c r="CO15" s="304">
        <v>4200.1200000000008</v>
      </c>
      <c r="CP15" s="304"/>
      <c r="CQ15" s="304"/>
      <c r="CR15" s="304"/>
      <c r="CS15" s="304"/>
      <c r="CT15" s="304"/>
      <c r="CU15" s="304"/>
      <c r="CV15" s="304">
        <v>320.66000000000003</v>
      </c>
      <c r="CW15" s="304"/>
      <c r="CX15" s="304">
        <v>4476.1399999999994</v>
      </c>
      <c r="CY15" s="304">
        <v>5272</v>
      </c>
      <c r="CZ15" s="304"/>
      <c r="DA15" s="304"/>
      <c r="DB15" s="304"/>
      <c r="DC15" s="304">
        <v>5008</v>
      </c>
      <c r="DD15" s="304">
        <v>22897.970000000016</v>
      </c>
      <c r="DE15" s="304">
        <v>1361.2800000000002</v>
      </c>
      <c r="DF15" s="304">
        <v>7.5</v>
      </c>
      <c r="DG15" s="304">
        <v>2756.11</v>
      </c>
      <c r="DH15" s="304">
        <v>3698.68</v>
      </c>
      <c r="DI15" s="304">
        <v>55721.8</v>
      </c>
      <c r="DJ15" s="304">
        <v>13221.73</v>
      </c>
      <c r="DK15" s="304">
        <v>202</v>
      </c>
      <c r="DL15" s="426">
        <v>3687.5700000000006</v>
      </c>
      <c r="DM15" s="304"/>
      <c r="DN15" s="304">
        <v>3377</v>
      </c>
      <c r="DO15" s="304">
        <v>2805</v>
      </c>
      <c r="DP15" s="304"/>
      <c r="DQ15" s="304">
        <v>16886.55</v>
      </c>
      <c r="DR15" s="304">
        <v>7004.12</v>
      </c>
      <c r="DS15" s="304">
        <v>5535</v>
      </c>
      <c r="DT15" s="304">
        <v>6020.92</v>
      </c>
      <c r="DU15" s="304">
        <v>11388</v>
      </c>
      <c r="DV15" s="304"/>
      <c r="DW15" s="304">
        <v>295</v>
      </c>
      <c r="DX15" s="304"/>
      <c r="DY15" s="304"/>
      <c r="DZ15" s="304">
        <v>7078.68</v>
      </c>
      <c r="EA15" s="304">
        <v>875.9</v>
      </c>
      <c r="EB15" s="304">
        <v>2092.2600000000002</v>
      </c>
      <c r="EC15" s="304">
        <v>20492.080000000002</v>
      </c>
      <c r="ED15" s="304"/>
      <c r="EE15" s="304">
        <v>12927.769999999995</v>
      </c>
      <c r="EF15" s="304"/>
      <c r="EG15" s="304">
        <v>69421.800000000017</v>
      </c>
      <c r="EH15" s="304"/>
      <c r="EI15" s="304">
        <v>-1364771.88</v>
      </c>
      <c r="EJ15" s="304"/>
      <c r="EK15" s="304">
        <v>-1700</v>
      </c>
      <c r="EL15" s="304">
        <v>-135550</v>
      </c>
      <c r="EM15" s="304"/>
      <c r="EN15" s="304">
        <v>-856.93</v>
      </c>
      <c r="EO15" s="304"/>
      <c r="EP15" s="304">
        <v>-112790.74</v>
      </c>
      <c r="EQ15" s="304">
        <v>-6362.5</v>
      </c>
      <c r="ER15" s="304">
        <v>-27869</v>
      </c>
      <c r="ES15" s="304">
        <v>-16312</v>
      </c>
      <c r="ET15" s="304">
        <v>-304232.24</v>
      </c>
      <c r="EU15" s="304"/>
      <c r="EV15" s="304">
        <v>-5168.33</v>
      </c>
      <c r="EW15" s="304">
        <v>-31917.67</v>
      </c>
      <c r="EX15" s="304">
        <v>-221182</v>
      </c>
      <c r="EY15" s="304">
        <v>4365.08</v>
      </c>
      <c r="EZ15" s="304">
        <v>646.6</v>
      </c>
      <c r="FA15" s="304">
        <v>-47821.18</v>
      </c>
      <c r="FB15" s="304">
        <v>-12475</v>
      </c>
      <c r="FC15" s="304">
        <v>-25854</v>
      </c>
      <c r="FD15" s="304">
        <v>1249.25</v>
      </c>
      <c r="FE15" s="304"/>
      <c r="FF15" s="304">
        <v>3233.24</v>
      </c>
      <c r="FG15" s="304"/>
      <c r="FH15" s="304"/>
      <c r="FI15" s="304"/>
      <c r="FJ15" s="304">
        <v>1775.96</v>
      </c>
      <c r="FK15" s="304">
        <v>7216.7900000000027</v>
      </c>
      <c r="FL15" s="304"/>
      <c r="FM15" s="304">
        <v>3922</v>
      </c>
      <c r="FN15" s="304">
        <v>3395.0299999999997</v>
      </c>
      <c r="FO15" s="304">
        <v>4726</v>
      </c>
      <c r="FP15" s="304">
        <v>560</v>
      </c>
      <c r="FQ15" s="304">
        <v>1461.64</v>
      </c>
      <c r="FR15" s="304">
        <v>2427.27</v>
      </c>
      <c r="FS15" s="304"/>
      <c r="FT15" s="304"/>
      <c r="FU15" s="304"/>
      <c r="FV15" s="304"/>
      <c r="FW15" s="304"/>
      <c r="FX15" s="304"/>
      <c r="FY15" s="304"/>
      <c r="FZ15" s="304"/>
      <c r="GA15" s="304"/>
      <c r="GB15" s="304"/>
      <c r="GC15" s="304">
        <v>-150</v>
      </c>
      <c r="GD15" s="304">
        <v>-4123.7200000000012</v>
      </c>
      <c r="GE15" s="304">
        <v>-459.24000000000018</v>
      </c>
      <c r="GF15" s="304"/>
      <c r="GG15" s="304">
        <v>-14099.930000000002</v>
      </c>
      <c r="GH15" s="304"/>
      <c r="GI15" s="304"/>
      <c r="GJ15" s="304"/>
      <c r="GK15" s="304">
        <v>0</v>
      </c>
      <c r="GL15" s="304"/>
      <c r="GM15" s="304"/>
      <c r="GN15" s="304">
        <v>-1250</v>
      </c>
      <c r="GO15" s="304"/>
      <c r="GP15" s="304">
        <v>-2931</v>
      </c>
      <c r="GQ15" s="304">
        <v>-17705.990000000002</v>
      </c>
      <c r="GR15" s="304"/>
      <c r="GS15" s="304"/>
      <c r="GT15" s="304"/>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row>
    <row r="16" spans="1:280">
      <c r="A16" s="116">
        <v>107952</v>
      </c>
      <c r="B16" s="304"/>
      <c r="C16" s="304">
        <v>799115.66</v>
      </c>
      <c r="D16" s="304">
        <v>60031.770000000004</v>
      </c>
      <c r="E16" s="304">
        <v>28796.390000000003</v>
      </c>
      <c r="F16" s="304">
        <v>255659.22999999992</v>
      </c>
      <c r="G16" s="304">
        <v>118499.62999999999</v>
      </c>
      <c r="H16" s="304">
        <v>7470.9400000000014</v>
      </c>
      <c r="I16" s="304"/>
      <c r="J16" s="304">
        <v>2142.6799999999998</v>
      </c>
      <c r="K16" s="304">
        <v>1018.9100000000001</v>
      </c>
      <c r="L16" s="304"/>
      <c r="M16" s="304"/>
      <c r="N16" s="304"/>
      <c r="O16" s="304"/>
      <c r="P16" s="304"/>
      <c r="Q16" s="304"/>
      <c r="R16" s="304"/>
      <c r="S16" s="304"/>
      <c r="T16" s="304"/>
      <c r="U16" s="304"/>
      <c r="V16" s="304">
        <v>21248.39</v>
      </c>
      <c r="W16" s="304">
        <v>236.43</v>
      </c>
      <c r="X16" s="304">
        <v>239.07</v>
      </c>
      <c r="Y16" s="304">
        <v>2250.9600000000005</v>
      </c>
      <c r="Z16" s="304">
        <v>1363.98</v>
      </c>
      <c r="AA16" s="304"/>
      <c r="AB16" s="304"/>
      <c r="AC16" s="304"/>
      <c r="AD16" s="304"/>
      <c r="AE16" s="304"/>
      <c r="AF16" s="304">
        <v>298759</v>
      </c>
      <c r="AG16" s="304">
        <v>22380.28</v>
      </c>
      <c r="AH16" s="304">
        <v>1262.6300000000001</v>
      </c>
      <c r="AI16" s="304">
        <v>84090.779999999984</v>
      </c>
      <c r="AJ16" s="304">
        <v>32989.329999999994</v>
      </c>
      <c r="AK16" s="304"/>
      <c r="AL16" s="304"/>
      <c r="AM16" s="304"/>
      <c r="AN16" s="304"/>
      <c r="AO16" s="304"/>
      <c r="AP16" s="304">
        <v>111940.45000000003</v>
      </c>
      <c r="AQ16" s="304">
        <v>1946.1999999999998</v>
      </c>
      <c r="AR16" s="304">
        <v>2650.48</v>
      </c>
      <c r="AS16" s="304">
        <v>28186.529999999995</v>
      </c>
      <c r="AT16" s="304">
        <v>13457.190000000002</v>
      </c>
      <c r="AU16" s="304"/>
      <c r="AV16" s="304"/>
      <c r="AW16" s="304"/>
      <c r="AX16" s="304"/>
      <c r="AY16" s="304"/>
      <c r="AZ16" s="304"/>
      <c r="BA16" s="304"/>
      <c r="BB16" s="304"/>
      <c r="BC16" s="304"/>
      <c r="BD16" s="304">
        <v>33999.410000000003</v>
      </c>
      <c r="BE16" s="304">
        <v>207.82999999999998</v>
      </c>
      <c r="BF16" s="304">
        <v>752.56999999999994</v>
      </c>
      <c r="BG16" s="304">
        <v>7278.8700000000008</v>
      </c>
      <c r="BH16" s="304">
        <v>3181.91</v>
      </c>
      <c r="BI16" s="304"/>
      <c r="BJ16" s="304"/>
      <c r="BK16" s="304"/>
      <c r="BL16" s="304"/>
      <c r="BM16" s="304"/>
      <c r="BN16" s="304"/>
      <c r="BO16" s="304"/>
      <c r="BP16" s="304"/>
      <c r="BQ16" s="304"/>
      <c r="BR16" s="304"/>
      <c r="BS16" s="304">
        <v>2792</v>
      </c>
      <c r="BT16" s="304"/>
      <c r="BU16" s="304"/>
      <c r="BV16" s="304">
        <v>88995.75</v>
      </c>
      <c r="BW16" s="304"/>
      <c r="BX16" s="304">
        <v>21075.660000000003</v>
      </c>
      <c r="BY16" s="304"/>
      <c r="BZ16" s="304">
        <v>10095.120000000001</v>
      </c>
      <c r="CA16" s="304"/>
      <c r="CB16" s="304">
        <v>9534</v>
      </c>
      <c r="CC16" s="304">
        <v>3807.9799999999996</v>
      </c>
      <c r="CD16" s="304"/>
      <c r="CE16" s="304">
        <v>6453.64</v>
      </c>
      <c r="CF16" s="304">
        <v>1615</v>
      </c>
      <c r="CG16" s="304">
        <v>14772.320000000003</v>
      </c>
      <c r="CH16" s="304">
        <v>8317.6600000000017</v>
      </c>
      <c r="CI16" s="304"/>
      <c r="CJ16" s="304"/>
      <c r="CK16" s="304">
        <v>923.48</v>
      </c>
      <c r="CL16" s="304">
        <v>22704.5</v>
      </c>
      <c r="CM16" s="304">
        <v>12214.749999999998</v>
      </c>
      <c r="CN16" s="304">
        <v>612</v>
      </c>
      <c r="CO16" s="304">
        <v>9222.15</v>
      </c>
      <c r="CP16" s="304"/>
      <c r="CQ16" s="304"/>
      <c r="CR16" s="304"/>
      <c r="CS16" s="304"/>
      <c r="CT16" s="304"/>
      <c r="CU16" s="304"/>
      <c r="CV16" s="304">
        <v>9.1999999999999993</v>
      </c>
      <c r="CW16" s="304"/>
      <c r="CX16" s="304">
        <v>2709.9</v>
      </c>
      <c r="CY16" s="304"/>
      <c r="CZ16" s="304"/>
      <c r="DA16" s="304"/>
      <c r="DB16" s="304"/>
      <c r="DC16" s="304">
        <v>6930</v>
      </c>
      <c r="DD16" s="304">
        <v>24733.78</v>
      </c>
      <c r="DE16" s="304"/>
      <c r="DF16" s="304"/>
      <c r="DG16" s="304">
        <v>479.70000000000005</v>
      </c>
      <c r="DH16" s="304">
        <v>10239.049999999999</v>
      </c>
      <c r="DI16" s="304">
        <v>12593.579999999998</v>
      </c>
      <c r="DJ16" s="304">
        <v>24350.400000000001</v>
      </c>
      <c r="DK16" s="304">
        <v>142.97999999999999</v>
      </c>
      <c r="DL16" s="426">
        <v>2685.9800000000005</v>
      </c>
      <c r="DM16" s="304">
        <v>0</v>
      </c>
      <c r="DN16" s="304">
        <v>2820.31</v>
      </c>
      <c r="DO16" s="304">
        <v>0</v>
      </c>
      <c r="DP16" s="304"/>
      <c r="DQ16" s="304">
        <v>9874.739999999998</v>
      </c>
      <c r="DR16" s="304">
        <v>10413.130000000001</v>
      </c>
      <c r="DS16" s="304">
        <v>24.96</v>
      </c>
      <c r="DT16" s="304">
        <v>48.32</v>
      </c>
      <c r="DU16" s="304">
        <v>2446</v>
      </c>
      <c r="DV16" s="304"/>
      <c r="DW16" s="304"/>
      <c r="DX16" s="304"/>
      <c r="DY16" s="304"/>
      <c r="DZ16" s="304">
        <v>10417.68</v>
      </c>
      <c r="EA16" s="304">
        <v>5497.61</v>
      </c>
      <c r="EB16" s="304">
        <v>-451.60000000000019</v>
      </c>
      <c r="EC16" s="304">
        <v>17500.46</v>
      </c>
      <c r="ED16" s="304"/>
      <c r="EE16" s="304"/>
      <c r="EF16" s="304"/>
      <c r="EG16" s="304"/>
      <c r="EH16" s="304">
        <v>42</v>
      </c>
      <c r="EI16" s="304">
        <v>-1957657.11</v>
      </c>
      <c r="EJ16" s="304"/>
      <c r="EK16" s="304">
        <v>-1500</v>
      </c>
      <c r="EL16" s="304">
        <v>-255900.41</v>
      </c>
      <c r="EM16" s="304"/>
      <c r="EN16" s="304"/>
      <c r="EO16" s="304"/>
      <c r="EP16" s="304"/>
      <c r="EQ16" s="304">
        <v>-7532.5</v>
      </c>
      <c r="ER16" s="304"/>
      <c r="ES16" s="304">
        <v>-17555</v>
      </c>
      <c r="ET16" s="304">
        <v>-352085.33</v>
      </c>
      <c r="EU16" s="304"/>
      <c r="EV16" s="304">
        <v>2575.25</v>
      </c>
      <c r="EW16" s="304"/>
      <c r="EX16" s="304">
        <v>-149833</v>
      </c>
      <c r="EY16" s="304">
        <v>6424.08</v>
      </c>
      <c r="EZ16" s="304">
        <v>951.6</v>
      </c>
      <c r="FA16" s="304">
        <v>-7945.31</v>
      </c>
      <c r="FB16" s="304">
        <v>-19017</v>
      </c>
      <c r="FC16" s="304">
        <v>-39744</v>
      </c>
      <c r="FD16" s="304">
        <v>900</v>
      </c>
      <c r="FE16" s="304"/>
      <c r="FF16" s="304">
        <v>3543.32</v>
      </c>
      <c r="FG16" s="304">
        <v>2019.0399999999995</v>
      </c>
      <c r="FH16" s="304">
        <v>507</v>
      </c>
      <c r="FI16" s="304">
        <v>93000</v>
      </c>
      <c r="FJ16" s="304">
        <v>579.21</v>
      </c>
      <c r="FK16" s="304">
        <v>7608.3100000000031</v>
      </c>
      <c r="FL16" s="304">
        <v>261</v>
      </c>
      <c r="FM16" s="304">
        <v>4420.83</v>
      </c>
      <c r="FN16" s="304">
        <v>4382.1900000000005</v>
      </c>
      <c r="FO16" s="304">
        <v>5458</v>
      </c>
      <c r="FP16" s="304">
        <v>610</v>
      </c>
      <c r="FQ16" s="304">
        <v>1332.64</v>
      </c>
      <c r="FR16" s="304">
        <v>3650.8199999999983</v>
      </c>
      <c r="FS16" s="304"/>
      <c r="FT16" s="304"/>
      <c r="FU16" s="304">
        <v>29933.489999999998</v>
      </c>
      <c r="FV16" s="304">
        <v>-29933.489999999998</v>
      </c>
      <c r="FW16" s="304"/>
      <c r="FX16" s="304"/>
      <c r="FY16" s="304"/>
      <c r="FZ16" s="304"/>
      <c r="GA16" s="304"/>
      <c r="GB16" s="304"/>
      <c r="GC16" s="304">
        <v>-1600</v>
      </c>
      <c r="GD16" s="304">
        <v>-900</v>
      </c>
      <c r="GE16" s="304"/>
      <c r="GF16" s="304"/>
      <c r="GG16" s="304">
        <v>-5039.82</v>
      </c>
      <c r="GH16" s="304"/>
      <c r="GI16" s="304"/>
      <c r="GJ16" s="304">
        <v>-149.5</v>
      </c>
      <c r="GK16" s="304"/>
      <c r="GL16" s="304"/>
      <c r="GM16" s="304"/>
      <c r="GN16" s="304">
        <v>-1200</v>
      </c>
      <c r="GO16" s="304"/>
      <c r="GP16" s="304"/>
      <c r="GQ16" s="304">
        <v>-14841.79</v>
      </c>
      <c r="GR16" s="304"/>
      <c r="GS16" s="304"/>
      <c r="GT16" s="304"/>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row>
    <row r="17" spans="1:280">
      <c r="A17" s="116">
        <v>107958</v>
      </c>
      <c r="B17" s="304"/>
      <c r="C17" s="304">
        <v>935390.94000000006</v>
      </c>
      <c r="D17" s="304">
        <v>17668.400000000001</v>
      </c>
      <c r="E17" s="304">
        <v>43100.28</v>
      </c>
      <c r="F17" s="304">
        <v>271372.34000000003</v>
      </c>
      <c r="G17" s="304">
        <v>128664.83</v>
      </c>
      <c r="H17" s="304">
        <v>5754.2000000000007</v>
      </c>
      <c r="I17" s="304"/>
      <c r="J17" s="304">
        <v>1498.1999999999998</v>
      </c>
      <c r="K17" s="304">
        <v>606.89</v>
      </c>
      <c r="L17" s="304"/>
      <c r="M17" s="304"/>
      <c r="N17" s="304"/>
      <c r="O17" s="304"/>
      <c r="P17" s="304"/>
      <c r="Q17" s="304">
        <v>45391.64</v>
      </c>
      <c r="R17" s="304">
        <v>300.28000000000003</v>
      </c>
      <c r="S17" s="304">
        <v>2317.6899999999996</v>
      </c>
      <c r="T17" s="304">
        <v>12057.570000000002</v>
      </c>
      <c r="U17" s="304">
        <v>4554.4399999999996</v>
      </c>
      <c r="V17" s="304">
        <v>52512.45</v>
      </c>
      <c r="W17" s="304">
        <v>531.62</v>
      </c>
      <c r="X17" s="304">
        <v>929.51</v>
      </c>
      <c r="Y17" s="304">
        <v>12925.799999999997</v>
      </c>
      <c r="Z17" s="304">
        <v>3428.3500000000004</v>
      </c>
      <c r="AA17" s="304"/>
      <c r="AB17" s="304"/>
      <c r="AC17" s="304"/>
      <c r="AD17" s="304"/>
      <c r="AE17" s="304"/>
      <c r="AF17" s="304">
        <v>491858.18000000005</v>
      </c>
      <c r="AG17" s="304">
        <v>6410.71</v>
      </c>
      <c r="AH17" s="304">
        <v>2857.43</v>
      </c>
      <c r="AI17" s="304">
        <v>132913.05000000002</v>
      </c>
      <c r="AJ17" s="304">
        <v>56580.94</v>
      </c>
      <c r="AK17" s="304">
        <v>27325.81</v>
      </c>
      <c r="AL17" s="304">
        <v>205.57</v>
      </c>
      <c r="AM17" s="304">
        <v>114.11</v>
      </c>
      <c r="AN17" s="304">
        <v>13657.630000000001</v>
      </c>
      <c r="AO17" s="304">
        <v>6402.4800000000005</v>
      </c>
      <c r="AP17" s="304">
        <v>109850.67000000001</v>
      </c>
      <c r="AQ17" s="304">
        <v>2945.5499999999997</v>
      </c>
      <c r="AR17" s="304">
        <v>3170.46</v>
      </c>
      <c r="AS17" s="304">
        <v>25679.120000000006</v>
      </c>
      <c r="AT17" s="304">
        <v>14792.510000000002</v>
      </c>
      <c r="AU17" s="304"/>
      <c r="AV17" s="304"/>
      <c r="AW17" s="304"/>
      <c r="AX17" s="304"/>
      <c r="AY17" s="304"/>
      <c r="AZ17" s="304">
        <v>51622.960000000014</v>
      </c>
      <c r="BA17" s="304"/>
      <c r="BB17" s="304">
        <v>13628.219999999998</v>
      </c>
      <c r="BC17" s="304">
        <v>5646.83</v>
      </c>
      <c r="BD17" s="304">
        <v>31383.279999999992</v>
      </c>
      <c r="BE17" s="304">
        <v>1386.3600000000001</v>
      </c>
      <c r="BF17" s="304">
        <v>302.02999999999997</v>
      </c>
      <c r="BG17" s="304">
        <v>8736.91</v>
      </c>
      <c r="BH17" s="304">
        <v>3799.9799999999996</v>
      </c>
      <c r="BI17" s="304"/>
      <c r="BJ17" s="304"/>
      <c r="BK17" s="304"/>
      <c r="BL17" s="304"/>
      <c r="BM17" s="304"/>
      <c r="BN17" s="304"/>
      <c r="BO17" s="304"/>
      <c r="BP17" s="304">
        <v>1164.6300000000001</v>
      </c>
      <c r="BQ17" s="304"/>
      <c r="BR17" s="304">
        <v>240</v>
      </c>
      <c r="BS17" s="304">
        <v>3363</v>
      </c>
      <c r="BT17" s="304"/>
      <c r="BU17" s="304"/>
      <c r="BV17" s="304">
        <v>34513.440000000002</v>
      </c>
      <c r="BW17" s="304"/>
      <c r="BX17" s="304">
        <v>60352.71</v>
      </c>
      <c r="BY17" s="304">
        <v>2563.0099999999989</v>
      </c>
      <c r="BZ17" s="304">
        <v>6809.83</v>
      </c>
      <c r="CA17" s="304"/>
      <c r="CB17" s="304"/>
      <c r="CC17" s="304"/>
      <c r="CD17" s="304"/>
      <c r="CE17" s="304">
        <v>6901</v>
      </c>
      <c r="CF17" s="304">
        <v>4550.79</v>
      </c>
      <c r="CG17" s="304">
        <v>39281.170000000006</v>
      </c>
      <c r="CH17" s="304">
        <v>16845.920000000006</v>
      </c>
      <c r="CI17" s="304"/>
      <c r="CJ17" s="304"/>
      <c r="CK17" s="304"/>
      <c r="CL17" s="304">
        <v>15833.14</v>
      </c>
      <c r="CM17" s="304">
        <v>6593.01</v>
      </c>
      <c r="CN17" s="304"/>
      <c r="CO17" s="304">
        <v>51367.31</v>
      </c>
      <c r="CP17" s="304">
        <v>7378.1099999999988</v>
      </c>
      <c r="CQ17" s="304"/>
      <c r="CR17" s="304"/>
      <c r="CS17" s="304"/>
      <c r="CT17" s="304">
        <v>3184</v>
      </c>
      <c r="CU17" s="304">
        <v>-255</v>
      </c>
      <c r="CV17" s="304">
        <v>96.32</v>
      </c>
      <c r="CW17" s="304"/>
      <c r="CX17" s="304">
        <v>4296.04</v>
      </c>
      <c r="CY17" s="304"/>
      <c r="CZ17" s="304"/>
      <c r="DA17" s="304">
        <v>2520</v>
      </c>
      <c r="DB17" s="304"/>
      <c r="DC17" s="304"/>
      <c r="DD17" s="304">
        <v>70489.069999999978</v>
      </c>
      <c r="DE17" s="304">
        <v>402.28</v>
      </c>
      <c r="DF17" s="304">
        <v>587.49</v>
      </c>
      <c r="DG17" s="304">
        <v>663.28000000000009</v>
      </c>
      <c r="DH17" s="304">
        <v>10746.009999999998</v>
      </c>
      <c r="DI17" s="304">
        <v>33222.630000000005</v>
      </c>
      <c r="DJ17" s="304"/>
      <c r="DK17" s="304">
        <v>165.47</v>
      </c>
      <c r="DL17" s="426">
        <v>2823.7799999999997</v>
      </c>
      <c r="DM17" s="304"/>
      <c r="DN17" s="304"/>
      <c r="DO17" s="304"/>
      <c r="DP17" s="304"/>
      <c r="DQ17" s="304"/>
      <c r="DR17" s="304">
        <v>9102.4699999999993</v>
      </c>
      <c r="DS17" s="304">
        <v>2207</v>
      </c>
      <c r="DT17" s="304">
        <v>6.99</v>
      </c>
      <c r="DU17" s="304">
        <v>6422.82</v>
      </c>
      <c r="DV17" s="304"/>
      <c r="DW17" s="304">
        <v>3317.5</v>
      </c>
      <c r="DX17" s="304">
        <v>407.32</v>
      </c>
      <c r="DY17" s="304"/>
      <c r="DZ17" s="304">
        <v>13422.78</v>
      </c>
      <c r="EA17" s="304">
        <v>524</v>
      </c>
      <c r="EB17" s="304">
        <v>33558.699999999968</v>
      </c>
      <c r="EC17" s="304">
        <v>34487.320000000007</v>
      </c>
      <c r="ED17" s="304"/>
      <c r="EE17" s="304">
        <v>941.82999999999993</v>
      </c>
      <c r="EF17" s="304"/>
      <c r="EG17" s="304"/>
      <c r="EH17" s="304"/>
      <c r="EI17" s="304">
        <v>-2219442.83</v>
      </c>
      <c r="EJ17" s="304"/>
      <c r="EK17" s="304"/>
      <c r="EL17" s="304">
        <v>-115580</v>
      </c>
      <c r="EM17" s="304"/>
      <c r="EN17" s="304">
        <v>-856.93</v>
      </c>
      <c r="EO17" s="304"/>
      <c r="EP17" s="304">
        <v>-43158.55</v>
      </c>
      <c r="EQ17" s="304">
        <v>-8747.5</v>
      </c>
      <c r="ER17" s="304">
        <v>-66208</v>
      </c>
      <c r="ES17" s="304">
        <v>-18000</v>
      </c>
      <c r="ET17" s="304">
        <v>-248211.18</v>
      </c>
      <c r="EU17" s="304"/>
      <c r="EV17" s="304">
        <v>-13300.09</v>
      </c>
      <c r="EW17" s="304">
        <v>-9548.4699999999993</v>
      </c>
      <c r="EX17" s="304">
        <v>-362075</v>
      </c>
      <c r="EY17" s="304">
        <v>8277.18</v>
      </c>
      <c r="EZ17" s="304">
        <v>1226.0999999999999</v>
      </c>
      <c r="FA17" s="304">
        <v>-23886.65</v>
      </c>
      <c r="FB17" s="304">
        <v>-18775</v>
      </c>
      <c r="FC17" s="304">
        <v>-39110</v>
      </c>
      <c r="FD17" s="304">
        <v>618</v>
      </c>
      <c r="FE17" s="304">
        <v>24094.97</v>
      </c>
      <c r="FF17" s="304"/>
      <c r="FG17" s="304"/>
      <c r="FH17" s="304"/>
      <c r="FI17" s="304"/>
      <c r="FJ17" s="304">
        <v>1332</v>
      </c>
      <c r="FK17" s="304">
        <v>5292.6900000000069</v>
      </c>
      <c r="FL17" s="304"/>
      <c r="FM17" s="304">
        <v>3313.27</v>
      </c>
      <c r="FN17" s="304">
        <v>4776.17</v>
      </c>
      <c r="FO17" s="304">
        <v>1266</v>
      </c>
      <c r="FP17" s="304"/>
      <c r="FQ17" s="304">
        <v>1532.44</v>
      </c>
      <c r="FR17" s="304">
        <v>464.74000000000012</v>
      </c>
      <c r="FS17" s="304"/>
      <c r="FT17" s="304"/>
      <c r="FU17" s="304"/>
      <c r="FV17" s="304"/>
      <c r="FW17" s="304"/>
      <c r="FX17" s="304"/>
      <c r="FY17" s="304"/>
      <c r="FZ17" s="304"/>
      <c r="GA17" s="304">
        <v>-3150</v>
      </c>
      <c r="GB17" s="304"/>
      <c r="GC17" s="304">
        <v>-61128.430000000008</v>
      </c>
      <c r="GD17" s="304">
        <v>-33143.719999999987</v>
      </c>
      <c r="GE17" s="304">
        <v>-3943.63</v>
      </c>
      <c r="GF17" s="304"/>
      <c r="GG17" s="304">
        <v>-28434.799999999992</v>
      </c>
      <c r="GH17" s="304"/>
      <c r="GI17" s="304">
        <v>0</v>
      </c>
      <c r="GJ17" s="304">
        <v>-13924.36</v>
      </c>
      <c r="GK17" s="304">
        <v>-77670.810000000027</v>
      </c>
      <c r="GL17" s="304"/>
      <c r="GM17" s="304"/>
      <c r="GN17" s="304">
        <v>-648.66999999999996</v>
      </c>
      <c r="GO17" s="304"/>
      <c r="GP17" s="304">
        <v>-8793.98</v>
      </c>
      <c r="GQ17" s="304">
        <v>-12179.97</v>
      </c>
      <c r="GR17" s="304"/>
      <c r="GS17" s="304"/>
      <c r="GT17" s="304"/>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row>
    <row r="18" spans="1:280">
      <c r="A18" s="116"/>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row>
    <row r="19" spans="1:280">
      <c r="A19" s="116"/>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row>
    <row r="20" spans="1:280">
      <c r="A20" s="116"/>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row>
    <row r="21" spans="1:280">
      <c r="A21" s="116"/>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row>
    <row r="22" spans="1:280">
      <c r="A22" s="11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row>
    <row r="23" spans="1:280">
      <c r="A23" s="116"/>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6485b97f3e1789f25f0e5501c6310617">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f72dcfbb99d857a889a3fc75379e84a4"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BD8034-92D6-4269-A319-51B7669A38B7}">
  <ds:schemaRefs>
    <ds:schemaRef ds:uri="http://schemas.microsoft.com/sharepoint/v3/contenttype/forms"/>
  </ds:schemaRefs>
</ds:datastoreItem>
</file>

<file path=customXml/itemProps2.xml><?xml version="1.0" encoding="utf-8"?>
<ds:datastoreItem xmlns:ds="http://schemas.openxmlformats.org/officeDocument/2006/customXml" ds:itemID="{971D0811-BEDD-42EB-8A85-23D6CC9F9187}">
  <ds:schemaRefs>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99468651-1a6a-4893-b5e9-3927acc5fb96"/>
    <ds:schemaRef ds:uri="fb987fa5-fcff-4848-96d6-8f23839f51e0"/>
    <ds:schemaRef ds:uri="http://schemas.openxmlformats.org/package/2006/metadata/core-properties"/>
    <ds:schemaRef ds:uri="07cb0ae7-4148-4484-a5b9-1e8e812e7102"/>
    <ds:schemaRef ds:uri="http://schemas.microsoft.com/office/2006/metadata/properties"/>
  </ds:schemaRefs>
</ds:datastoreItem>
</file>

<file path=customXml/itemProps3.xml><?xml version="1.0" encoding="utf-8"?>
<ds:datastoreItem xmlns:ds="http://schemas.openxmlformats.org/officeDocument/2006/customXml" ds:itemID="{BD1EBB5E-7296-4F36-8E52-E3F8B841D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24 25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2026-04-20T17:09:22Z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